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tables/table12.xml" ContentType="application/vnd.openxmlformats-officedocument.spreadsheetml.table+xml"/>
  <Override PartName="/xl/tables/table21.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tables/table10.xml" ContentType="application/vnd.openxmlformats-officedocument.spreadsheetml.table+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tables/table9.xml" ContentType="application/vnd.openxmlformats-officedocument.spreadsheetml.table+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1025" tabRatio="812"/>
  </bookViews>
  <sheets>
    <sheet name="Notes and Comparison" sheetId="25" r:id="rId1"/>
    <sheet name="Table 1 Avg. Customer Usage" sheetId="26" r:id="rId2"/>
    <sheet name="Table 2 Second Source" sheetId="27" r:id="rId3"/>
    <sheet name="Table 3 Summation of Detail" sheetId="20" r:id="rId4"/>
    <sheet name="Oct12 SS" sheetId="31" r:id="rId5"/>
    <sheet name="Oct12" sheetId="18" r:id="rId6"/>
    <sheet name="Sep12" sheetId="19" r:id="rId7"/>
    <sheet name="Aug12 SS" sheetId="32" r:id="rId8"/>
    <sheet name="Aug12" sheetId="11" r:id="rId9"/>
    <sheet name="Jul12" sheetId="5" r:id="rId10"/>
    <sheet name="Jun12" sheetId="6" r:id="rId11"/>
    <sheet name="May12" sheetId="16" r:id="rId12"/>
    <sheet name="Apr12" sheetId="2" r:id="rId13"/>
    <sheet name="Mar12recalc" sheetId="23" r:id="rId14"/>
    <sheet name="Mar12" sheetId="15" r:id="rId15"/>
    <sheet name="Feb12recalc" sheetId="22" r:id="rId16"/>
    <sheet name="Feb12" sheetId="12" r:id="rId17"/>
    <sheet name="Jan12recalc" sheetId="21" r:id="rId18"/>
    <sheet name="Jan12" sheetId="4" r:id="rId19"/>
    <sheet name="Dec11" sheetId="3" r:id="rId20"/>
    <sheet name="Nov11" sheetId="8" r:id="rId21"/>
    <sheet name="Oct11 SS" sheetId="33" r:id="rId22"/>
    <sheet name="Oct11" sheetId="17" r:id="rId23"/>
    <sheet name="Sep11 SS" sheetId="34" r:id="rId24"/>
    <sheet name="Sep11" sheetId="9" r:id="rId25"/>
    <sheet name="Aug11 SS" sheetId="35" r:id="rId26"/>
    <sheet name="Aug11" sheetId="1" r:id="rId27"/>
    <sheet name="Jul11" sheetId="13" r:id="rId28"/>
    <sheet name="Jun11" sheetId="14" r:id="rId29"/>
    <sheet name="May11" sheetId="7" r:id="rId30"/>
    <sheet name="Apr11" sheetId="10" r:id="rId31"/>
    <sheet name="Sheet23" sheetId="24" state="hidden" r:id="rId32"/>
  </sheets>
  <externalReferences>
    <externalReference r:id="rId33"/>
  </externalReferences>
  <definedNames>
    <definedName name="_xlnm.Print_Area" localSheetId="30">'Apr11'!$A$1:$L$145</definedName>
    <definedName name="_xlnm.Print_Area" localSheetId="10">'Jun12'!$A$1:$P$158</definedName>
    <definedName name="_xlnm.Print_Area" localSheetId="14">'Mar12'!$A$1:$O$157</definedName>
    <definedName name="_xlnm.Print_Area" localSheetId="29">'May11'!$A$1:$M$144</definedName>
    <definedName name="_xlnm.Print_Area" localSheetId="0">'Notes and Comparison'!$A$1:$F$74</definedName>
    <definedName name="_xlnm.Print_Area" localSheetId="1">'Table 1 Avg. Customer Usage'!$A$1:$M$47</definedName>
    <definedName name="_xlnm.Print_Titles" localSheetId="1">'Table 1 Avg. Customer Usage'!$A:$C</definedName>
    <definedName name="_xlnm.Print_Titles" localSheetId="3">'Table 3 Summation of Detail'!$A:$C</definedName>
  </definedNames>
  <calcPr calcId="125725"/>
</workbook>
</file>

<file path=xl/calcChain.xml><?xml version="1.0" encoding="utf-8"?>
<calcChain xmlns="http://schemas.openxmlformats.org/spreadsheetml/2006/main">
  <c r="D155" i="33"/>
  <c r="E8" i="27" s="1"/>
  <c r="M136" i="33"/>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D155" i="34"/>
  <c r="E9" i="27" s="1"/>
  <c r="D155" i="35"/>
  <c r="E10" i="27" s="1"/>
  <c r="D9"/>
  <c r="D8"/>
  <c r="D10"/>
  <c r="D5"/>
  <c r="D155" i="32"/>
  <c r="E5" i="27" s="1"/>
  <c r="D4"/>
  <c r="F4" s="1"/>
  <c r="F16" i="18"/>
  <c r="D148" i="35"/>
  <c r="K147"/>
  <c r="J147"/>
  <c r="I147"/>
  <c r="G147"/>
  <c r="F136"/>
  <c r="I136" s="1"/>
  <c r="F135"/>
  <c r="J135" s="1"/>
  <c r="F134"/>
  <c r="F133"/>
  <c r="J133" s="1"/>
  <c r="F132"/>
  <c r="F131"/>
  <c r="J131" s="1"/>
  <c r="F130"/>
  <c r="F129"/>
  <c r="J129" s="1"/>
  <c r="I128"/>
  <c r="F128"/>
  <c r="F127"/>
  <c r="J127" s="1"/>
  <c r="F126"/>
  <c r="F125"/>
  <c r="J125" s="1"/>
  <c r="I124"/>
  <c r="F124"/>
  <c r="F123"/>
  <c r="J123" s="1"/>
  <c r="F122"/>
  <c r="F121"/>
  <c r="J121" s="1"/>
  <c r="F120"/>
  <c r="I120" s="1"/>
  <c r="F119"/>
  <c r="J119" s="1"/>
  <c r="K118"/>
  <c r="F118"/>
  <c r="J118" s="1"/>
  <c r="F117"/>
  <c r="J117" s="1"/>
  <c r="K116"/>
  <c r="F116"/>
  <c r="F115"/>
  <c r="J115" s="1"/>
  <c r="F114"/>
  <c r="F113"/>
  <c r="J113" s="1"/>
  <c r="G112"/>
  <c r="F112"/>
  <c r="F111"/>
  <c r="J111" s="1"/>
  <c r="G110"/>
  <c r="F110"/>
  <c r="F109"/>
  <c r="J109" s="1"/>
  <c r="I108"/>
  <c r="G108"/>
  <c r="F108"/>
  <c r="J108" s="1"/>
  <c r="F107"/>
  <c r="H107" s="1"/>
  <c r="F106"/>
  <c r="F105"/>
  <c r="H105" s="1"/>
  <c r="F104"/>
  <c r="M104" s="1"/>
  <c r="F103"/>
  <c r="H103" s="1"/>
  <c r="M102"/>
  <c r="F102"/>
  <c r="F101"/>
  <c r="H101" s="1"/>
  <c r="F100"/>
  <c r="M100" s="1"/>
  <c r="F99"/>
  <c r="H99" s="1"/>
  <c r="F98"/>
  <c r="M98" s="1"/>
  <c r="F97"/>
  <c r="H97" s="1"/>
  <c r="F96"/>
  <c r="M96" s="1"/>
  <c r="F95"/>
  <c r="H95" s="1"/>
  <c r="M94"/>
  <c r="F94"/>
  <c r="F93"/>
  <c r="H93" s="1"/>
  <c r="K92"/>
  <c r="G92"/>
  <c r="F92"/>
  <c r="J92" s="1"/>
  <c r="F91"/>
  <c r="H91" s="1"/>
  <c r="K90"/>
  <c r="I90"/>
  <c r="F90"/>
  <c r="J90" s="1"/>
  <c r="F89"/>
  <c r="H89" s="1"/>
  <c r="F88"/>
  <c r="F87"/>
  <c r="H87" s="1"/>
  <c r="F86"/>
  <c r="F85"/>
  <c r="H85" s="1"/>
  <c r="K84"/>
  <c r="I84"/>
  <c r="G84"/>
  <c r="F84"/>
  <c r="J84" s="1"/>
  <c r="F83"/>
  <c r="H83" s="1"/>
  <c r="F82"/>
  <c r="J82" s="1"/>
  <c r="F81"/>
  <c r="F80"/>
  <c r="J80" s="1"/>
  <c r="K79"/>
  <c r="I79"/>
  <c r="G79"/>
  <c r="F79"/>
  <c r="J79" s="1"/>
  <c r="F78"/>
  <c r="J78" s="1"/>
  <c r="K77"/>
  <c r="G77"/>
  <c r="F77"/>
  <c r="J77" s="1"/>
  <c r="F76"/>
  <c r="J76" s="1"/>
  <c r="F75"/>
  <c r="F74"/>
  <c r="J74" s="1"/>
  <c r="F73"/>
  <c r="I73" s="1"/>
  <c r="F72"/>
  <c r="J72" s="1"/>
  <c r="F71"/>
  <c r="F70"/>
  <c r="J70" s="1"/>
  <c r="F69"/>
  <c r="I69" s="1"/>
  <c r="F68"/>
  <c r="J68" s="1"/>
  <c r="F67"/>
  <c r="F66"/>
  <c r="J66" s="1"/>
  <c r="I65"/>
  <c r="F65"/>
  <c r="F64"/>
  <c r="J64" s="1"/>
  <c r="F63"/>
  <c r="G63" s="1"/>
  <c r="F62"/>
  <c r="J62" s="1"/>
  <c r="K61"/>
  <c r="I61"/>
  <c r="G61"/>
  <c r="F61"/>
  <c r="J61" s="1"/>
  <c r="F60"/>
  <c r="J60" s="1"/>
  <c r="K59"/>
  <c r="G59"/>
  <c r="F59"/>
  <c r="J59" s="1"/>
  <c r="F58"/>
  <c r="J58" s="1"/>
  <c r="K57"/>
  <c r="I57"/>
  <c r="F57"/>
  <c r="J57" s="1"/>
  <c r="F56"/>
  <c r="J56" s="1"/>
  <c r="K55"/>
  <c r="F55"/>
  <c r="J55" s="1"/>
  <c r="F54"/>
  <c r="J54" s="1"/>
  <c r="I53"/>
  <c r="F53"/>
  <c r="F52"/>
  <c r="J52" s="1"/>
  <c r="M51"/>
  <c r="I51"/>
  <c r="F51"/>
  <c r="F50"/>
  <c r="J50" s="1"/>
  <c r="M49"/>
  <c r="I49"/>
  <c r="F49"/>
  <c r="F48"/>
  <c r="J48" s="1"/>
  <c r="K47"/>
  <c r="I47"/>
  <c r="F47"/>
  <c r="J47" s="1"/>
  <c r="F46"/>
  <c r="J46" s="1"/>
  <c r="I45"/>
  <c r="F45"/>
  <c r="F44"/>
  <c r="J44" s="1"/>
  <c r="K43"/>
  <c r="G43"/>
  <c r="F43"/>
  <c r="J43" s="1"/>
  <c r="F42"/>
  <c r="J42" s="1"/>
  <c r="K41"/>
  <c r="I41"/>
  <c r="F41"/>
  <c r="J41" s="1"/>
  <c r="F40"/>
  <c r="J40" s="1"/>
  <c r="K39"/>
  <c r="F39"/>
  <c r="J39" s="1"/>
  <c r="F38"/>
  <c r="J38" s="1"/>
  <c r="F37"/>
  <c r="K37" s="1"/>
  <c r="F36"/>
  <c r="J36" s="1"/>
  <c r="F35"/>
  <c r="F34"/>
  <c r="J34" s="1"/>
  <c r="M33"/>
  <c r="F33"/>
  <c r="F32"/>
  <c r="J32" s="1"/>
  <c r="F31"/>
  <c r="M31" s="1"/>
  <c r="F30"/>
  <c r="J30" s="1"/>
  <c r="F29"/>
  <c r="F28"/>
  <c r="J28" s="1"/>
  <c r="F27"/>
  <c r="F26"/>
  <c r="J26" s="1"/>
  <c r="F25"/>
  <c r="F24"/>
  <c r="J24" s="1"/>
  <c r="M23"/>
  <c r="F23"/>
  <c r="F22"/>
  <c r="J22" s="1"/>
  <c r="K21"/>
  <c r="I21"/>
  <c r="F21"/>
  <c r="J21" s="1"/>
  <c r="F20"/>
  <c r="J20" s="1"/>
  <c r="F19"/>
  <c r="F18"/>
  <c r="J18" s="1"/>
  <c r="F17"/>
  <c r="G154"/>
  <c r="F15"/>
  <c r="N4" s="1"/>
  <c r="N5" s="1"/>
  <c r="F14"/>
  <c r="J14" s="1"/>
  <c r="F13"/>
  <c r="F12"/>
  <c r="J12" s="1"/>
  <c r="G11"/>
  <c r="F11"/>
  <c r="E7"/>
  <c r="D148" i="34"/>
  <c r="K147"/>
  <c r="J147"/>
  <c r="I147"/>
  <c r="G147"/>
  <c r="F136"/>
  <c r="G136" s="1"/>
  <c r="F135"/>
  <c r="J135" s="1"/>
  <c r="F134"/>
  <c r="F133"/>
  <c r="J133" s="1"/>
  <c r="F132"/>
  <c r="K132" s="1"/>
  <c r="F131"/>
  <c r="J131" s="1"/>
  <c r="F130"/>
  <c r="F129"/>
  <c r="J129" s="1"/>
  <c r="G128"/>
  <c r="F128"/>
  <c r="F127"/>
  <c r="J127" s="1"/>
  <c r="K126"/>
  <c r="I126"/>
  <c r="G126"/>
  <c r="F126"/>
  <c r="J126" s="1"/>
  <c r="F125"/>
  <c r="J125" s="1"/>
  <c r="F124"/>
  <c r="F123"/>
  <c r="J123" s="1"/>
  <c r="F122"/>
  <c r="G122" s="1"/>
  <c r="F121"/>
  <c r="J121" s="1"/>
  <c r="I120"/>
  <c r="F120"/>
  <c r="J120" s="1"/>
  <c r="F119"/>
  <c r="J119" s="1"/>
  <c r="K118"/>
  <c r="F118"/>
  <c r="F117"/>
  <c r="J117" s="1"/>
  <c r="F116"/>
  <c r="K116" s="1"/>
  <c r="F115"/>
  <c r="J115" s="1"/>
  <c r="I114"/>
  <c r="F114"/>
  <c r="J114" s="1"/>
  <c r="F113"/>
  <c r="J113" s="1"/>
  <c r="K112"/>
  <c r="F112"/>
  <c r="M112" s="1"/>
  <c r="F111"/>
  <c r="J111" s="1"/>
  <c r="F110"/>
  <c r="F109"/>
  <c r="G108"/>
  <c r="F108"/>
  <c r="F107"/>
  <c r="F106"/>
  <c r="F105"/>
  <c r="I104"/>
  <c r="F104"/>
  <c r="J104" s="1"/>
  <c r="F103"/>
  <c r="K102"/>
  <c r="F102"/>
  <c r="F101"/>
  <c r="F100"/>
  <c r="F99"/>
  <c r="F98"/>
  <c r="G98" s="1"/>
  <c r="F97"/>
  <c r="G96"/>
  <c r="F96"/>
  <c r="F95"/>
  <c r="K94"/>
  <c r="I94"/>
  <c r="G94"/>
  <c r="F94"/>
  <c r="J94" s="1"/>
  <c r="F93"/>
  <c r="K92"/>
  <c r="F92"/>
  <c r="F91"/>
  <c r="F90"/>
  <c r="F89"/>
  <c r="I88"/>
  <c r="F88"/>
  <c r="J88" s="1"/>
  <c r="F87"/>
  <c r="K86"/>
  <c r="F86"/>
  <c r="F85"/>
  <c r="F84"/>
  <c r="F83"/>
  <c r="F82"/>
  <c r="J82" s="1"/>
  <c r="F81"/>
  <c r="M81" s="1"/>
  <c r="F80"/>
  <c r="G79"/>
  <c r="F79"/>
  <c r="F78"/>
  <c r="K77"/>
  <c r="I77"/>
  <c r="F77"/>
  <c r="J77" s="1"/>
  <c r="F76"/>
  <c r="K75"/>
  <c r="F75"/>
  <c r="F74"/>
  <c r="I73"/>
  <c r="G73"/>
  <c r="F73"/>
  <c r="J73" s="1"/>
  <c r="F72"/>
  <c r="K71"/>
  <c r="I71"/>
  <c r="F71"/>
  <c r="J71" s="1"/>
  <c r="F70"/>
  <c r="M70" s="1"/>
  <c r="F69"/>
  <c r="F68"/>
  <c r="M68" s="1"/>
  <c r="G67"/>
  <c r="F67"/>
  <c r="F66"/>
  <c r="F65"/>
  <c r="F64"/>
  <c r="G63"/>
  <c r="F63"/>
  <c r="F62"/>
  <c r="K61"/>
  <c r="I61"/>
  <c r="F61"/>
  <c r="J61" s="1"/>
  <c r="F60"/>
  <c r="K59"/>
  <c r="F59"/>
  <c r="F58"/>
  <c r="I57"/>
  <c r="G57"/>
  <c r="F57"/>
  <c r="J57" s="1"/>
  <c r="F56"/>
  <c r="M56" s="1"/>
  <c r="M55"/>
  <c r="K55"/>
  <c r="F55"/>
  <c r="F54"/>
  <c r="F53"/>
  <c r="F52"/>
  <c r="F51"/>
  <c r="F50"/>
  <c r="H50" s="1"/>
  <c r="G49"/>
  <c r="F49"/>
  <c r="M49" s="1"/>
  <c r="F48"/>
  <c r="H48" s="1"/>
  <c r="G47"/>
  <c r="F47"/>
  <c r="F46"/>
  <c r="H46" s="1"/>
  <c r="K45"/>
  <c r="I45"/>
  <c r="G45"/>
  <c r="F45"/>
  <c r="J45" s="1"/>
  <c r="F44"/>
  <c r="H44" s="1"/>
  <c r="K43"/>
  <c r="F43"/>
  <c r="F42"/>
  <c r="H42" s="1"/>
  <c r="F41"/>
  <c r="F40"/>
  <c r="H40" s="1"/>
  <c r="K39"/>
  <c r="F39"/>
  <c r="F38"/>
  <c r="H38" s="1"/>
  <c r="F37"/>
  <c r="F36"/>
  <c r="H36" s="1"/>
  <c r="F35"/>
  <c r="G35" s="1"/>
  <c r="F34"/>
  <c r="H34" s="1"/>
  <c r="K33"/>
  <c r="I33"/>
  <c r="G33"/>
  <c r="F33"/>
  <c r="J33" s="1"/>
  <c r="F32"/>
  <c r="H32" s="1"/>
  <c r="I31"/>
  <c r="G31"/>
  <c r="F31"/>
  <c r="J31" s="1"/>
  <c r="F30"/>
  <c r="H30" s="1"/>
  <c r="F29"/>
  <c r="H28"/>
  <c r="F28"/>
  <c r="G27"/>
  <c r="F27"/>
  <c r="F26"/>
  <c r="I26" s="1"/>
  <c r="F25"/>
  <c r="I24"/>
  <c r="F24"/>
  <c r="J24" s="1"/>
  <c r="F23"/>
  <c r="M23" s="1"/>
  <c r="K22"/>
  <c r="F22"/>
  <c r="F21"/>
  <c r="F20"/>
  <c r="K20" s="1"/>
  <c r="F19"/>
  <c r="F18"/>
  <c r="F17"/>
  <c r="H16"/>
  <c r="H147" s="1"/>
  <c r="H154" s="1"/>
  <c r="G154"/>
  <c r="F15"/>
  <c r="F14"/>
  <c r="F13"/>
  <c r="M13" s="1"/>
  <c r="F12"/>
  <c r="F11"/>
  <c r="E7"/>
  <c r="D148" i="33"/>
  <c r="K147"/>
  <c r="J147"/>
  <c r="I147"/>
  <c r="G147"/>
  <c r="G136"/>
  <c r="F136"/>
  <c r="F135"/>
  <c r="J135" s="1"/>
  <c r="F134"/>
  <c r="F133"/>
  <c r="J133" s="1"/>
  <c r="K132"/>
  <c r="F132"/>
  <c r="J132" s="1"/>
  <c r="F131"/>
  <c r="J131" s="1"/>
  <c r="F130"/>
  <c r="I130" s="1"/>
  <c r="F129"/>
  <c r="J129" s="1"/>
  <c r="K128"/>
  <c r="I128"/>
  <c r="G128"/>
  <c r="F128"/>
  <c r="J128" s="1"/>
  <c r="F127"/>
  <c r="J127" s="1"/>
  <c r="F126"/>
  <c r="F125"/>
  <c r="J125" s="1"/>
  <c r="F124"/>
  <c r="F123"/>
  <c r="J123" s="1"/>
  <c r="F122"/>
  <c r="F121"/>
  <c r="J121" s="1"/>
  <c r="K120"/>
  <c r="I120"/>
  <c r="F120"/>
  <c r="J120" s="1"/>
  <c r="F119"/>
  <c r="J119" s="1"/>
  <c r="F118"/>
  <c r="F117"/>
  <c r="J117" s="1"/>
  <c r="F116"/>
  <c r="F115"/>
  <c r="J115" s="1"/>
  <c r="F114"/>
  <c r="I114" s="1"/>
  <c r="F113"/>
  <c r="J113" s="1"/>
  <c r="G112"/>
  <c r="F112"/>
  <c r="F111"/>
  <c r="J111" s="1"/>
  <c r="F110"/>
  <c r="I110" s="1"/>
  <c r="F109"/>
  <c r="H109" s="1"/>
  <c r="F108"/>
  <c r="F107"/>
  <c r="H107" s="1"/>
  <c r="F106"/>
  <c r="F105"/>
  <c r="H105" s="1"/>
  <c r="F104"/>
  <c r="F103"/>
  <c r="H103" s="1"/>
  <c r="F102"/>
  <c r="I102" s="1"/>
  <c r="F101"/>
  <c r="H101" s="1"/>
  <c r="F100"/>
  <c r="I100" s="1"/>
  <c r="F99"/>
  <c r="H99" s="1"/>
  <c r="F98"/>
  <c r="F97"/>
  <c r="H97" s="1"/>
  <c r="F96"/>
  <c r="F95"/>
  <c r="H95" s="1"/>
  <c r="I94"/>
  <c r="F94"/>
  <c r="F93"/>
  <c r="H93" s="1"/>
  <c r="F92"/>
  <c r="F91"/>
  <c r="H91" s="1"/>
  <c r="F90"/>
  <c r="I90" s="1"/>
  <c r="F89"/>
  <c r="H89" s="1"/>
  <c r="F88"/>
  <c r="F87"/>
  <c r="H87" s="1"/>
  <c r="F86"/>
  <c r="I86" s="1"/>
  <c r="F85"/>
  <c r="H85" s="1"/>
  <c r="F84"/>
  <c r="I84" s="1"/>
  <c r="F83"/>
  <c r="H83" s="1"/>
  <c r="G82"/>
  <c r="F82"/>
  <c r="F81"/>
  <c r="F80"/>
  <c r="F79"/>
  <c r="K78"/>
  <c r="F78"/>
  <c r="J78" s="1"/>
  <c r="F77"/>
  <c r="F76"/>
  <c r="F75"/>
  <c r="K74"/>
  <c r="I74"/>
  <c r="G74"/>
  <c r="F74"/>
  <c r="J74" s="1"/>
  <c r="F73"/>
  <c r="F72"/>
  <c r="F71"/>
  <c r="F70"/>
  <c r="F69"/>
  <c r="F68"/>
  <c r="I68" s="1"/>
  <c r="F67"/>
  <c r="K66"/>
  <c r="G66"/>
  <c r="F66"/>
  <c r="F65"/>
  <c r="F64"/>
  <c r="I64" s="1"/>
  <c r="F63"/>
  <c r="K62"/>
  <c r="F62"/>
  <c r="F61"/>
  <c r="H61" s="1"/>
  <c r="F60"/>
  <c r="I60" s="1"/>
  <c r="F59"/>
  <c r="H59" s="1"/>
  <c r="K58"/>
  <c r="G58"/>
  <c r="F58"/>
  <c r="J58" s="1"/>
  <c r="H57"/>
  <c r="F57"/>
  <c r="F56"/>
  <c r="H55"/>
  <c r="F55"/>
  <c r="G54"/>
  <c r="F54"/>
  <c r="J54" s="1"/>
  <c r="F53"/>
  <c r="H53" s="1"/>
  <c r="I52"/>
  <c r="F52"/>
  <c r="F51"/>
  <c r="H51" s="1"/>
  <c r="G50"/>
  <c r="F50"/>
  <c r="H49"/>
  <c r="F49"/>
  <c r="K48"/>
  <c r="I48"/>
  <c r="G48"/>
  <c r="F48"/>
  <c r="J48" s="1"/>
  <c r="H47"/>
  <c r="F47"/>
  <c r="F46"/>
  <c r="H45"/>
  <c r="F45"/>
  <c r="F44"/>
  <c r="G44" s="1"/>
  <c r="F43"/>
  <c r="H43" s="1"/>
  <c r="K42"/>
  <c r="G42"/>
  <c r="F42"/>
  <c r="J42" s="1"/>
  <c r="H41"/>
  <c r="F41"/>
  <c r="G40"/>
  <c r="F40"/>
  <c r="H39"/>
  <c r="F39"/>
  <c r="K38"/>
  <c r="G38"/>
  <c r="F38"/>
  <c r="J38" s="1"/>
  <c r="F37"/>
  <c r="H37" s="1"/>
  <c r="K36"/>
  <c r="I36"/>
  <c r="F36"/>
  <c r="F35"/>
  <c r="H35" s="1"/>
  <c r="G34"/>
  <c r="F34"/>
  <c r="H33"/>
  <c r="F33"/>
  <c r="K32"/>
  <c r="I32"/>
  <c r="G32"/>
  <c r="F32"/>
  <c r="J32" s="1"/>
  <c r="H31"/>
  <c r="F31"/>
  <c r="F30"/>
  <c r="F29"/>
  <c r="J29" s="1"/>
  <c r="F28"/>
  <c r="F27"/>
  <c r="J27" s="1"/>
  <c r="K26"/>
  <c r="I26"/>
  <c r="G26"/>
  <c r="F26"/>
  <c r="J26" s="1"/>
  <c r="F25"/>
  <c r="J25" s="1"/>
  <c r="F24"/>
  <c r="F23"/>
  <c r="J23" s="1"/>
  <c r="F22"/>
  <c r="G22" s="1"/>
  <c r="F21"/>
  <c r="J21" s="1"/>
  <c r="F20"/>
  <c r="I20" s="1"/>
  <c r="F19"/>
  <c r="J19" s="1"/>
  <c r="K18"/>
  <c r="I18"/>
  <c r="F18"/>
  <c r="F17"/>
  <c r="H16"/>
  <c r="H147" s="1"/>
  <c r="H154" s="1"/>
  <c r="G154"/>
  <c r="F15"/>
  <c r="J15" s="1"/>
  <c r="I14"/>
  <c r="F14"/>
  <c r="F13"/>
  <c r="J13" s="1"/>
  <c r="F12"/>
  <c r="I12" s="1"/>
  <c r="F11"/>
  <c r="E7"/>
  <c r="D148" i="32"/>
  <c r="K147"/>
  <c r="J147"/>
  <c r="I147"/>
  <c r="F136"/>
  <c r="F135"/>
  <c r="I134"/>
  <c r="G134"/>
  <c r="F134"/>
  <c r="K134" s="1"/>
  <c r="F133"/>
  <c r="F132"/>
  <c r="F131"/>
  <c r="F130"/>
  <c r="F129"/>
  <c r="J129" s="1"/>
  <c r="F128"/>
  <c r="F127"/>
  <c r="J127" s="1"/>
  <c r="K126"/>
  <c r="I126"/>
  <c r="G126"/>
  <c r="F126"/>
  <c r="J126" s="1"/>
  <c r="F125"/>
  <c r="J125" s="1"/>
  <c r="F124"/>
  <c r="J124" s="1"/>
  <c r="F123"/>
  <c r="F122"/>
  <c r="J122" s="1"/>
  <c r="F121"/>
  <c r="F120"/>
  <c r="K119"/>
  <c r="F119"/>
  <c r="F118"/>
  <c r="I117"/>
  <c r="F117"/>
  <c r="F116"/>
  <c r="I115"/>
  <c r="F115"/>
  <c r="F114"/>
  <c r="M114" s="1"/>
  <c r="G113"/>
  <c r="F113"/>
  <c r="F112"/>
  <c r="M112" s="1"/>
  <c r="F111"/>
  <c r="F110"/>
  <c r="M110" s="1"/>
  <c r="K109"/>
  <c r="F109"/>
  <c r="G109" s="1"/>
  <c r="F108"/>
  <c r="M108" s="1"/>
  <c r="F107"/>
  <c r="F106"/>
  <c r="G105"/>
  <c r="F105"/>
  <c r="I105" s="1"/>
  <c r="F104"/>
  <c r="M104" s="1"/>
  <c r="F103"/>
  <c r="I103" s="1"/>
  <c r="F102"/>
  <c r="F101"/>
  <c r="K101" s="1"/>
  <c r="F100"/>
  <c r="F99"/>
  <c r="I99" s="1"/>
  <c r="F98"/>
  <c r="J98" s="1"/>
  <c r="F97"/>
  <c r="F96"/>
  <c r="J96" s="1"/>
  <c r="F95"/>
  <c r="F94"/>
  <c r="F93"/>
  <c r="F92"/>
  <c r="I91"/>
  <c r="F91"/>
  <c r="G91" s="1"/>
  <c r="F90"/>
  <c r="F89"/>
  <c r="F88"/>
  <c r="K87"/>
  <c r="F87"/>
  <c r="J87" s="1"/>
  <c r="F86"/>
  <c r="I85"/>
  <c r="F85"/>
  <c r="F84"/>
  <c r="M84" s="1"/>
  <c r="I83"/>
  <c r="G83"/>
  <c r="F83"/>
  <c r="F82"/>
  <c r="I81"/>
  <c r="F81"/>
  <c r="F80"/>
  <c r="F79"/>
  <c r="F78"/>
  <c r="F77"/>
  <c r="M77" s="1"/>
  <c r="F76"/>
  <c r="K75"/>
  <c r="I75"/>
  <c r="F75"/>
  <c r="F74"/>
  <c r="F73"/>
  <c r="F72"/>
  <c r="F71"/>
  <c r="J71" s="1"/>
  <c r="F70"/>
  <c r="M70" s="1"/>
  <c r="F69"/>
  <c r="I69" s="1"/>
  <c r="F68"/>
  <c r="M68" s="1"/>
  <c r="K67"/>
  <c r="I67"/>
  <c r="F67"/>
  <c r="J67" s="1"/>
  <c r="F66"/>
  <c r="F65"/>
  <c r="F64"/>
  <c r="G63"/>
  <c r="F63"/>
  <c r="J63" s="1"/>
  <c r="F62"/>
  <c r="F61"/>
  <c r="F60"/>
  <c r="F59"/>
  <c r="J59" s="1"/>
  <c r="F58"/>
  <c r="F57"/>
  <c r="F56"/>
  <c r="M56" s="1"/>
  <c r="K55"/>
  <c r="F55"/>
  <c r="F54"/>
  <c r="F53"/>
  <c r="I53" s="1"/>
  <c r="F52"/>
  <c r="G51"/>
  <c r="F51"/>
  <c r="K51" s="1"/>
  <c r="F50"/>
  <c r="M50" s="1"/>
  <c r="F49"/>
  <c r="I49" s="1"/>
  <c r="F48"/>
  <c r="F47"/>
  <c r="F46"/>
  <c r="F45"/>
  <c r="G45" s="1"/>
  <c r="F44"/>
  <c r="F43"/>
  <c r="J43" s="1"/>
  <c r="F42"/>
  <c r="F41"/>
  <c r="K41" s="1"/>
  <c r="F40"/>
  <c r="M40" s="1"/>
  <c r="F39"/>
  <c r="F38"/>
  <c r="F37"/>
  <c r="I37" s="1"/>
  <c r="F36"/>
  <c r="K35"/>
  <c r="I35"/>
  <c r="F35"/>
  <c r="J35" s="1"/>
  <c r="F34"/>
  <c r="M34" s="1"/>
  <c r="K33"/>
  <c r="F33"/>
  <c r="I33" s="1"/>
  <c r="F32"/>
  <c r="K31"/>
  <c r="F31"/>
  <c r="G31" s="1"/>
  <c r="F30"/>
  <c r="I29"/>
  <c r="F29"/>
  <c r="G29" s="1"/>
  <c r="F28"/>
  <c r="F27"/>
  <c r="F26"/>
  <c r="K26" s="1"/>
  <c r="F25"/>
  <c r="K24"/>
  <c r="F24"/>
  <c r="F23"/>
  <c r="M23" s="1"/>
  <c r="I22"/>
  <c r="F22"/>
  <c r="F21"/>
  <c r="K20"/>
  <c r="I20"/>
  <c r="G20"/>
  <c r="F20"/>
  <c r="J20" s="1"/>
  <c r="F19"/>
  <c r="F18"/>
  <c r="I18" s="1"/>
  <c r="F17"/>
  <c r="G16"/>
  <c r="G147" s="1"/>
  <c r="G154"/>
  <c r="K15"/>
  <c r="I15"/>
  <c r="F15"/>
  <c r="J15" s="1"/>
  <c r="F14"/>
  <c r="K13"/>
  <c r="F13"/>
  <c r="F12"/>
  <c r="M12" s="1"/>
  <c r="K11"/>
  <c r="F11"/>
  <c r="I11" s="1"/>
  <c r="E7"/>
  <c r="D148" i="31"/>
  <c r="K147"/>
  <c r="J147"/>
  <c r="I147"/>
  <c r="I136"/>
  <c r="F136"/>
  <c r="J136" s="1"/>
  <c r="F135"/>
  <c r="J135" s="1"/>
  <c r="F134"/>
  <c r="J134" s="1"/>
  <c r="F133"/>
  <c r="J133" s="1"/>
  <c r="F132"/>
  <c r="J132" s="1"/>
  <c r="F131"/>
  <c r="J131" s="1"/>
  <c r="F130"/>
  <c r="J130" s="1"/>
  <c r="F129"/>
  <c r="J129" s="1"/>
  <c r="F128"/>
  <c r="J128" s="1"/>
  <c r="F127"/>
  <c r="J127" s="1"/>
  <c r="K126"/>
  <c r="I126"/>
  <c r="F126"/>
  <c r="J126" s="1"/>
  <c r="F125"/>
  <c r="J125" s="1"/>
  <c r="F124"/>
  <c r="J124" s="1"/>
  <c r="F123"/>
  <c r="J123" s="1"/>
  <c r="F122"/>
  <c r="J122" s="1"/>
  <c r="F121"/>
  <c r="J121" s="1"/>
  <c r="F120"/>
  <c r="J120" s="1"/>
  <c r="F119"/>
  <c r="J119" s="1"/>
  <c r="K118"/>
  <c r="I118"/>
  <c r="F118"/>
  <c r="J118" s="1"/>
  <c r="F117"/>
  <c r="J117" s="1"/>
  <c r="F116"/>
  <c r="J116" s="1"/>
  <c r="F115"/>
  <c r="J115" s="1"/>
  <c r="F114"/>
  <c r="J114" s="1"/>
  <c r="F113"/>
  <c r="J113" s="1"/>
  <c r="F112"/>
  <c r="J112" s="1"/>
  <c r="F111"/>
  <c r="J111" s="1"/>
  <c r="K110"/>
  <c r="I110"/>
  <c r="F110"/>
  <c r="J110" s="1"/>
  <c r="F109"/>
  <c r="F108"/>
  <c r="J108" s="1"/>
  <c r="F107"/>
  <c r="G106"/>
  <c r="F106"/>
  <c r="J106" s="1"/>
  <c r="F105"/>
  <c r="F104"/>
  <c r="J104" s="1"/>
  <c r="F103"/>
  <c r="G102"/>
  <c r="F102"/>
  <c r="J102" s="1"/>
  <c r="F101"/>
  <c r="F100"/>
  <c r="J100" s="1"/>
  <c r="F99"/>
  <c r="F98"/>
  <c r="J98" s="1"/>
  <c r="F97"/>
  <c r="K96"/>
  <c r="I96"/>
  <c r="F96"/>
  <c r="J96" s="1"/>
  <c r="F95"/>
  <c r="F94"/>
  <c r="J94" s="1"/>
  <c r="F93"/>
  <c r="G92"/>
  <c r="F92"/>
  <c r="J92" s="1"/>
  <c r="F91"/>
  <c r="F90"/>
  <c r="J90" s="1"/>
  <c r="H89"/>
  <c r="F89"/>
  <c r="K88"/>
  <c r="I88"/>
  <c r="G88"/>
  <c r="F88"/>
  <c r="J88" s="1"/>
  <c r="F87"/>
  <c r="H87" s="1"/>
  <c r="K86"/>
  <c r="F86"/>
  <c r="J86" s="1"/>
  <c r="F85"/>
  <c r="H85" s="1"/>
  <c r="K84"/>
  <c r="I84"/>
  <c r="F84"/>
  <c r="J84" s="1"/>
  <c r="F83"/>
  <c r="H83" s="1"/>
  <c r="F82"/>
  <c r="J82" s="1"/>
  <c r="F81"/>
  <c r="J81" s="1"/>
  <c r="F80"/>
  <c r="J80" s="1"/>
  <c r="F79"/>
  <c r="J79" s="1"/>
  <c r="K78"/>
  <c r="I78"/>
  <c r="F78"/>
  <c r="J78" s="1"/>
  <c r="F77"/>
  <c r="J77" s="1"/>
  <c r="K76"/>
  <c r="F76"/>
  <c r="J76" s="1"/>
  <c r="F75"/>
  <c r="J75" s="1"/>
  <c r="K74"/>
  <c r="I74"/>
  <c r="F74"/>
  <c r="J74" s="1"/>
  <c r="F73"/>
  <c r="J73" s="1"/>
  <c r="K72"/>
  <c r="F72"/>
  <c r="J72" s="1"/>
  <c r="F71"/>
  <c r="J71" s="1"/>
  <c r="K70"/>
  <c r="I70"/>
  <c r="F70"/>
  <c r="J70" s="1"/>
  <c r="F69"/>
  <c r="J69" s="1"/>
  <c r="K68"/>
  <c r="F68"/>
  <c r="J68" s="1"/>
  <c r="F67"/>
  <c r="J67" s="1"/>
  <c r="F66"/>
  <c r="J66" s="1"/>
  <c r="F65"/>
  <c r="J65" s="1"/>
  <c r="F64"/>
  <c r="J64" s="1"/>
  <c r="F63"/>
  <c r="J63" s="1"/>
  <c r="F62"/>
  <c r="J62" s="1"/>
  <c r="F61"/>
  <c r="J61" s="1"/>
  <c r="F60"/>
  <c r="J60" s="1"/>
  <c r="F59"/>
  <c r="J59" s="1"/>
  <c r="K58"/>
  <c r="I58"/>
  <c r="G58"/>
  <c r="F58"/>
  <c r="J58" s="1"/>
  <c r="F57"/>
  <c r="J57" s="1"/>
  <c r="F56"/>
  <c r="J56" s="1"/>
  <c r="F55"/>
  <c r="J55" s="1"/>
  <c r="F54"/>
  <c r="J54" s="1"/>
  <c r="F53"/>
  <c r="J53" s="1"/>
  <c r="F52"/>
  <c r="J52" s="1"/>
  <c r="F51"/>
  <c r="J51" s="1"/>
  <c r="I50"/>
  <c r="F50"/>
  <c r="J50" s="1"/>
  <c r="F49"/>
  <c r="J49" s="1"/>
  <c r="K48"/>
  <c r="F48"/>
  <c r="J48" s="1"/>
  <c r="F47"/>
  <c r="J47" s="1"/>
  <c r="I46"/>
  <c r="G46"/>
  <c r="F46"/>
  <c r="J46" s="1"/>
  <c r="F45"/>
  <c r="J45" s="1"/>
  <c r="K44"/>
  <c r="I44"/>
  <c r="F44"/>
  <c r="J44" s="1"/>
  <c r="F43"/>
  <c r="J43" s="1"/>
  <c r="F42"/>
  <c r="J42" s="1"/>
  <c r="F41"/>
  <c r="J41" s="1"/>
  <c r="G40"/>
  <c r="F40"/>
  <c r="J40" s="1"/>
  <c r="F39"/>
  <c r="J39" s="1"/>
  <c r="F38"/>
  <c r="J38" s="1"/>
  <c r="F37"/>
  <c r="J37" s="1"/>
  <c r="I36"/>
  <c r="F36"/>
  <c r="J36" s="1"/>
  <c r="F35"/>
  <c r="J35" s="1"/>
  <c r="K34"/>
  <c r="F34"/>
  <c r="J34" s="1"/>
  <c r="F33"/>
  <c r="J33" s="1"/>
  <c r="F32"/>
  <c r="J32" s="1"/>
  <c r="F31"/>
  <c r="H31" s="1"/>
  <c r="G30"/>
  <c r="F30"/>
  <c r="J30" s="1"/>
  <c r="F29"/>
  <c r="J29" s="1"/>
  <c r="F28"/>
  <c r="J28" s="1"/>
  <c r="F27"/>
  <c r="H27" s="1"/>
  <c r="I26"/>
  <c r="F26"/>
  <c r="J26" s="1"/>
  <c r="F25"/>
  <c r="H25" s="1"/>
  <c r="F24"/>
  <c r="J24" s="1"/>
  <c r="F23"/>
  <c r="J23" s="1"/>
  <c r="F22"/>
  <c r="J22" s="1"/>
  <c r="F21"/>
  <c r="J21" s="1"/>
  <c r="I20"/>
  <c r="G20"/>
  <c r="F20"/>
  <c r="J20" s="1"/>
  <c r="F19"/>
  <c r="J19" s="1"/>
  <c r="K18"/>
  <c r="I18"/>
  <c r="F18"/>
  <c r="J18" s="1"/>
  <c r="F17"/>
  <c r="G16"/>
  <c r="G147" s="1"/>
  <c r="G154"/>
  <c r="G15"/>
  <c r="F15"/>
  <c r="J15" s="1"/>
  <c r="F14"/>
  <c r="M14" s="1"/>
  <c r="F13"/>
  <c r="J13" s="1"/>
  <c r="F12"/>
  <c r="F140" s="1"/>
  <c r="K11"/>
  <c r="J11"/>
  <c r="I11"/>
  <c r="H11"/>
  <c r="G11"/>
  <c r="M38" i="20"/>
  <c r="L38"/>
  <c r="P38"/>
  <c r="O38"/>
  <c r="F101" i="18"/>
  <c r="F53"/>
  <c r="F5" i="27" l="1"/>
  <c r="K24" i="31"/>
  <c r="K132"/>
  <c r="P7" i="32"/>
  <c r="M129" s="1"/>
  <c r="K43"/>
  <c r="K59"/>
  <c r="J113"/>
  <c r="K113"/>
  <c r="J115"/>
  <c r="G115"/>
  <c r="J14" i="33"/>
  <c r="G14"/>
  <c r="J40"/>
  <c r="I40"/>
  <c r="J50"/>
  <c r="K50"/>
  <c r="J52"/>
  <c r="G52"/>
  <c r="J66"/>
  <c r="I66"/>
  <c r="J112"/>
  <c r="K112"/>
  <c r="I112"/>
  <c r="J124"/>
  <c r="K124"/>
  <c r="G124"/>
  <c r="J136"/>
  <c r="K136"/>
  <c r="I136"/>
  <c r="J22" i="34"/>
  <c r="I22"/>
  <c r="G22"/>
  <c r="J47"/>
  <c r="I47"/>
  <c r="J118"/>
  <c r="I118"/>
  <c r="G118"/>
  <c r="J29" i="35"/>
  <c r="K29"/>
  <c r="G29"/>
  <c r="J110"/>
  <c r="K110"/>
  <c r="J116"/>
  <c r="I116"/>
  <c r="G116"/>
  <c r="J132"/>
  <c r="K132"/>
  <c r="G132"/>
  <c r="J79" i="32"/>
  <c r="K79"/>
  <c r="J30" i="33"/>
  <c r="G30"/>
  <c r="J56"/>
  <c r="I56"/>
  <c r="J116"/>
  <c r="K116"/>
  <c r="M84" i="34"/>
  <c r="G84"/>
  <c r="J27" i="35"/>
  <c r="K27"/>
  <c r="I27"/>
  <c r="K13" i="31"/>
  <c r="I15"/>
  <c r="I40"/>
  <c r="G54"/>
  <c r="G64"/>
  <c r="K90"/>
  <c r="I92"/>
  <c r="K100"/>
  <c r="I102"/>
  <c r="K104"/>
  <c r="I106"/>
  <c r="I114"/>
  <c r="I122"/>
  <c r="I130"/>
  <c r="G132"/>
  <c r="K136"/>
  <c r="G43" i="32"/>
  <c r="I51"/>
  <c r="G59"/>
  <c r="K63"/>
  <c r="G71"/>
  <c r="G79"/>
  <c r="K91"/>
  <c r="G101"/>
  <c r="K105"/>
  <c r="K115"/>
  <c r="J130"/>
  <c r="G130"/>
  <c r="K14" i="33"/>
  <c r="K30"/>
  <c r="K40"/>
  <c r="J46"/>
  <c r="G46"/>
  <c r="K52"/>
  <c r="K54"/>
  <c r="G56"/>
  <c r="J60"/>
  <c r="K60"/>
  <c r="J70"/>
  <c r="K70"/>
  <c r="G116"/>
  <c r="J51" i="34"/>
  <c r="K51"/>
  <c r="I51"/>
  <c r="J134"/>
  <c r="I134"/>
  <c r="G134"/>
  <c r="G27" i="35"/>
  <c r="J86"/>
  <c r="K86"/>
  <c r="J114"/>
  <c r="K114"/>
  <c r="G114"/>
  <c r="M134"/>
  <c r="I134"/>
  <c r="F9" i="27"/>
  <c r="J22" i="33"/>
  <c r="K22"/>
  <c r="J44"/>
  <c r="K44"/>
  <c r="J37" i="35"/>
  <c r="I37"/>
  <c r="G37"/>
  <c r="J63"/>
  <c r="K63"/>
  <c r="G24" i="31"/>
  <c r="I30"/>
  <c r="G18"/>
  <c r="I24"/>
  <c r="G26"/>
  <c r="K30"/>
  <c r="G36"/>
  <c r="K40"/>
  <c r="G50"/>
  <c r="K52"/>
  <c r="I54"/>
  <c r="K62"/>
  <c r="I64"/>
  <c r="G70"/>
  <c r="G74"/>
  <c r="G78"/>
  <c r="K92"/>
  <c r="K102"/>
  <c r="K106"/>
  <c r="K114"/>
  <c r="K122"/>
  <c r="K130"/>
  <c r="I132"/>
  <c r="G15" i="32"/>
  <c r="G35"/>
  <c r="I43"/>
  <c r="I59"/>
  <c r="G67"/>
  <c r="K71"/>
  <c r="J75"/>
  <c r="G75"/>
  <c r="J83"/>
  <c r="K83"/>
  <c r="G87"/>
  <c r="I101"/>
  <c r="I109"/>
  <c r="J114"/>
  <c r="J119"/>
  <c r="G119"/>
  <c r="K130"/>
  <c r="J18" i="33"/>
  <c r="G18"/>
  <c r="J34"/>
  <c r="K34"/>
  <c r="J36"/>
  <c r="G36"/>
  <c r="I44"/>
  <c r="K46"/>
  <c r="K56"/>
  <c r="G60"/>
  <c r="J62"/>
  <c r="G62"/>
  <c r="G70"/>
  <c r="J82"/>
  <c r="I82"/>
  <c r="K14" i="34"/>
  <c r="G14"/>
  <c r="J27"/>
  <c r="I27"/>
  <c r="J39"/>
  <c r="I39"/>
  <c r="G39"/>
  <c r="G51"/>
  <c r="J67"/>
  <c r="I67"/>
  <c r="J86"/>
  <c r="I86"/>
  <c r="G86"/>
  <c r="J96"/>
  <c r="I96"/>
  <c r="J102"/>
  <c r="I102"/>
  <c r="G102"/>
  <c r="J108"/>
  <c r="K108"/>
  <c r="I108"/>
  <c r="J128"/>
  <c r="I128"/>
  <c r="K134"/>
  <c r="G86" i="35"/>
  <c r="J112"/>
  <c r="K112"/>
  <c r="I112"/>
  <c r="M119" i="32"/>
  <c r="K108" i="35"/>
  <c r="G78" i="33"/>
  <c r="G120"/>
  <c r="G132"/>
  <c r="G24" i="34"/>
  <c r="G26"/>
  <c r="G61"/>
  <c r="G71"/>
  <c r="G77"/>
  <c r="G88"/>
  <c r="G104"/>
  <c r="G114"/>
  <c r="G120"/>
  <c r="G21" i="35"/>
  <c r="G39"/>
  <c r="G41"/>
  <c r="G47"/>
  <c r="G55"/>
  <c r="G57"/>
  <c r="G90"/>
  <c r="G118"/>
  <c r="M22" i="31"/>
  <c r="M28"/>
  <c r="M94"/>
  <c r="M108"/>
  <c r="J39" i="32"/>
  <c r="M39"/>
  <c r="I39"/>
  <c r="J73"/>
  <c r="M73"/>
  <c r="K73"/>
  <c r="G73"/>
  <c r="M94"/>
  <c r="J94"/>
  <c r="J97"/>
  <c r="M97"/>
  <c r="G97"/>
  <c r="K97"/>
  <c r="J24" i="33"/>
  <c r="K24"/>
  <c r="G24"/>
  <c r="J28"/>
  <c r="G28"/>
  <c r="K28"/>
  <c r="J18" i="34"/>
  <c r="K18"/>
  <c r="I18"/>
  <c r="G18"/>
  <c r="J110"/>
  <c r="K110"/>
  <c r="I110"/>
  <c r="G110"/>
  <c r="J122" i="35"/>
  <c r="G122"/>
  <c r="K122"/>
  <c r="M122"/>
  <c r="I122"/>
  <c r="M13" i="31"/>
  <c r="G32"/>
  <c r="G38"/>
  <c r="M52"/>
  <c r="G60"/>
  <c r="M62"/>
  <c r="G66"/>
  <c r="M68"/>
  <c r="M72"/>
  <c r="G80"/>
  <c r="G108"/>
  <c r="G116"/>
  <c r="G37" i="32"/>
  <c r="J47"/>
  <c r="I47"/>
  <c r="J65"/>
  <c r="M65"/>
  <c r="K65"/>
  <c r="G65"/>
  <c r="J95"/>
  <c r="K95"/>
  <c r="G95"/>
  <c r="I97"/>
  <c r="J123"/>
  <c r="G123"/>
  <c r="K123"/>
  <c r="J132"/>
  <c r="K132"/>
  <c r="G132"/>
  <c r="J136"/>
  <c r="G136"/>
  <c r="K136"/>
  <c r="J80" i="33"/>
  <c r="K80"/>
  <c r="G80"/>
  <c r="J98"/>
  <c r="K98"/>
  <c r="G98"/>
  <c r="J106"/>
  <c r="K106"/>
  <c r="G106"/>
  <c r="J126"/>
  <c r="K126"/>
  <c r="G126"/>
  <c r="J29" i="34"/>
  <c r="I29"/>
  <c r="G29"/>
  <c r="K29"/>
  <c r="J69"/>
  <c r="K69"/>
  <c r="I69"/>
  <c r="G69"/>
  <c r="J90"/>
  <c r="K90"/>
  <c r="I90"/>
  <c r="G90"/>
  <c r="J13" i="35"/>
  <c r="G13"/>
  <c r="M13"/>
  <c r="K13"/>
  <c r="I13"/>
  <c r="J126"/>
  <c r="G126"/>
  <c r="K126"/>
  <c r="M126"/>
  <c r="I126"/>
  <c r="P6" i="31"/>
  <c r="G13"/>
  <c r="K15"/>
  <c r="K20"/>
  <c r="I22"/>
  <c r="K26"/>
  <c r="I28"/>
  <c r="M30"/>
  <c r="I32"/>
  <c r="G34"/>
  <c r="K36"/>
  <c r="I38"/>
  <c r="M40"/>
  <c r="I42"/>
  <c r="K46"/>
  <c r="G48"/>
  <c r="K50"/>
  <c r="G52"/>
  <c r="K54"/>
  <c r="I56"/>
  <c r="M58"/>
  <c r="I60"/>
  <c r="G62"/>
  <c r="K64"/>
  <c r="I66"/>
  <c r="G68"/>
  <c r="G72"/>
  <c r="G76"/>
  <c r="I80"/>
  <c r="G82"/>
  <c r="M84"/>
  <c r="G86"/>
  <c r="G90"/>
  <c r="I94"/>
  <c r="M96"/>
  <c r="I98"/>
  <c r="G100"/>
  <c r="G104"/>
  <c r="I108"/>
  <c r="M110"/>
  <c r="I112"/>
  <c r="M114"/>
  <c r="I116"/>
  <c r="M118"/>
  <c r="I120"/>
  <c r="M122"/>
  <c r="I124"/>
  <c r="M126"/>
  <c r="I128"/>
  <c r="I134"/>
  <c r="P4" i="32"/>
  <c r="P5" s="1"/>
  <c r="J13"/>
  <c r="M13"/>
  <c r="G13"/>
  <c r="J22"/>
  <c r="K22"/>
  <c r="J24"/>
  <c r="I24"/>
  <c r="J26"/>
  <c r="G26"/>
  <c r="K39"/>
  <c r="G47"/>
  <c r="J53"/>
  <c r="K53"/>
  <c r="J55"/>
  <c r="M55"/>
  <c r="I55"/>
  <c r="J57"/>
  <c r="M57"/>
  <c r="K57"/>
  <c r="G57"/>
  <c r="J61"/>
  <c r="M61"/>
  <c r="G61"/>
  <c r="K61"/>
  <c r="I65"/>
  <c r="J89"/>
  <c r="K89"/>
  <c r="G89"/>
  <c r="J93"/>
  <c r="G93"/>
  <c r="K93"/>
  <c r="I95"/>
  <c r="J107"/>
  <c r="M107"/>
  <c r="K107"/>
  <c r="G107"/>
  <c r="J111"/>
  <c r="G111"/>
  <c r="K111"/>
  <c r="J121"/>
  <c r="K121"/>
  <c r="G121"/>
  <c r="I123"/>
  <c r="J128"/>
  <c r="G128"/>
  <c r="K128"/>
  <c r="I132"/>
  <c r="I136"/>
  <c r="J72" i="33"/>
  <c r="K72"/>
  <c r="G72"/>
  <c r="J76"/>
  <c r="G76"/>
  <c r="K76"/>
  <c r="I80"/>
  <c r="J88"/>
  <c r="G88"/>
  <c r="K88"/>
  <c r="J96"/>
  <c r="G96"/>
  <c r="K96"/>
  <c r="I98"/>
  <c r="J104"/>
  <c r="G104"/>
  <c r="K104"/>
  <c r="I106"/>
  <c r="J118"/>
  <c r="K118"/>
  <c r="G118"/>
  <c r="J122"/>
  <c r="G122"/>
  <c r="K122"/>
  <c r="I126"/>
  <c r="J12" i="34"/>
  <c r="K12"/>
  <c r="G12"/>
  <c r="J41"/>
  <c r="K41"/>
  <c r="I41"/>
  <c r="G41"/>
  <c r="J65"/>
  <c r="I65"/>
  <c r="G65"/>
  <c r="K65"/>
  <c r="M69"/>
  <c r="J100"/>
  <c r="I100"/>
  <c r="G100"/>
  <c r="K100"/>
  <c r="N6" i="35"/>
  <c r="J67"/>
  <c r="G67"/>
  <c r="K67"/>
  <c r="M67"/>
  <c r="I67"/>
  <c r="J130"/>
  <c r="G130"/>
  <c r="K130"/>
  <c r="I130"/>
  <c r="M38" i="31"/>
  <c r="M42"/>
  <c r="M56"/>
  <c r="M112"/>
  <c r="M116"/>
  <c r="M120"/>
  <c r="M124"/>
  <c r="M128"/>
  <c r="M134"/>
  <c r="J37" i="32"/>
  <c r="K37"/>
  <c r="J41"/>
  <c r="G41"/>
  <c r="J77"/>
  <c r="G77"/>
  <c r="K77"/>
  <c r="J84" i="33"/>
  <c r="G84"/>
  <c r="K84"/>
  <c r="J92"/>
  <c r="G92"/>
  <c r="K92"/>
  <c r="J100"/>
  <c r="G100"/>
  <c r="K100"/>
  <c r="J108"/>
  <c r="G108"/>
  <c r="K108"/>
  <c r="J134"/>
  <c r="K134"/>
  <c r="G134"/>
  <c r="J81" i="34"/>
  <c r="I81"/>
  <c r="G81"/>
  <c r="K81"/>
  <c r="J124"/>
  <c r="I124"/>
  <c r="G124"/>
  <c r="K124"/>
  <c r="J75" i="35"/>
  <c r="G75"/>
  <c r="K75"/>
  <c r="I75"/>
  <c r="G22" i="31"/>
  <c r="G28"/>
  <c r="M34"/>
  <c r="G42"/>
  <c r="M48"/>
  <c r="G56"/>
  <c r="M76"/>
  <c r="M90"/>
  <c r="G94"/>
  <c r="G98"/>
  <c r="M100"/>
  <c r="M104"/>
  <c r="G112"/>
  <c r="G120"/>
  <c r="G124"/>
  <c r="G128"/>
  <c r="G134"/>
  <c r="J18" i="32"/>
  <c r="G18"/>
  <c r="G39"/>
  <c r="I41"/>
  <c r="J45"/>
  <c r="K45"/>
  <c r="J49"/>
  <c r="M49"/>
  <c r="G49"/>
  <c r="J69"/>
  <c r="M69"/>
  <c r="G69"/>
  <c r="K69"/>
  <c r="I73"/>
  <c r="I77"/>
  <c r="J12" i="33"/>
  <c r="K12"/>
  <c r="G12"/>
  <c r="J20"/>
  <c r="G20"/>
  <c r="K20"/>
  <c r="I24"/>
  <c r="I28"/>
  <c r="J90"/>
  <c r="K90"/>
  <c r="G90"/>
  <c r="I92"/>
  <c r="I108"/>
  <c r="J130"/>
  <c r="G130"/>
  <c r="K130"/>
  <c r="I134"/>
  <c r="J53" i="34"/>
  <c r="K53"/>
  <c r="I53"/>
  <c r="G53"/>
  <c r="J106"/>
  <c r="I106"/>
  <c r="G106"/>
  <c r="K106"/>
  <c r="I13" i="31"/>
  <c r="K22"/>
  <c r="K28"/>
  <c r="K32"/>
  <c r="I34"/>
  <c r="K38"/>
  <c r="K42"/>
  <c r="G44"/>
  <c r="M46"/>
  <c r="I48"/>
  <c r="M50"/>
  <c r="I52"/>
  <c r="K56"/>
  <c r="K60"/>
  <c r="I62"/>
  <c r="K66"/>
  <c r="I68"/>
  <c r="M70"/>
  <c r="I72"/>
  <c r="M74"/>
  <c r="I76"/>
  <c r="K80"/>
  <c r="I82"/>
  <c r="G84"/>
  <c r="I86"/>
  <c r="I90"/>
  <c r="K94"/>
  <c r="G96"/>
  <c r="K98"/>
  <c r="I100"/>
  <c r="M102"/>
  <c r="I104"/>
  <c r="K108"/>
  <c r="G110"/>
  <c r="K112"/>
  <c r="G114"/>
  <c r="K116"/>
  <c r="G118"/>
  <c r="K120"/>
  <c r="G122"/>
  <c r="K124"/>
  <c r="G126"/>
  <c r="K128"/>
  <c r="G130"/>
  <c r="K134"/>
  <c r="G136"/>
  <c r="P6" i="32"/>
  <c r="G11"/>
  <c r="I13"/>
  <c r="K18"/>
  <c r="G22"/>
  <c r="G24"/>
  <c r="I26"/>
  <c r="J29"/>
  <c r="K29"/>
  <c r="J31"/>
  <c r="M31"/>
  <c r="I31"/>
  <c r="J33"/>
  <c r="G33"/>
  <c r="I45"/>
  <c r="K47"/>
  <c r="K49"/>
  <c r="G53"/>
  <c r="G55"/>
  <c r="I57"/>
  <c r="I61"/>
  <c r="J81"/>
  <c r="M81"/>
  <c r="K81"/>
  <c r="G81"/>
  <c r="J85"/>
  <c r="G85"/>
  <c r="K85"/>
  <c r="I89"/>
  <c r="I93"/>
  <c r="J99"/>
  <c r="K99"/>
  <c r="G99"/>
  <c r="J103"/>
  <c r="M103"/>
  <c r="G103"/>
  <c r="K103"/>
  <c r="I107"/>
  <c r="I111"/>
  <c r="J117"/>
  <c r="G117"/>
  <c r="K117"/>
  <c r="I121"/>
  <c r="I128"/>
  <c r="J133"/>
  <c r="M133"/>
  <c r="J64" i="33"/>
  <c r="K64"/>
  <c r="G64"/>
  <c r="J68"/>
  <c r="G68"/>
  <c r="K68"/>
  <c r="I72"/>
  <c r="I76"/>
  <c r="J86"/>
  <c r="K86"/>
  <c r="G86"/>
  <c r="I88"/>
  <c r="J94"/>
  <c r="K94"/>
  <c r="G94"/>
  <c r="I96"/>
  <c r="J102"/>
  <c r="K102"/>
  <c r="G102"/>
  <c r="I104"/>
  <c r="J110"/>
  <c r="K110"/>
  <c r="G110"/>
  <c r="J114"/>
  <c r="G114"/>
  <c r="K114"/>
  <c r="I118"/>
  <c r="I122"/>
  <c r="I12" i="34"/>
  <c r="J37"/>
  <c r="I37"/>
  <c r="G37"/>
  <c r="K37"/>
  <c r="M65"/>
  <c r="J130"/>
  <c r="K130"/>
  <c r="I130"/>
  <c r="G130"/>
  <c r="J71" i="35"/>
  <c r="G71"/>
  <c r="K71"/>
  <c r="M71"/>
  <c r="I71"/>
  <c r="J81"/>
  <c r="G81"/>
  <c r="K81"/>
  <c r="M81"/>
  <c r="I81"/>
  <c r="M33" i="32"/>
  <c r="J51"/>
  <c r="M51"/>
  <c r="I63"/>
  <c r="I71"/>
  <c r="I79"/>
  <c r="I87"/>
  <c r="J91"/>
  <c r="M91"/>
  <c r="J101"/>
  <c r="M101"/>
  <c r="J109"/>
  <c r="M109"/>
  <c r="I113"/>
  <c r="I119"/>
  <c r="I130"/>
  <c r="J134"/>
  <c r="M134"/>
  <c r="J135"/>
  <c r="M135"/>
  <c r="I22" i="33"/>
  <c r="I30"/>
  <c r="I34"/>
  <c r="I38"/>
  <c r="I42"/>
  <c r="I46"/>
  <c r="I50"/>
  <c r="I54"/>
  <c r="I58"/>
  <c r="I62"/>
  <c r="I70"/>
  <c r="I78"/>
  <c r="I116"/>
  <c r="I124"/>
  <c r="I132"/>
  <c r="J14" i="34"/>
  <c r="I14"/>
  <c r="J43"/>
  <c r="I43"/>
  <c r="G43"/>
  <c r="J49"/>
  <c r="K49"/>
  <c r="I49"/>
  <c r="J55"/>
  <c r="I55"/>
  <c r="G55"/>
  <c r="J59"/>
  <c r="I59"/>
  <c r="G59"/>
  <c r="J63"/>
  <c r="K63"/>
  <c r="I63"/>
  <c r="J75"/>
  <c r="I75"/>
  <c r="G75"/>
  <c r="J79"/>
  <c r="K79"/>
  <c r="I79"/>
  <c r="J84"/>
  <c r="K84"/>
  <c r="I84"/>
  <c r="J92"/>
  <c r="I92"/>
  <c r="G92"/>
  <c r="J98"/>
  <c r="K98"/>
  <c r="I98"/>
  <c r="J132"/>
  <c r="I132"/>
  <c r="G132"/>
  <c r="J136"/>
  <c r="K136"/>
  <c r="I136"/>
  <c r="J15" i="35"/>
  <c r="K15"/>
  <c r="I15"/>
  <c r="G15"/>
  <c r="J19"/>
  <c r="G19"/>
  <c r="K19"/>
  <c r="I19"/>
  <c r="J65"/>
  <c r="K65"/>
  <c r="G65"/>
  <c r="M65"/>
  <c r="J73"/>
  <c r="K73"/>
  <c r="G73"/>
  <c r="M73"/>
  <c r="J124"/>
  <c r="K124"/>
  <c r="G124"/>
  <c r="M124"/>
  <c r="J105" i="32"/>
  <c r="M105"/>
  <c r="J131"/>
  <c r="M131"/>
  <c r="F140" i="33"/>
  <c r="F140" i="34"/>
  <c r="J20"/>
  <c r="I20"/>
  <c r="G20"/>
  <c r="J35"/>
  <c r="K35"/>
  <c r="I35"/>
  <c r="J112"/>
  <c r="I112"/>
  <c r="G112"/>
  <c r="J116"/>
  <c r="I116"/>
  <c r="G116"/>
  <c r="J122"/>
  <c r="K122"/>
  <c r="I122"/>
  <c r="I11" i="35"/>
  <c r="N7"/>
  <c r="M136" s="1"/>
  <c r="K11"/>
  <c r="I17"/>
  <c r="K17"/>
  <c r="G17"/>
  <c r="J69"/>
  <c r="K69"/>
  <c r="G69"/>
  <c r="M69"/>
  <c r="J120"/>
  <c r="K120"/>
  <c r="G120"/>
  <c r="M120"/>
  <c r="J128"/>
  <c r="K128"/>
  <c r="G128"/>
  <c r="M128"/>
  <c r="D11" i="27"/>
  <c r="F8"/>
  <c r="K24" i="34"/>
  <c r="K27"/>
  <c r="K31"/>
  <c r="M33"/>
  <c r="M39"/>
  <c r="K47"/>
  <c r="M51"/>
  <c r="K57"/>
  <c r="M61"/>
  <c r="K67"/>
  <c r="K73"/>
  <c r="M77"/>
  <c r="K88"/>
  <c r="K96"/>
  <c r="K104"/>
  <c r="M108"/>
  <c r="K114"/>
  <c r="K120"/>
  <c r="K128"/>
  <c r="M134"/>
  <c r="J23" i="35"/>
  <c r="G23"/>
  <c r="K23"/>
  <c r="J25"/>
  <c r="K25"/>
  <c r="G25"/>
  <c r="J31"/>
  <c r="K31"/>
  <c r="G31"/>
  <c r="J33"/>
  <c r="G33"/>
  <c r="K33"/>
  <c r="J35"/>
  <c r="K35"/>
  <c r="G35"/>
  <c r="J88"/>
  <c r="K88"/>
  <c r="G88"/>
  <c r="J94"/>
  <c r="K94"/>
  <c r="G94"/>
  <c r="J96"/>
  <c r="G96"/>
  <c r="K96"/>
  <c r="J98"/>
  <c r="K98"/>
  <c r="G98"/>
  <c r="J100"/>
  <c r="G100"/>
  <c r="K100"/>
  <c r="J102"/>
  <c r="K102"/>
  <c r="G102"/>
  <c r="J104"/>
  <c r="G104"/>
  <c r="K104"/>
  <c r="J106"/>
  <c r="K106"/>
  <c r="G106"/>
  <c r="M31" i="34"/>
  <c r="M57"/>
  <c r="M73"/>
  <c r="M104"/>
  <c r="M114"/>
  <c r="I23" i="35"/>
  <c r="I25"/>
  <c r="I31"/>
  <c r="I33"/>
  <c r="I35"/>
  <c r="J45"/>
  <c r="K45"/>
  <c r="G45"/>
  <c r="J49"/>
  <c r="G49"/>
  <c r="K49"/>
  <c r="J51"/>
  <c r="K51"/>
  <c r="G51"/>
  <c r="J53"/>
  <c r="G53"/>
  <c r="K53"/>
  <c r="I88"/>
  <c r="I94"/>
  <c r="I96"/>
  <c r="I98"/>
  <c r="I100"/>
  <c r="I102"/>
  <c r="I104"/>
  <c r="I106"/>
  <c r="J134"/>
  <c r="K134"/>
  <c r="G134"/>
  <c r="J136"/>
  <c r="G136"/>
  <c r="K136"/>
  <c r="F10" i="27"/>
  <c r="M27" i="35"/>
  <c r="I29"/>
  <c r="M37"/>
  <c r="I39"/>
  <c r="M41"/>
  <c r="I43"/>
  <c r="I55"/>
  <c r="M57"/>
  <c r="I59"/>
  <c r="M61"/>
  <c r="I63"/>
  <c r="I77"/>
  <c r="M84"/>
  <c r="I86"/>
  <c r="M90"/>
  <c r="I92"/>
  <c r="M108"/>
  <c r="I110"/>
  <c r="M112"/>
  <c r="I114"/>
  <c r="M116"/>
  <c r="I118"/>
  <c r="I132"/>
  <c r="M39"/>
  <c r="M55"/>
  <c r="M59"/>
  <c r="M77"/>
  <c r="M110"/>
  <c r="M114"/>
  <c r="D6" i="27"/>
  <c r="M86" i="35"/>
  <c r="M132"/>
  <c r="M79"/>
  <c r="M14" i="32"/>
  <c r="M16"/>
  <c r="E147" s="1"/>
  <c r="M18"/>
  <c r="M20"/>
  <c r="M22"/>
  <c r="M24"/>
  <c r="M26"/>
  <c r="M28"/>
  <c r="M30"/>
  <c r="M32"/>
  <c r="M36"/>
  <c r="M38"/>
  <c r="M42"/>
  <c r="M44"/>
  <c r="M46"/>
  <c r="M48"/>
  <c r="M52"/>
  <c r="M54"/>
  <c r="M58"/>
  <c r="M60"/>
  <c r="M62"/>
  <c r="M64"/>
  <c r="M66"/>
  <c r="M72"/>
  <c r="M74"/>
  <c r="M76"/>
  <c r="M78"/>
  <c r="M80"/>
  <c r="M82"/>
  <c r="M86"/>
  <c r="M88"/>
  <c r="M90"/>
  <c r="M92"/>
  <c r="M96"/>
  <c r="M98"/>
  <c r="M100"/>
  <c r="M102"/>
  <c r="M106"/>
  <c r="M116"/>
  <c r="M118"/>
  <c r="M120"/>
  <c r="M122"/>
  <c r="M124"/>
  <c r="M126"/>
  <c r="M128"/>
  <c r="M130"/>
  <c r="M132"/>
  <c r="M136"/>
  <c r="M11"/>
  <c r="M15"/>
  <c r="M17"/>
  <c r="M19"/>
  <c r="M21"/>
  <c r="M25"/>
  <c r="M27"/>
  <c r="M29"/>
  <c r="M35"/>
  <c r="M37"/>
  <c r="M41"/>
  <c r="M43"/>
  <c r="M45"/>
  <c r="M47"/>
  <c r="M53"/>
  <c r="M59"/>
  <c r="M63"/>
  <c r="M67"/>
  <c r="M71"/>
  <c r="M75"/>
  <c r="M79"/>
  <c r="M83"/>
  <c r="M85"/>
  <c r="M87"/>
  <c r="M89"/>
  <c r="M93"/>
  <c r="M95"/>
  <c r="M99"/>
  <c r="M111"/>
  <c r="M113"/>
  <c r="M115"/>
  <c r="M117"/>
  <c r="M121"/>
  <c r="M123"/>
  <c r="M125"/>
  <c r="M127"/>
  <c r="F140" i="35"/>
  <c r="H11"/>
  <c r="L11" s="1"/>
  <c r="J11"/>
  <c r="G12"/>
  <c r="I12"/>
  <c r="K12"/>
  <c r="H13"/>
  <c r="G14"/>
  <c r="I14"/>
  <c r="K14"/>
  <c r="M14"/>
  <c r="H15"/>
  <c r="H16"/>
  <c r="H17"/>
  <c r="J17"/>
  <c r="G18"/>
  <c r="I18"/>
  <c r="K18"/>
  <c r="H19"/>
  <c r="L19" s="1"/>
  <c r="G20"/>
  <c r="I20"/>
  <c r="K20"/>
  <c r="M20"/>
  <c r="H21"/>
  <c r="L21" s="1"/>
  <c r="G22"/>
  <c r="I22"/>
  <c r="K22"/>
  <c r="H23"/>
  <c r="G24"/>
  <c r="I24"/>
  <c r="K24"/>
  <c r="M24"/>
  <c r="H25"/>
  <c r="G26"/>
  <c r="I26"/>
  <c r="K26"/>
  <c r="H27"/>
  <c r="L27" s="1"/>
  <c r="N27" s="1"/>
  <c r="G28"/>
  <c r="I28"/>
  <c r="K28"/>
  <c r="M28"/>
  <c r="H29"/>
  <c r="G30"/>
  <c r="I30"/>
  <c r="K30"/>
  <c r="H31"/>
  <c r="G32"/>
  <c r="I32"/>
  <c r="K32"/>
  <c r="M32"/>
  <c r="H33"/>
  <c r="G34"/>
  <c r="I34"/>
  <c r="K34"/>
  <c r="M34"/>
  <c r="H35"/>
  <c r="L35" s="1"/>
  <c r="G36"/>
  <c r="I36"/>
  <c r="K36"/>
  <c r="M36"/>
  <c r="H37"/>
  <c r="L37" s="1"/>
  <c r="N37" s="1"/>
  <c r="G38"/>
  <c r="I38"/>
  <c r="K38"/>
  <c r="H39"/>
  <c r="G40"/>
  <c r="I40"/>
  <c r="K40"/>
  <c r="M40"/>
  <c r="H41"/>
  <c r="L41" s="1"/>
  <c r="G42"/>
  <c r="I42"/>
  <c r="K42"/>
  <c r="H43"/>
  <c r="L43" s="1"/>
  <c r="G44"/>
  <c r="I44"/>
  <c r="K44"/>
  <c r="M44"/>
  <c r="H45"/>
  <c r="G46"/>
  <c r="I46"/>
  <c r="K46"/>
  <c r="M46"/>
  <c r="H47"/>
  <c r="L47" s="1"/>
  <c r="G48"/>
  <c r="I48"/>
  <c r="K48"/>
  <c r="M48"/>
  <c r="H49"/>
  <c r="G50"/>
  <c r="I50"/>
  <c r="K50"/>
  <c r="M50"/>
  <c r="H51"/>
  <c r="L51" s="1"/>
  <c r="N51" s="1"/>
  <c r="G52"/>
  <c r="I52"/>
  <c r="K52"/>
  <c r="M52"/>
  <c r="H53"/>
  <c r="G54"/>
  <c r="I54"/>
  <c r="K54"/>
  <c r="H55"/>
  <c r="L55" s="1"/>
  <c r="G56"/>
  <c r="I56"/>
  <c r="K56"/>
  <c r="M56"/>
  <c r="H57"/>
  <c r="L57" s="1"/>
  <c r="N57" s="1"/>
  <c r="G58"/>
  <c r="I58"/>
  <c r="K58"/>
  <c r="M58"/>
  <c r="H59"/>
  <c r="L59" s="1"/>
  <c r="N59" s="1"/>
  <c r="G60"/>
  <c r="I60"/>
  <c r="K60"/>
  <c r="M60"/>
  <c r="H61"/>
  <c r="L61" s="1"/>
  <c r="G62"/>
  <c r="I62"/>
  <c r="K62"/>
  <c r="M62"/>
  <c r="H63"/>
  <c r="L63" s="1"/>
  <c r="G64"/>
  <c r="I64"/>
  <c r="K64"/>
  <c r="M64"/>
  <c r="H65"/>
  <c r="G66"/>
  <c r="I66"/>
  <c r="K66"/>
  <c r="H67"/>
  <c r="L67" s="1"/>
  <c r="N67" s="1"/>
  <c r="G68"/>
  <c r="I68"/>
  <c r="K68"/>
  <c r="M68"/>
  <c r="H69"/>
  <c r="G70"/>
  <c r="I70"/>
  <c r="K70"/>
  <c r="M70"/>
  <c r="H71"/>
  <c r="G72"/>
  <c r="I72"/>
  <c r="K72"/>
  <c r="M72"/>
  <c r="H73"/>
  <c r="G74"/>
  <c r="I74"/>
  <c r="K74"/>
  <c r="H75"/>
  <c r="L75" s="1"/>
  <c r="G76"/>
  <c r="I76"/>
  <c r="K76"/>
  <c r="M76"/>
  <c r="H77"/>
  <c r="G78"/>
  <c r="I78"/>
  <c r="K78"/>
  <c r="H79"/>
  <c r="L79" s="1"/>
  <c r="N79" s="1"/>
  <c r="G80"/>
  <c r="I80"/>
  <c r="K80"/>
  <c r="M80"/>
  <c r="H81"/>
  <c r="G82"/>
  <c r="I82"/>
  <c r="M82"/>
  <c r="M92"/>
  <c r="M83"/>
  <c r="K83"/>
  <c r="I83"/>
  <c r="G83"/>
  <c r="M85"/>
  <c r="K85"/>
  <c r="I85"/>
  <c r="G85"/>
  <c r="K87"/>
  <c r="I87"/>
  <c r="G87"/>
  <c r="M89"/>
  <c r="K89"/>
  <c r="I89"/>
  <c r="G89"/>
  <c r="M91"/>
  <c r="K91"/>
  <c r="I91"/>
  <c r="G91"/>
  <c r="K93"/>
  <c r="I93"/>
  <c r="G93"/>
  <c r="K95"/>
  <c r="I95"/>
  <c r="G95"/>
  <c r="M97"/>
  <c r="K97"/>
  <c r="I97"/>
  <c r="G97"/>
  <c r="K99"/>
  <c r="I99"/>
  <c r="G99"/>
  <c r="M101"/>
  <c r="K101"/>
  <c r="I101"/>
  <c r="G101"/>
  <c r="M103"/>
  <c r="K103"/>
  <c r="I103"/>
  <c r="G103"/>
  <c r="M105"/>
  <c r="K105"/>
  <c r="I105"/>
  <c r="G105"/>
  <c r="M107"/>
  <c r="K107"/>
  <c r="I107"/>
  <c r="G107"/>
  <c r="H12"/>
  <c r="H14"/>
  <c r="M15"/>
  <c r="H18"/>
  <c r="H20"/>
  <c r="H22"/>
  <c r="H24"/>
  <c r="H26"/>
  <c r="H28"/>
  <c r="M29"/>
  <c r="H30"/>
  <c r="H32"/>
  <c r="H34"/>
  <c r="M35"/>
  <c r="H36"/>
  <c r="H38"/>
  <c r="H40"/>
  <c r="H42"/>
  <c r="H44"/>
  <c r="M45"/>
  <c r="H46"/>
  <c r="M47"/>
  <c r="H48"/>
  <c r="H50"/>
  <c r="H52"/>
  <c r="H54"/>
  <c r="H56"/>
  <c r="H58"/>
  <c r="H60"/>
  <c r="H62"/>
  <c r="H64"/>
  <c r="H66"/>
  <c r="H68"/>
  <c r="H70"/>
  <c r="H72"/>
  <c r="H74"/>
  <c r="H76"/>
  <c r="H78"/>
  <c r="H80"/>
  <c r="H82"/>
  <c r="K82"/>
  <c r="J83"/>
  <c r="J85"/>
  <c r="J87"/>
  <c r="J89"/>
  <c r="J91"/>
  <c r="J93"/>
  <c r="J95"/>
  <c r="J97"/>
  <c r="J99"/>
  <c r="J101"/>
  <c r="J103"/>
  <c r="J105"/>
  <c r="J107"/>
  <c r="J146"/>
  <c r="H84"/>
  <c r="L84" s="1"/>
  <c r="H86"/>
  <c r="L86" s="1"/>
  <c r="N86" s="1"/>
  <c r="H88"/>
  <c r="H90"/>
  <c r="L90" s="1"/>
  <c r="N90" s="1"/>
  <c r="H92"/>
  <c r="L92" s="1"/>
  <c r="H94"/>
  <c r="L94" s="1"/>
  <c r="N94" s="1"/>
  <c r="H96"/>
  <c r="H98"/>
  <c r="H100"/>
  <c r="H102"/>
  <c r="L102" s="1"/>
  <c r="N102" s="1"/>
  <c r="H104"/>
  <c r="H106"/>
  <c r="H108"/>
  <c r="L108" s="1"/>
  <c r="G109"/>
  <c r="I109"/>
  <c r="K109"/>
  <c r="M109"/>
  <c r="H110"/>
  <c r="L110" s="1"/>
  <c r="N110" s="1"/>
  <c r="G111"/>
  <c r="I111"/>
  <c r="K111"/>
  <c r="M111"/>
  <c r="H112"/>
  <c r="L112" s="1"/>
  <c r="N112" s="1"/>
  <c r="G113"/>
  <c r="I113"/>
  <c r="K113"/>
  <c r="H114"/>
  <c r="G115"/>
  <c r="I115"/>
  <c r="K115"/>
  <c r="M115"/>
  <c r="H116"/>
  <c r="L116" s="1"/>
  <c r="G117"/>
  <c r="I117"/>
  <c r="K117"/>
  <c r="M117"/>
  <c r="H118"/>
  <c r="L118" s="1"/>
  <c r="G119"/>
  <c r="I119"/>
  <c r="K119"/>
  <c r="M119"/>
  <c r="H120"/>
  <c r="G121"/>
  <c r="I121"/>
  <c r="K121"/>
  <c r="H122"/>
  <c r="G123"/>
  <c r="I123"/>
  <c r="K123"/>
  <c r="M123"/>
  <c r="H124"/>
  <c r="G125"/>
  <c r="I125"/>
  <c r="K125"/>
  <c r="H126"/>
  <c r="L126" s="1"/>
  <c r="N126" s="1"/>
  <c r="G127"/>
  <c r="I127"/>
  <c r="K127"/>
  <c r="M127"/>
  <c r="H128"/>
  <c r="G129"/>
  <c r="I129"/>
  <c r="K129"/>
  <c r="H130"/>
  <c r="G131"/>
  <c r="I131"/>
  <c r="K131"/>
  <c r="M131"/>
  <c r="H132"/>
  <c r="L132" s="1"/>
  <c r="G133"/>
  <c r="I133"/>
  <c r="K133"/>
  <c r="M133"/>
  <c r="H134"/>
  <c r="L134" s="1"/>
  <c r="N134" s="1"/>
  <c r="G135"/>
  <c r="I135"/>
  <c r="K135"/>
  <c r="M135"/>
  <c r="H136"/>
  <c r="H109"/>
  <c r="H111"/>
  <c r="H113"/>
  <c r="H115"/>
  <c r="H117"/>
  <c r="H119"/>
  <c r="H121"/>
  <c r="H123"/>
  <c r="H125"/>
  <c r="H127"/>
  <c r="H129"/>
  <c r="H131"/>
  <c r="H133"/>
  <c r="H135"/>
  <c r="H11" i="34"/>
  <c r="J11"/>
  <c r="H13"/>
  <c r="J13"/>
  <c r="H15"/>
  <c r="J15"/>
  <c r="H17"/>
  <c r="J17"/>
  <c r="H19"/>
  <c r="J19"/>
  <c r="H21"/>
  <c r="J21"/>
  <c r="H23"/>
  <c r="J23"/>
  <c r="H25"/>
  <c r="J25"/>
  <c r="K26"/>
  <c r="K28"/>
  <c r="I28"/>
  <c r="G28"/>
  <c r="K30"/>
  <c r="I30"/>
  <c r="G30"/>
  <c r="K32"/>
  <c r="I32"/>
  <c r="G32"/>
  <c r="M34"/>
  <c r="K34"/>
  <c r="I34"/>
  <c r="G34"/>
  <c r="K36"/>
  <c r="I36"/>
  <c r="G36"/>
  <c r="K38"/>
  <c r="I38"/>
  <c r="G38"/>
  <c r="M40"/>
  <c r="K40"/>
  <c r="I40"/>
  <c r="G40"/>
  <c r="K42"/>
  <c r="I42"/>
  <c r="G42"/>
  <c r="K44"/>
  <c r="I44"/>
  <c r="G44"/>
  <c r="K46"/>
  <c r="I46"/>
  <c r="G46"/>
  <c r="K48"/>
  <c r="I48"/>
  <c r="G48"/>
  <c r="M50"/>
  <c r="K50"/>
  <c r="I50"/>
  <c r="G50"/>
  <c r="N4"/>
  <c r="N5" s="1"/>
  <c r="N6"/>
  <c r="N7"/>
  <c r="M52" s="1"/>
  <c r="G11"/>
  <c r="I11"/>
  <c r="K11"/>
  <c r="M11"/>
  <c r="H12"/>
  <c r="G13"/>
  <c r="I13"/>
  <c r="K13"/>
  <c r="H14"/>
  <c r="G15"/>
  <c r="I15"/>
  <c r="K15"/>
  <c r="L154"/>
  <c r="L16"/>
  <c r="G17"/>
  <c r="I17"/>
  <c r="K17"/>
  <c r="M17"/>
  <c r="H18"/>
  <c r="G19"/>
  <c r="I19"/>
  <c r="K19"/>
  <c r="H20"/>
  <c r="G21"/>
  <c r="I21"/>
  <c r="K21"/>
  <c r="H22"/>
  <c r="L22" s="1"/>
  <c r="G23"/>
  <c r="I23"/>
  <c r="K23"/>
  <c r="H24"/>
  <c r="G25"/>
  <c r="I25"/>
  <c r="K25"/>
  <c r="H26"/>
  <c r="J26"/>
  <c r="J28"/>
  <c r="J30"/>
  <c r="J32"/>
  <c r="J34"/>
  <c r="J36"/>
  <c r="J38"/>
  <c r="J40"/>
  <c r="J42"/>
  <c r="J44"/>
  <c r="J46"/>
  <c r="J48"/>
  <c r="J50"/>
  <c r="K83"/>
  <c r="I83"/>
  <c r="G83"/>
  <c r="K85"/>
  <c r="I85"/>
  <c r="G85"/>
  <c r="K87"/>
  <c r="I87"/>
  <c r="G87"/>
  <c r="K89"/>
  <c r="I89"/>
  <c r="G89"/>
  <c r="M91"/>
  <c r="K91"/>
  <c r="I91"/>
  <c r="G91"/>
  <c r="K93"/>
  <c r="I93"/>
  <c r="G93"/>
  <c r="K95"/>
  <c r="I95"/>
  <c r="G95"/>
  <c r="M97"/>
  <c r="K97"/>
  <c r="I97"/>
  <c r="G97"/>
  <c r="K99"/>
  <c r="I99"/>
  <c r="G99"/>
  <c r="M101"/>
  <c r="K101"/>
  <c r="I101"/>
  <c r="G101"/>
  <c r="M103"/>
  <c r="K103"/>
  <c r="I103"/>
  <c r="G103"/>
  <c r="M105"/>
  <c r="K105"/>
  <c r="I105"/>
  <c r="G105"/>
  <c r="M107"/>
  <c r="K107"/>
  <c r="I107"/>
  <c r="G107"/>
  <c r="M109"/>
  <c r="K109"/>
  <c r="I109"/>
  <c r="G109"/>
  <c r="H52"/>
  <c r="J52"/>
  <c r="H54"/>
  <c r="J54"/>
  <c r="H56"/>
  <c r="J56"/>
  <c r="H58"/>
  <c r="J58"/>
  <c r="H60"/>
  <c r="J60"/>
  <c r="H62"/>
  <c r="J62"/>
  <c r="H64"/>
  <c r="J64"/>
  <c r="H66"/>
  <c r="J66"/>
  <c r="H68"/>
  <c r="J68"/>
  <c r="H70"/>
  <c r="J70"/>
  <c r="H72"/>
  <c r="J72"/>
  <c r="H74"/>
  <c r="J74"/>
  <c r="H76"/>
  <c r="J76"/>
  <c r="H78"/>
  <c r="J78"/>
  <c r="H80"/>
  <c r="J80"/>
  <c r="H82"/>
  <c r="K82"/>
  <c r="J83"/>
  <c r="J85"/>
  <c r="J87"/>
  <c r="J89"/>
  <c r="J91"/>
  <c r="J93"/>
  <c r="J95"/>
  <c r="J97"/>
  <c r="J99"/>
  <c r="J101"/>
  <c r="J103"/>
  <c r="J105"/>
  <c r="J107"/>
  <c r="J109"/>
  <c r="J146"/>
  <c r="L147"/>
  <c r="H27"/>
  <c r="L27" s="1"/>
  <c r="H29"/>
  <c r="H31"/>
  <c r="L31" s="1"/>
  <c r="H33"/>
  <c r="L33" s="1"/>
  <c r="N33" s="1"/>
  <c r="H35"/>
  <c r="L35" s="1"/>
  <c r="H37"/>
  <c r="H39"/>
  <c r="L39" s="1"/>
  <c r="H41"/>
  <c r="H43"/>
  <c r="L43" s="1"/>
  <c r="H45"/>
  <c r="L45" s="1"/>
  <c r="H47"/>
  <c r="L47" s="1"/>
  <c r="H49"/>
  <c r="H51"/>
  <c r="L51" s="1"/>
  <c r="N51" s="1"/>
  <c r="G52"/>
  <c r="I52"/>
  <c r="K52"/>
  <c r="H53"/>
  <c r="L53" s="1"/>
  <c r="G54"/>
  <c r="I54"/>
  <c r="K54"/>
  <c r="H55"/>
  <c r="L55" s="1"/>
  <c r="N55" s="1"/>
  <c r="G56"/>
  <c r="I56"/>
  <c r="K56"/>
  <c r="H57"/>
  <c r="L57" s="1"/>
  <c r="N57" s="1"/>
  <c r="G58"/>
  <c r="I58"/>
  <c r="K58"/>
  <c r="H59"/>
  <c r="L59" s="1"/>
  <c r="G60"/>
  <c r="I60"/>
  <c r="K60"/>
  <c r="H61"/>
  <c r="L61" s="1"/>
  <c r="N61" s="1"/>
  <c r="G62"/>
  <c r="I62"/>
  <c r="K62"/>
  <c r="H63"/>
  <c r="L63" s="1"/>
  <c r="G64"/>
  <c r="I64"/>
  <c r="K64"/>
  <c r="H65"/>
  <c r="L65" s="1"/>
  <c r="N65" s="1"/>
  <c r="G66"/>
  <c r="I66"/>
  <c r="K66"/>
  <c r="H67"/>
  <c r="L67" s="1"/>
  <c r="G68"/>
  <c r="I68"/>
  <c r="K68"/>
  <c r="H69"/>
  <c r="L69" s="1"/>
  <c r="N69" s="1"/>
  <c r="G70"/>
  <c r="I70"/>
  <c r="K70"/>
  <c r="H71"/>
  <c r="L71" s="1"/>
  <c r="G72"/>
  <c r="I72"/>
  <c r="K72"/>
  <c r="H73"/>
  <c r="L73" s="1"/>
  <c r="N73" s="1"/>
  <c r="G74"/>
  <c r="I74"/>
  <c r="K74"/>
  <c r="H75"/>
  <c r="L75" s="1"/>
  <c r="G76"/>
  <c r="I76"/>
  <c r="K76"/>
  <c r="H77"/>
  <c r="L77" s="1"/>
  <c r="N77" s="1"/>
  <c r="G78"/>
  <c r="I78"/>
  <c r="K78"/>
  <c r="H79"/>
  <c r="L79" s="1"/>
  <c r="G80"/>
  <c r="I80"/>
  <c r="K80"/>
  <c r="H81"/>
  <c r="L81" s="1"/>
  <c r="N81" s="1"/>
  <c r="G82"/>
  <c r="I82"/>
  <c r="H83"/>
  <c r="H85"/>
  <c r="H87"/>
  <c r="H89"/>
  <c r="H91"/>
  <c r="H93"/>
  <c r="H95"/>
  <c r="H97"/>
  <c r="H99"/>
  <c r="H101"/>
  <c r="H103"/>
  <c r="H105"/>
  <c r="H107"/>
  <c r="H109"/>
  <c r="H84"/>
  <c r="H86"/>
  <c r="L86" s="1"/>
  <c r="H88"/>
  <c r="L88" s="1"/>
  <c r="H90"/>
  <c r="H92"/>
  <c r="H94"/>
  <c r="L94" s="1"/>
  <c r="H96"/>
  <c r="L96" s="1"/>
  <c r="H98"/>
  <c r="H100"/>
  <c r="H102"/>
  <c r="L102" s="1"/>
  <c r="H104"/>
  <c r="L104" s="1"/>
  <c r="N104" s="1"/>
  <c r="H106"/>
  <c r="H108"/>
  <c r="L108" s="1"/>
  <c r="H110"/>
  <c r="G111"/>
  <c r="I111"/>
  <c r="K111"/>
  <c r="H112"/>
  <c r="L112" s="1"/>
  <c r="N112" s="1"/>
  <c r="G113"/>
  <c r="I113"/>
  <c r="K113"/>
  <c r="M113"/>
  <c r="H114"/>
  <c r="G115"/>
  <c r="I115"/>
  <c r="K115"/>
  <c r="H116"/>
  <c r="G117"/>
  <c r="I117"/>
  <c r="K117"/>
  <c r="M117"/>
  <c r="H118"/>
  <c r="L118" s="1"/>
  <c r="G119"/>
  <c r="I119"/>
  <c r="K119"/>
  <c r="M119"/>
  <c r="H120"/>
  <c r="L120" s="1"/>
  <c r="G121"/>
  <c r="I121"/>
  <c r="K121"/>
  <c r="M121"/>
  <c r="H122"/>
  <c r="G123"/>
  <c r="I123"/>
  <c r="K123"/>
  <c r="H124"/>
  <c r="G125"/>
  <c r="I125"/>
  <c r="K125"/>
  <c r="M125"/>
  <c r="H126"/>
  <c r="L126" s="1"/>
  <c r="G127"/>
  <c r="I127"/>
  <c r="K127"/>
  <c r="H128"/>
  <c r="L128" s="1"/>
  <c r="G129"/>
  <c r="I129"/>
  <c r="K129"/>
  <c r="M129"/>
  <c r="H130"/>
  <c r="G131"/>
  <c r="I131"/>
  <c r="K131"/>
  <c r="M131"/>
  <c r="H132"/>
  <c r="G133"/>
  <c r="I133"/>
  <c r="K133"/>
  <c r="M133"/>
  <c r="H134"/>
  <c r="L134" s="1"/>
  <c r="N134" s="1"/>
  <c r="G135"/>
  <c r="I135"/>
  <c r="K135"/>
  <c r="M135"/>
  <c r="H136"/>
  <c r="L136" s="1"/>
  <c r="H111"/>
  <c r="H113"/>
  <c r="H115"/>
  <c r="H117"/>
  <c r="H119"/>
  <c r="H121"/>
  <c r="H123"/>
  <c r="H125"/>
  <c r="H127"/>
  <c r="H129"/>
  <c r="H131"/>
  <c r="H133"/>
  <c r="H135"/>
  <c r="K31" i="33"/>
  <c r="I31"/>
  <c r="G31"/>
  <c r="K33"/>
  <c r="I33"/>
  <c r="G33"/>
  <c r="K35"/>
  <c r="I35"/>
  <c r="G35"/>
  <c r="K37"/>
  <c r="I37"/>
  <c r="G37"/>
  <c r="K39"/>
  <c r="I39"/>
  <c r="G39"/>
  <c r="K41"/>
  <c r="I41"/>
  <c r="G41"/>
  <c r="K43"/>
  <c r="I43"/>
  <c r="G43"/>
  <c r="K45"/>
  <c r="I45"/>
  <c r="G45"/>
  <c r="K47"/>
  <c r="I47"/>
  <c r="G47"/>
  <c r="K49"/>
  <c r="I49"/>
  <c r="G49"/>
  <c r="K51"/>
  <c r="I51"/>
  <c r="G51"/>
  <c r="K53"/>
  <c r="I53"/>
  <c r="G53"/>
  <c r="K55"/>
  <c r="I55"/>
  <c r="G55"/>
  <c r="K57"/>
  <c r="I57"/>
  <c r="G57"/>
  <c r="K59"/>
  <c r="I59"/>
  <c r="G59"/>
  <c r="K61"/>
  <c r="I61"/>
  <c r="G61"/>
  <c r="K63"/>
  <c r="I63"/>
  <c r="G63"/>
  <c r="N4"/>
  <c r="N6"/>
  <c r="N7"/>
  <c r="G11"/>
  <c r="I11"/>
  <c r="K11"/>
  <c r="H12"/>
  <c r="L12" s="1"/>
  <c r="G13"/>
  <c r="I13"/>
  <c r="K13"/>
  <c r="H14"/>
  <c r="L14" s="1"/>
  <c r="G15"/>
  <c r="I15"/>
  <c r="K15"/>
  <c r="L154"/>
  <c r="L16"/>
  <c r="G17"/>
  <c r="I17"/>
  <c r="K17"/>
  <c r="H18"/>
  <c r="L18" s="1"/>
  <c r="G19"/>
  <c r="I19"/>
  <c r="K19"/>
  <c r="H20"/>
  <c r="L20" s="1"/>
  <c r="G21"/>
  <c r="I21"/>
  <c r="K21"/>
  <c r="H22"/>
  <c r="L22" s="1"/>
  <c r="G23"/>
  <c r="I23"/>
  <c r="K23"/>
  <c r="H24"/>
  <c r="L24" s="1"/>
  <c r="G25"/>
  <c r="I25"/>
  <c r="K25"/>
  <c r="H26"/>
  <c r="L26" s="1"/>
  <c r="G27"/>
  <c r="I27"/>
  <c r="K27"/>
  <c r="H28"/>
  <c r="L28" s="1"/>
  <c r="G29"/>
  <c r="I29"/>
  <c r="K29"/>
  <c r="H30"/>
  <c r="L30" s="1"/>
  <c r="J31"/>
  <c r="J33"/>
  <c r="J35"/>
  <c r="J37"/>
  <c r="J39"/>
  <c r="J41"/>
  <c r="J43"/>
  <c r="J45"/>
  <c r="J47"/>
  <c r="J49"/>
  <c r="J51"/>
  <c r="J53"/>
  <c r="J55"/>
  <c r="J57"/>
  <c r="J59"/>
  <c r="J61"/>
  <c r="J63"/>
  <c r="H11"/>
  <c r="J11"/>
  <c r="H13"/>
  <c r="H15"/>
  <c r="H17"/>
  <c r="J17"/>
  <c r="H19"/>
  <c r="H21"/>
  <c r="H23"/>
  <c r="H25"/>
  <c r="H27"/>
  <c r="H29"/>
  <c r="H63"/>
  <c r="H65"/>
  <c r="J65"/>
  <c r="H67"/>
  <c r="J67"/>
  <c r="H69"/>
  <c r="J69"/>
  <c r="H71"/>
  <c r="J71"/>
  <c r="H73"/>
  <c r="J73"/>
  <c r="H75"/>
  <c r="J75"/>
  <c r="H77"/>
  <c r="J77"/>
  <c r="H79"/>
  <c r="J79"/>
  <c r="H81"/>
  <c r="J81"/>
  <c r="L147"/>
  <c r="K83"/>
  <c r="I83"/>
  <c r="G83"/>
  <c r="K85"/>
  <c r="I85"/>
  <c r="G85"/>
  <c r="K87"/>
  <c r="I87"/>
  <c r="G87"/>
  <c r="K89"/>
  <c r="I89"/>
  <c r="G89"/>
  <c r="K91"/>
  <c r="I91"/>
  <c r="G91"/>
  <c r="K93"/>
  <c r="I93"/>
  <c r="G93"/>
  <c r="K95"/>
  <c r="I95"/>
  <c r="G95"/>
  <c r="K97"/>
  <c r="I97"/>
  <c r="G97"/>
  <c r="K99"/>
  <c r="I99"/>
  <c r="G99"/>
  <c r="K101"/>
  <c r="I101"/>
  <c r="G101"/>
  <c r="K103"/>
  <c r="I103"/>
  <c r="G103"/>
  <c r="K105"/>
  <c r="I105"/>
  <c r="G105"/>
  <c r="K107"/>
  <c r="I107"/>
  <c r="G107"/>
  <c r="K109"/>
  <c r="I109"/>
  <c r="G109"/>
  <c r="H32"/>
  <c r="L32" s="1"/>
  <c r="H34"/>
  <c r="H36"/>
  <c r="L36" s="1"/>
  <c r="H38"/>
  <c r="L38" s="1"/>
  <c r="H40"/>
  <c r="L40" s="1"/>
  <c r="N40" s="1"/>
  <c r="H42"/>
  <c r="L42" s="1"/>
  <c r="H44"/>
  <c r="L44" s="1"/>
  <c r="H46"/>
  <c r="L46" s="1"/>
  <c r="H48"/>
  <c r="L48" s="1"/>
  <c r="H50"/>
  <c r="H52"/>
  <c r="L52" s="1"/>
  <c r="H54"/>
  <c r="L54" s="1"/>
  <c r="H56"/>
  <c r="L56" s="1"/>
  <c r="N56" s="1"/>
  <c r="H58"/>
  <c r="L58" s="1"/>
  <c r="H60"/>
  <c r="L60" s="1"/>
  <c r="H62"/>
  <c r="L62" s="1"/>
  <c r="H64"/>
  <c r="L64" s="1"/>
  <c r="G65"/>
  <c r="I65"/>
  <c r="K65"/>
  <c r="H66"/>
  <c r="L66" s="1"/>
  <c r="G67"/>
  <c r="I67"/>
  <c r="K67"/>
  <c r="H68"/>
  <c r="L68" s="1"/>
  <c r="N68" s="1"/>
  <c r="G69"/>
  <c r="I69"/>
  <c r="K69"/>
  <c r="H70"/>
  <c r="L70" s="1"/>
  <c r="N70" s="1"/>
  <c r="G71"/>
  <c r="I71"/>
  <c r="K71"/>
  <c r="H72"/>
  <c r="L72" s="1"/>
  <c r="G73"/>
  <c r="I73"/>
  <c r="K73"/>
  <c r="H74"/>
  <c r="L74" s="1"/>
  <c r="G75"/>
  <c r="I75"/>
  <c r="K75"/>
  <c r="H76"/>
  <c r="L76" s="1"/>
  <c r="G77"/>
  <c r="I77"/>
  <c r="K77"/>
  <c r="H78"/>
  <c r="L78" s="1"/>
  <c r="G79"/>
  <c r="I79"/>
  <c r="K79"/>
  <c r="H80"/>
  <c r="L80" s="1"/>
  <c r="G81"/>
  <c r="I81"/>
  <c r="K81"/>
  <c r="H82"/>
  <c r="L82" s="1"/>
  <c r="K82"/>
  <c r="J83"/>
  <c r="J85"/>
  <c r="J87"/>
  <c r="J89"/>
  <c r="J91"/>
  <c r="J93"/>
  <c r="J95"/>
  <c r="J97"/>
  <c r="J99"/>
  <c r="J101"/>
  <c r="J103"/>
  <c r="J105"/>
  <c r="J107"/>
  <c r="J109"/>
  <c r="J146"/>
  <c r="H84"/>
  <c r="H86"/>
  <c r="H88"/>
  <c r="L88" s="1"/>
  <c r="H90"/>
  <c r="H92"/>
  <c r="H94"/>
  <c r="H96"/>
  <c r="L96" s="1"/>
  <c r="H98"/>
  <c r="H100"/>
  <c r="H102"/>
  <c r="H104"/>
  <c r="L104" s="1"/>
  <c r="N104" s="1"/>
  <c r="H106"/>
  <c r="H108"/>
  <c r="H110"/>
  <c r="G111"/>
  <c r="I111"/>
  <c r="K111"/>
  <c r="H112"/>
  <c r="L112" s="1"/>
  <c r="N112" s="1"/>
  <c r="G113"/>
  <c r="I113"/>
  <c r="K113"/>
  <c r="H114"/>
  <c r="L114" s="1"/>
  <c r="N114" s="1"/>
  <c r="G115"/>
  <c r="I115"/>
  <c r="K115"/>
  <c r="H116"/>
  <c r="L116" s="1"/>
  <c r="G117"/>
  <c r="I117"/>
  <c r="K117"/>
  <c r="H118"/>
  <c r="G119"/>
  <c r="I119"/>
  <c r="K119"/>
  <c r="H120"/>
  <c r="L120" s="1"/>
  <c r="G121"/>
  <c r="I121"/>
  <c r="K121"/>
  <c r="H122"/>
  <c r="G123"/>
  <c r="I123"/>
  <c r="K123"/>
  <c r="H124"/>
  <c r="L124" s="1"/>
  <c r="G125"/>
  <c r="I125"/>
  <c r="K125"/>
  <c r="H126"/>
  <c r="G127"/>
  <c r="I127"/>
  <c r="K127"/>
  <c r="H128"/>
  <c r="L128" s="1"/>
  <c r="G129"/>
  <c r="I129"/>
  <c r="K129"/>
  <c r="H130"/>
  <c r="G131"/>
  <c r="I131"/>
  <c r="K131"/>
  <c r="H132"/>
  <c r="G133"/>
  <c r="I133"/>
  <c r="K133"/>
  <c r="H134"/>
  <c r="G135"/>
  <c r="I135"/>
  <c r="I146" s="1"/>
  <c r="K135"/>
  <c r="H136"/>
  <c r="L136" s="1"/>
  <c r="H111"/>
  <c r="H113"/>
  <c r="H115"/>
  <c r="H117"/>
  <c r="H119"/>
  <c r="H121"/>
  <c r="H123"/>
  <c r="H125"/>
  <c r="H127"/>
  <c r="H129"/>
  <c r="H131"/>
  <c r="H133"/>
  <c r="H135"/>
  <c r="K28" i="32"/>
  <c r="I28"/>
  <c r="G28"/>
  <c r="K30"/>
  <c r="I30"/>
  <c r="G30"/>
  <c r="K32"/>
  <c r="I32"/>
  <c r="G32"/>
  <c r="K34"/>
  <c r="I34"/>
  <c r="G34"/>
  <c r="K36"/>
  <c r="I36"/>
  <c r="G36"/>
  <c r="K38"/>
  <c r="I38"/>
  <c r="G38"/>
  <c r="K40"/>
  <c r="I40"/>
  <c r="G40"/>
  <c r="K42"/>
  <c r="I42"/>
  <c r="G42"/>
  <c r="K44"/>
  <c r="I44"/>
  <c r="G44"/>
  <c r="K46"/>
  <c r="I46"/>
  <c r="G46"/>
  <c r="K48"/>
  <c r="I48"/>
  <c r="G48"/>
  <c r="K50"/>
  <c r="I50"/>
  <c r="G50"/>
  <c r="K52"/>
  <c r="I52"/>
  <c r="G52"/>
  <c r="K54"/>
  <c r="I54"/>
  <c r="G54"/>
  <c r="K56"/>
  <c r="I56"/>
  <c r="G56"/>
  <c r="K58"/>
  <c r="I58"/>
  <c r="G58"/>
  <c r="K60"/>
  <c r="I60"/>
  <c r="G60"/>
  <c r="K62"/>
  <c r="I62"/>
  <c r="G62"/>
  <c r="K64"/>
  <c r="I64"/>
  <c r="G64"/>
  <c r="K66"/>
  <c r="I66"/>
  <c r="G66"/>
  <c r="K68"/>
  <c r="I68"/>
  <c r="G68"/>
  <c r="K70"/>
  <c r="I70"/>
  <c r="G70"/>
  <c r="K72"/>
  <c r="I72"/>
  <c r="G72"/>
  <c r="K74"/>
  <c r="I74"/>
  <c r="G74"/>
  <c r="K76"/>
  <c r="I76"/>
  <c r="G76"/>
  <c r="H76"/>
  <c r="K78"/>
  <c r="I78"/>
  <c r="G78"/>
  <c r="H78"/>
  <c r="K80"/>
  <c r="I80"/>
  <c r="G80"/>
  <c r="H80"/>
  <c r="K82"/>
  <c r="I82"/>
  <c r="G82"/>
  <c r="H82"/>
  <c r="K84"/>
  <c r="I84"/>
  <c r="G84"/>
  <c r="H84"/>
  <c r="K86"/>
  <c r="I86"/>
  <c r="G86"/>
  <c r="H86"/>
  <c r="K88"/>
  <c r="I88"/>
  <c r="G88"/>
  <c r="H88"/>
  <c r="K90"/>
  <c r="I90"/>
  <c r="G90"/>
  <c r="H90"/>
  <c r="K92"/>
  <c r="I92"/>
  <c r="G92"/>
  <c r="H92"/>
  <c r="K100"/>
  <c r="I100"/>
  <c r="G100"/>
  <c r="H100"/>
  <c r="K102"/>
  <c r="I102"/>
  <c r="G102"/>
  <c r="H102"/>
  <c r="K104"/>
  <c r="I104"/>
  <c r="G104"/>
  <c r="H104"/>
  <c r="K106"/>
  <c r="I106"/>
  <c r="G106"/>
  <c r="H106"/>
  <c r="K108"/>
  <c r="I108"/>
  <c r="G108"/>
  <c r="H108"/>
  <c r="K110"/>
  <c r="I110"/>
  <c r="G110"/>
  <c r="H110"/>
  <c r="K112"/>
  <c r="I112"/>
  <c r="G112"/>
  <c r="H112"/>
  <c r="K116"/>
  <c r="I116"/>
  <c r="G116"/>
  <c r="H116"/>
  <c r="K118"/>
  <c r="I118"/>
  <c r="G118"/>
  <c r="H118"/>
  <c r="K120"/>
  <c r="I120"/>
  <c r="G120"/>
  <c r="H120"/>
  <c r="K94"/>
  <c r="I94"/>
  <c r="G94"/>
  <c r="H94"/>
  <c r="K96"/>
  <c r="I96"/>
  <c r="G96"/>
  <c r="H96"/>
  <c r="K98"/>
  <c r="I98"/>
  <c r="G98"/>
  <c r="H98"/>
  <c r="K114"/>
  <c r="I114"/>
  <c r="G114"/>
  <c r="H114"/>
  <c r="K122"/>
  <c r="I122"/>
  <c r="G122"/>
  <c r="H122"/>
  <c r="K124"/>
  <c r="I124"/>
  <c r="G124"/>
  <c r="H124"/>
  <c r="H12"/>
  <c r="J12"/>
  <c r="H14"/>
  <c r="J14"/>
  <c r="L154"/>
  <c r="H16"/>
  <c r="H147" s="1"/>
  <c r="H154" s="1"/>
  <c r="H17"/>
  <c r="J17"/>
  <c r="H19"/>
  <c r="J19"/>
  <c r="H21"/>
  <c r="J21"/>
  <c r="H23"/>
  <c r="J23"/>
  <c r="H25"/>
  <c r="J25"/>
  <c r="H27"/>
  <c r="J27"/>
  <c r="J28"/>
  <c r="J30"/>
  <c r="J32"/>
  <c r="J34"/>
  <c r="J36"/>
  <c r="J38"/>
  <c r="J40"/>
  <c r="J42"/>
  <c r="J44"/>
  <c r="J46"/>
  <c r="J48"/>
  <c r="J50"/>
  <c r="J52"/>
  <c r="J54"/>
  <c r="J56"/>
  <c r="J58"/>
  <c r="J60"/>
  <c r="J62"/>
  <c r="J64"/>
  <c r="J66"/>
  <c r="J68"/>
  <c r="J70"/>
  <c r="J72"/>
  <c r="J74"/>
  <c r="L107"/>
  <c r="N107" s="1"/>
  <c r="F140"/>
  <c r="H11"/>
  <c r="L11" s="1"/>
  <c r="J11"/>
  <c r="G12"/>
  <c r="I12"/>
  <c r="K12"/>
  <c r="H13"/>
  <c r="G14"/>
  <c r="I14"/>
  <c r="K14"/>
  <c r="H15"/>
  <c r="L15" s="1"/>
  <c r="L147"/>
  <c r="L16"/>
  <c r="G17"/>
  <c r="I17"/>
  <c r="K17"/>
  <c r="H18"/>
  <c r="L18" s="1"/>
  <c r="N18" s="1"/>
  <c r="G19"/>
  <c r="I19"/>
  <c r="K19"/>
  <c r="H20"/>
  <c r="L20" s="1"/>
  <c r="N20" s="1"/>
  <c r="G21"/>
  <c r="I21"/>
  <c r="K21"/>
  <c r="H22"/>
  <c r="G23"/>
  <c r="I23"/>
  <c r="K23"/>
  <c r="H24"/>
  <c r="G25"/>
  <c r="I25"/>
  <c r="K25"/>
  <c r="H26"/>
  <c r="G27"/>
  <c r="I27"/>
  <c r="K27"/>
  <c r="H28"/>
  <c r="H30"/>
  <c r="H32"/>
  <c r="H34"/>
  <c r="H36"/>
  <c r="H38"/>
  <c r="H40"/>
  <c r="H42"/>
  <c r="H44"/>
  <c r="H46"/>
  <c r="H48"/>
  <c r="H50"/>
  <c r="H52"/>
  <c r="H54"/>
  <c r="H56"/>
  <c r="H58"/>
  <c r="H60"/>
  <c r="H62"/>
  <c r="H64"/>
  <c r="H66"/>
  <c r="H68"/>
  <c r="H70"/>
  <c r="H72"/>
  <c r="H74"/>
  <c r="J76"/>
  <c r="J78"/>
  <c r="J80"/>
  <c r="J82"/>
  <c r="J84"/>
  <c r="J86"/>
  <c r="J88"/>
  <c r="J90"/>
  <c r="J92"/>
  <c r="L95"/>
  <c r="N95" s="1"/>
  <c r="J100"/>
  <c r="J102"/>
  <c r="J104"/>
  <c r="J106"/>
  <c r="J108"/>
  <c r="J110"/>
  <c r="J112"/>
  <c r="J116"/>
  <c r="J118"/>
  <c r="J120"/>
  <c r="H29"/>
  <c r="H31"/>
  <c r="L31" s="1"/>
  <c r="N31" s="1"/>
  <c r="H33"/>
  <c r="L33" s="1"/>
  <c r="N33" s="1"/>
  <c r="H35"/>
  <c r="L35" s="1"/>
  <c r="H37"/>
  <c r="H39"/>
  <c r="H41"/>
  <c r="L41" s="1"/>
  <c r="N41" s="1"/>
  <c r="H43"/>
  <c r="L43" s="1"/>
  <c r="N43" s="1"/>
  <c r="H45"/>
  <c r="H47"/>
  <c r="L47" s="1"/>
  <c r="H49"/>
  <c r="L49" s="1"/>
  <c r="N49" s="1"/>
  <c r="H51"/>
  <c r="H53"/>
  <c r="H55"/>
  <c r="H57"/>
  <c r="L57" s="1"/>
  <c r="N57" s="1"/>
  <c r="H59"/>
  <c r="L59" s="1"/>
  <c r="N59" s="1"/>
  <c r="H61"/>
  <c r="H63"/>
  <c r="L63" s="1"/>
  <c r="N63" s="1"/>
  <c r="H65"/>
  <c r="L65" s="1"/>
  <c r="N65" s="1"/>
  <c r="H67"/>
  <c r="L67" s="1"/>
  <c r="H69"/>
  <c r="H71"/>
  <c r="L71" s="1"/>
  <c r="N71" s="1"/>
  <c r="H73"/>
  <c r="L73" s="1"/>
  <c r="N73" s="1"/>
  <c r="H75"/>
  <c r="L75" s="1"/>
  <c r="N75" s="1"/>
  <c r="G125"/>
  <c r="I125"/>
  <c r="K125"/>
  <c r="H126"/>
  <c r="L126" s="1"/>
  <c r="N126" s="1"/>
  <c r="G127"/>
  <c r="I127"/>
  <c r="K127"/>
  <c r="H128"/>
  <c r="G129"/>
  <c r="I129"/>
  <c r="K129"/>
  <c r="H130"/>
  <c r="L130" s="1"/>
  <c r="G131"/>
  <c r="I131"/>
  <c r="K131"/>
  <c r="H132"/>
  <c r="L132" s="1"/>
  <c r="N132" s="1"/>
  <c r="G133"/>
  <c r="I133"/>
  <c r="K133"/>
  <c r="H134"/>
  <c r="L134" s="1"/>
  <c r="G135"/>
  <c r="I135"/>
  <c r="I146" s="1"/>
  <c r="K135"/>
  <c r="H136"/>
  <c r="H77"/>
  <c r="H79"/>
  <c r="L79" s="1"/>
  <c r="N79" s="1"/>
  <c r="H81"/>
  <c r="L81" s="1"/>
  <c r="N81" s="1"/>
  <c r="H83"/>
  <c r="L83" s="1"/>
  <c r="H85"/>
  <c r="H87"/>
  <c r="H89"/>
  <c r="L89" s="1"/>
  <c r="N89" s="1"/>
  <c r="H91"/>
  <c r="L91" s="1"/>
  <c r="N91" s="1"/>
  <c r="H93"/>
  <c r="H95"/>
  <c r="H97"/>
  <c r="L97" s="1"/>
  <c r="N97" s="1"/>
  <c r="H99"/>
  <c r="H101"/>
  <c r="H103"/>
  <c r="L103" s="1"/>
  <c r="N103" s="1"/>
  <c r="H105"/>
  <c r="L105" s="1"/>
  <c r="N105" s="1"/>
  <c r="H107"/>
  <c r="H109"/>
  <c r="L109" s="1"/>
  <c r="N109" s="1"/>
  <c r="H111"/>
  <c r="H113"/>
  <c r="L113" s="1"/>
  <c r="N113" s="1"/>
  <c r="H115"/>
  <c r="L115" s="1"/>
  <c r="N115" s="1"/>
  <c r="H117"/>
  <c r="H119"/>
  <c r="L119" s="1"/>
  <c r="N119" s="1"/>
  <c r="H121"/>
  <c r="L121" s="1"/>
  <c r="N121" s="1"/>
  <c r="H123"/>
  <c r="L123" s="1"/>
  <c r="H125"/>
  <c r="H127"/>
  <c r="H129"/>
  <c r="H131"/>
  <c r="H133"/>
  <c r="H135"/>
  <c r="M83" i="31"/>
  <c r="K83"/>
  <c r="I83"/>
  <c r="G83"/>
  <c r="K85"/>
  <c r="I85"/>
  <c r="G85"/>
  <c r="M87"/>
  <c r="K87"/>
  <c r="I87"/>
  <c r="G87"/>
  <c r="M89"/>
  <c r="K89"/>
  <c r="I89"/>
  <c r="G89"/>
  <c r="M91"/>
  <c r="K91"/>
  <c r="I91"/>
  <c r="G91"/>
  <c r="K93"/>
  <c r="I93"/>
  <c r="G93"/>
  <c r="K95"/>
  <c r="I95"/>
  <c r="G95"/>
  <c r="M97"/>
  <c r="K97"/>
  <c r="I97"/>
  <c r="G97"/>
  <c r="K99"/>
  <c r="I99"/>
  <c r="G99"/>
  <c r="M101"/>
  <c r="K101"/>
  <c r="I101"/>
  <c r="G101"/>
  <c r="M103"/>
  <c r="K103"/>
  <c r="I103"/>
  <c r="G103"/>
  <c r="M105"/>
  <c r="K105"/>
  <c r="I105"/>
  <c r="G105"/>
  <c r="M107"/>
  <c r="K107"/>
  <c r="I107"/>
  <c r="G107"/>
  <c r="M109"/>
  <c r="K109"/>
  <c r="I109"/>
  <c r="G109"/>
  <c r="H12"/>
  <c r="J12"/>
  <c r="H14"/>
  <c r="J14"/>
  <c r="H16"/>
  <c r="H147" s="1"/>
  <c r="H154" s="1"/>
  <c r="L154" s="1"/>
  <c r="H17"/>
  <c r="J17"/>
  <c r="H21"/>
  <c r="H23"/>
  <c r="J25"/>
  <c r="J27"/>
  <c r="J31"/>
  <c r="P4"/>
  <c r="P7"/>
  <c r="M17" s="1"/>
  <c r="L11"/>
  <c r="G12"/>
  <c r="I12"/>
  <c r="K12"/>
  <c r="M12"/>
  <c r="H13"/>
  <c r="L13" s="1"/>
  <c r="N13" s="1"/>
  <c r="G14"/>
  <c r="I14"/>
  <c r="K14"/>
  <c r="H15"/>
  <c r="L15" s="1"/>
  <c r="L147"/>
  <c r="G17"/>
  <c r="I17"/>
  <c r="K17"/>
  <c r="H18"/>
  <c r="L18" s="1"/>
  <c r="G19"/>
  <c r="I19"/>
  <c r="K19"/>
  <c r="H20"/>
  <c r="G21"/>
  <c r="I21"/>
  <c r="K21"/>
  <c r="H22"/>
  <c r="G23"/>
  <c r="I23"/>
  <c r="K23"/>
  <c r="M23"/>
  <c r="H24"/>
  <c r="L24" s="1"/>
  <c r="G25"/>
  <c r="I25"/>
  <c r="K25"/>
  <c r="H26"/>
  <c r="L26" s="1"/>
  <c r="G27"/>
  <c r="I27"/>
  <c r="K27"/>
  <c r="M27"/>
  <c r="H28"/>
  <c r="G29"/>
  <c r="I29"/>
  <c r="K29"/>
  <c r="M29"/>
  <c r="H30"/>
  <c r="L30" s="1"/>
  <c r="N30" s="1"/>
  <c r="G31"/>
  <c r="I31"/>
  <c r="K31"/>
  <c r="M31"/>
  <c r="H32"/>
  <c r="G33"/>
  <c r="I33"/>
  <c r="K33"/>
  <c r="M33"/>
  <c r="H34"/>
  <c r="L34" s="1"/>
  <c r="G35"/>
  <c r="I35"/>
  <c r="K35"/>
  <c r="H36"/>
  <c r="L36" s="1"/>
  <c r="G37"/>
  <c r="I37"/>
  <c r="K37"/>
  <c r="M37"/>
  <c r="H38"/>
  <c r="L38" s="1"/>
  <c r="N38" s="1"/>
  <c r="G39"/>
  <c r="I39"/>
  <c r="K39"/>
  <c r="M39"/>
  <c r="H40"/>
  <c r="L40" s="1"/>
  <c r="N40" s="1"/>
  <c r="G41"/>
  <c r="I41"/>
  <c r="K41"/>
  <c r="M41"/>
  <c r="H42"/>
  <c r="G43"/>
  <c r="I43"/>
  <c r="K43"/>
  <c r="M43"/>
  <c r="H44"/>
  <c r="L44" s="1"/>
  <c r="G45"/>
  <c r="I45"/>
  <c r="K45"/>
  <c r="H46"/>
  <c r="L46" s="1"/>
  <c r="N46" s="1"/>
  <c r="G47"/>
  <c r="I47"/>
  <c r="K47"/>
  <c r="H48"/>
  <c r="G49"/>
  <c r="I49"/>
  <c r="K49"/>
  <c r="M49"/>
  <c r="H50"/>
  <c r="G51"/>
  <c r="I51"/>
  <c r="K51"/>
  <c r="M51"/>
  <c r="H52"/>
  <c r="L52" s="1"/>
  <c r="N52" s="1"/>
  <c r="G53"/>
  <c r="I53"/>
  <c r="K53"/>
  <c r="H54"/>
  <c r="L54" s="1"/>
  <c r="G55"/>
  <c r="I55"/>
  <c r="K55"/>
  <c r="M55"/>
  <c r="H56"/>
  <c r="G57"/>
  <c r="I57"/>
  <c r="K57"/>
  <c r="M57"/>
  <c r="H58"/>
  <c r="L58" s="1"/>
  <c r="G59"/>
  <c r="I59"/>
  <c r="K59"/>
  <c r="M59"/>
  <c r="H60"/>
  <c r="L60" s="1"/>
  <c r="G61"/>
  <c r="I61"/>
  <c r="K61"/>
  <c r="M61"/>
  <c r="H62"/>
  <c r="L62" s="1"/>
  <c r="N62" s="1"/>
  <c r="G63"/>
  <c r="I63"/>
  <c r="K63"/>
  <c r="M63"/>
  <c r="H64"/>
  <c r="G65"/>
  <c r="I65"/>
  <c r="K65"/>
  <c r="M65"/>
  <c r="H66"/>
  <c r="G67"/>
  <c r="I67"/>
  <c r="K67"/>
  <c r="M67"/>
  <c r="H68"/>
  <c r="L68" s="1"/>
  <c r="G69"/>
  <c r="I69"/>
  <c r="K69"/>
  <c r="M69"/>
  <c r="H70"/>
  <c r="L70" s="1"/>
  <c r="N70" s="1"/>
  <c r="G71"/>
  <c r="I71"/>
  <c r="K71"/>
  <c r="M71"/>
  <c r="H72"/>
  <c r="G73"/>
  <c r="I73"/>
  <c r="K73"/>
  <c r="M73"/>
  <c r="H74"/>
  <c r="L74" s="1"/>
  <c r="N74" s="1"/>
  <c r="G75"/>
  <c r="I75"/>
  <c r="K75"/>
  <c r="M75"/>
  <c r="H76"/>
  <c r="L76" s="1"/>
  <c r="N76" s="1"/>
  <c r="G77"/>
  <c r="I77"/>
  <c r="K77"/>
  <c r="M77"/>
  <c r="H78"/>
  <c r="L78" s="1"/>
  <c r="G79"/>
  <c r="I79"/>
  <c r="K79"/>
  <c r="M79"/>
  <c r="H80"/>
  <c r="G81"/>
  <c r="I81"/>
  <c r="K81"/>
  <c r="M81"/>
  <c r="H82"/>
  <c r="K82"/>
  <c r="J83"/>
  <c r="J85"/>
  <c r="J87"/>
  <c r="J89"/>
  <c r="J91"/>
  <c r="J93"/>
  <c r="J95"/>
  <c r="J97"/>
  <c r="J99"/>
  <c r="J101"/>
  <c r="J103"/>
  <c r="J105"/>
  <c r="J145" s="1"/>
  <c r="J143" s="1"/>
  <c r="J107"/>
  <c r="J109"/>
  <c r="J146"/>
  <c r="H19"/>
  <c r="H29"/>
  <c r="H33"/>
  <c r="H35"/>
  <c r="H37"/>
  <c r="H39"/>
  <c r="H41"/>
  <c r="H43"/>
  <c r="H45"/>
  <c r="H47"/>
  <c r="H49"/>
  <c r="H51"/>
  <c r="H53"/>
  <c r="H55"/>
  <c r="H57"/>
  <c r="H59"/>
  <c r="H61"/>
  <c r="H63"/>
  <c r="H65"/>
  <c r="H67"/>
  <c r="H69"/>
  <c r="H71"/>
  <c r="H73"/>
  <c r="H75"/>
  <c r="H77"/>
  <c r="H79"/>
  <c r="H81"/>
  <c r="H91"/>
  <c r="H93"/>
  <c r="H95"/>
  <c r="H97"/>
  <c r="H99"/>
  <c r="H101"/>
  <c r="H103"/>
  <c r="H105"/>
  <c r="H107"/>
  <c r="H109"/>
  <c r="H84"/>
  <c r="L84" s="1"/>
  <c r="N84" s="1"/>
  <c r="H86"/>
  <c r="H88"/>
  <c r="L88" s="1"/>
  <c r="H90"/>
  <c r="L90" s="1"/>
  <c r="N90" s="1"/>
  <c r="H92"/>
  <c r="L92" s="1"/>
  <c r="H94"/>
  <c r="H96"/>
  <c r="L96" s="1"/>
  <c r="N96" s="1"/>
  <c r="H98"/>
  <c r="L98" s="1"/>
  <c r="H100"/>
  <c r="H102"/>
  <c r="L102" s="1"/>
  <c r="H104"/>
  <c r="L104" s="1"/>
  <c r="H106"/>
  <c r="L106" s="1"/>
  <c r="H108"/>
  <c r="H110"/>
  <c r="G111"/>
  <c r="I111"/>
  <c r="K111"/>
  <c r="M111"/>
  <c r="H112"/>
  <c r="L112" s="1"/>
  <c r="N112" s="1"/>
  <c r="G113"/>
  <c r="I113"/>
  <c r="K113"/>
  <c r="H114"/>
  <c r="L114" s="1"/>
  <c r="N114" s="1"/>
  <c r="G115"/>
  <c r="I115"/>
  <c r="K115"/>
  <c r="H116"/>
  <c r="G117"/>
  <c r="I117"/>
  <c r="K117"/>
  <c r="M117"/>
  <c r="H118"/>
  <c r="L118" s="1"/>
  <c r="N118" s="1"/>
  <c r="G119"/>
  <c r="I119"/>
  <c r="K119"/>
  <c r="M119"/>
  <c r="H120"/>
  <c r="G121"/>
  <c r="I121"/>
  <c r="K121"/>
  <c r="H122"/>
  <c r="L122" s="1"/>
  <c r="N122" s="1"/>
  <c r="G123"/>
  <c r="I123"/>
  <c r="K123"/>
  <c r="H124"/>
  <c r="G125"/>
  <c r="I125"/>
  <c r="K125"/>
  <c r="H126"/>
  <c r="G127"/>
  <c r="I127"/>
  <c r="K127"/>
  <c r="M127"/>
  <c r="H128"/>
  <c r="G129"/>
  <c r="I129"/>
  <c r="K129"/>
  <c r="M129"/>
  <c r="H130"/>
  <c r="L130" s="1"/>
  <c r="G131"/>
  <c r="I131"/>
  <c r="K131"/>
  <c r="M131"/>
  <c r="H132"/>
  <c r="L132" s="1"/>
  <c r="G133"/>
  <c r="I133"/>
  <c r="K133"/>
  <c r="M133"/>
  <c r="H134"/>
  <c r="L134" s="1"/>
  <c r="N134" s="1"/>
  <c r="G135"/>
  <c r="I135"/>
  <c r="I146" s="1"/>
  <c r="K135"/>
  <c r="M135"/>
  <c r="H136"/>
  <c r="H111"/>
  <c r="H113"/>
  <c r="H115"/>
  <c r="H117"/>
  <c r="H119"/>
  <c r="H121"/>
  <c r="H123"/>
  <c r="H125"/>
  <c r="H127"/>
  <c r="H129"/>
  <c r="H131"/>
  <c r="H133"/>
  <c r="H135"/>
  <c r="H146" s="1"/>
  <c r="J43" i="26"/>
  <c r="M19" i="35" l="1"/>
  <c r="N19" s="1"/>
  <c r="M118"/>
  <c r="N118" s="1"/>
  <c r="M53"/>
  <c r="I144"/>
  <c r="I153" s="1"/>
  <c r="L26" i="32"/>
  <c r="N26" s="1"/>
  <c r="G140" i="35"/>
  <c r="N123" i="32"/>
  <c r="H146" i="33"/>
  <c r="H145"/>
  <c r="M127" i="34"/>
  <c r="M111"/>
  <c r="M82"/>
  <c r="L14"/>
  <c r="K146" i="35"/>
  <c r="M125"/>
  <c r="M75"/>
  <c r="M88"/>
  <c r="L81"/>
  <c r="M74"/>
  <c r="M66"/>
  <c r="M42"/>
  <c r="L33"/>
  <c r="N33" s="1"/>
  <c r="M26"/>
  <c r="M18"/>
  <c r="G144"/>
  <c r="M17"/>
  <c r="M106"/>
  <c r="M43"/>
  <c r="L116" i="31"/>
  <c r="N116" s="1"/>
  <c r="L117"/>
  <c r="M123" i="34"/>
  <c r="M115"/>
  <c r="M129" i="35"/>
  <c r="M121"/>
  <c r="M113"/>
  <c r="J145"/>
  <c r="J143" s="1"/>
  <c r="M25"/>
  <c r="M11"/>
  <c r="M99"/>
  <c r="M95"/>
  <c r="M93"/>
  <c r="M87"/>
  <c r="M78"/>
  <c r="N61"/>
  <c r="M54"/>
  <c r="M38"/>
  <c r="M30"/>
  <c r="L29"/>
  <c r="M22"/>
  <c r="M16"/>
  <c r="E147" s="1"/>
  <c r="M12"/>
  <c r="M21"/>
  <c r="N21" s="1"/>
  <c r="M130"/>
  <c r="M63"/>
  <c r="K144"/>
  <c r="K153" s="1"/>
  <c r="J146" i="32"/>
  <c r="I145"/>
  <c r="L99"/>
  <c r="N99" s="1"/>
  <c r="L22"/>
  <c r="N22" s="1"/>
  <c r="L82" i="31"/>
  <c r="L128" i="32"/>
  <c r="N128" s="1"/>
  <c r="L111"/>
  <c r="N111" s="1"/>
  <c r="J140" i="31"/>
  <c r="K145"/>
  <c r="N104"/>
  <c r="N68"/>
  <c r="L87" i="32"/>
  <c r="N87" s="1"/>
  <c r="N47"/>
  <c r="L24"/>
  <c r="N24" s="1"/>
  <c r="I140"/>
  <c r="L110" i="34"/>
  <c r="L41"/>
  <c r="J145"/>
  <c r="J143" s="1"/>
  <c r="L12"/>
  <c r="H145" i="35"/>
  <c r="L124"/>
  <c r="N124" s="1"/>
  <c r="N116"/>
  <c r="L100"/>
  <c r="N100" s="1"/>
  <c r="N84"/>
  <c r="N81"/>
  <c r="L65"/>
  <c r="N65" s="1"/>
  <c r="L49"/>
  <c r="N49" s="1"/>
  <c r="L25"/>
  <c r="L15"/>
  <c r="L136" i="31"/>
  <c r="L128"/>
  <c r="N128" s="1"/>
  <c r="I145"/>
  <c r="L110"/>
  <c r="N110" s="1"/>
  <c r="N102"/>
  <c r="L94"/>
  <c r="N94" s="1"/>
  <c r="L86"/>
  <c r="L66"/>
  <c r="N58"/>
  <c r="L48"/>
  <c r="N48" s="1"/>
  <c r="N34"/>
  <c r="J144"/>
  <c r="J153" s="1"/>
  <c r="L117" i="32"/>
  <c r="N117" s="1"/>
  <c r="L101"/>
  <c r="N101" s="1"/>
  <c r="L93"/>
  <c r="N93" s="1"/>
  <c r="L85"/>
  <c r="N85" s="1"/>
  <c r="L77"/>
  <c r="N77" s="1"/>
  <c r="L69"/>
  <c r="N69" s="1"/>
  <c r="L61"/>
  <c r="N61" s="1"/>
  <c r="L53"/>
  <c r="N53" s="1"/>
  <c r="L45"/>
  <c r="N45" s="1"/>
  <c r="L37"/>
  <c r="N37" s="1"/>
  <c r="L29"/>
  <c r="N29" s="1"/>
  <c r="K144"/>
  <c r="K153" s="1"/>
  <c r="L122"/>
  <c r="N122" s="1"/>
  <c r="L98"/>
  <c r="N98" s="1"/>
  <c r="L94"/>
  <c r="K145" i="33"/>
  <c r="L108"/>
  <c r="N108" s="1"/>
  <c r="L100"/>
  <c r="N100" s="1"/>
  <c r="L92"/>
  <c r="L84"/>
  <c r="N84" s="1"/>
  <c r="J145"/>
  <c r="J143" s="1"/>
  <c r="J152" s="1"/>
  <c r="I144"/>
  <c r="I153" s="1"/>
  <c r="L132" i="34"/>
  <c r="L124"/>
  <c r="K145"/>
  <c r="K143" s="1"/>
  <c r="L116"/>
  <c r="N108"/>
  <c r="L100"/>
  <c r="L92"/>
  <c r="L84"/>
  <c r="N84" s="1"/>
  <c r="N39"/>
  <c r="N31"/>
  <c r="I144"/>
  <c r="I153" s="1"/>
  <c r="L130" i="35"/>
  <c r="N130" s="1"/>
  <c r="L122"/>
  <c r="N122" s="1"/>
  <c r="I145"/>
  <c r="L114"/>
  <c r="N114" s="1"/>
  <c r="L106"/>
  <c r="L98"/>
  <c r="N98" s="1"/>
  <c r="L71"/>
  <c r="N71" s="1"/>
  <c r="N55"/>
  <c r="L39"/>
  <c r="N39" s="1"/>
  <c r="L31"/>
  <c r="N31" s="1"/>
  <c r="L23"/>
  <c r="N23" s="1"/>
  <c r="L13"/>
  <c r="N13" s="1"/>
  <c r="L113" i="31"/>
  <c r="I140"/>
  <c r="K140" i="32"/>
  <c r="J145"/>
  <c r="J143" s="1"/>
  <c r="J148" s="1"/>
  <c r="H145" i="31"/>
  <c r="H143" s="1"/>
  <c r="H152" s="1"/>
  <c r="L129"/>
  <c r="N129" s="1"/>
  <c r="L50"/>
  <c r="N50" s="1"/>
  <c r="L28"/>
  <c r="N28" s="1"/>
  <c r="I144"/>
  <c r="I153" s="1"/>
  <c r="L55" i="32"/>
  <c r="N55" s="1"/>
  <c r="L39"/>
  <c r="N39" s="1"/>
  <c r="K145"/>
  <c r="K143" s="1"/>
  <c r="K152" s="1"/>
  <c r="K155" s="1"/>
  <c r="L134" i="33"/>
  <c r="N134" s="1"/>
  <c r="L132"/>
  <c r="L130"/>
  <c r="L126"/>
  <c r="N126" s="1"/>
  <c r="L122"/>
  <c r="L118"/>
  <c r="L110"/>
  <c r="L102"/>
  <c r="N102" s="1"/>
  <c r="L94"/>
  <c r="N94" s="1"/>
  <c r="L86"/>
  <c r="L49" i="34"/>
  <c r="N49" s="1"/>
  <c r="J144"/>
  <c r="J153" s="1"/>
  <c r="H146" i="35"/>
  <c r="K145"/>
  <c r="N108"/>
  <c r="K140"/>
  <c r="L73"/>
  <c r="N73" s="1"/>
  <c r="N41"/>
  <c r="J144"/>
  <c r="J153" s="1"/>
  <c r="L133" i="31"/>
  <c r="N133" s="1"/>
  <c r="L126"/>
  <c r="N126" s="1"/>
  <c r="L124"/>
  <c r="N124" s="1"/>
  <c r="L120"/>
  <c r="N120" s="1"/>
  <c r="L108"/>
  <c r="N108" s="1"/>
  <c r="L100"/>
  <c r="N100" s="1"/>
  <c r="L80"/>
  <c r="L72"/>
  <c r="N72" s="1"/>
  <c r="L64"/>
  <c r="L56"/>
  <c r="N56" s="1"/>
  <c r="L42"/>
  <c r="N42" s="1"/>
  <c r="L32"/>
  <c r="L22"/>
  <c r="N22" s="1"/>
  <c r="L20"/>
  <c r="L16"/>
  <c r="K140"/>
  <c r="N83" i="32"/>
  <c r="L136"/>
  <c r="N136" s="1"/>
  <c r="N134"/>
  <c r="N130"/>
  <c r="N67"/>
  <c r="L51"/>
  <c r="N51" s="1"/>
  <c r="N35"/>
  <c r="I144"/>
  <c r="I153" s="1"/>
  <c r="N15"/>
  <c r="L13"/>
  <c r="N13" s="1"/>
  <c r="L112"/>
  <c r="N112" s="1"/>
  <c r="L108"/>
  <c r="N108" s="1"/>
  <c r="L104"/>
  <c r="N104" s="1"/>
  <c r="L100"/>
  <c r="N100" s="1"/>
  <c r="I145" i="33"/>
  <c r="L106"/>
  <c r="L98"/>
  <c r="N98" s="1"/>
  <c r="L90"/>
  <c r="L50"/>
  <c r="N50" s="1"/>
  <c r="L34"/>
  <c r="N34" s="1"/>
  <c r="H146" i="34"/>
  <c r="H145"/>
  <c r="H143" s="1"/>
  <c r="I146"/>
  <c r="L130"/>
  <c r="L122"/>
  <c r="I145"/>
  <c r="I143" s="1"/>
  <c r="L114"/>
  <c r="N114" s="1"/>
  <c r="L106"/>
  <c r="L98"/>
  <c r="L90"/>
  <c r="L82"/>
  <c r="L37"/>
  <c r="L29"/>
  <c r="L26"/>
  <c r="L24"/>
  <c r="L20"/>
  <c r="L18"/>
  <c r="L136" i="35"/>
  <c r="N136" s="1"/>
  <c r="L128"/>
  <c r="N128" s="1"/>
  <c r="L120"/>
  <c r="N120" s="1"/>
  <c r="I140"/>
  <c r="L104"/>
  <c r="N104" s="1"/>
  <c r="L96"/>
  <c r="N96" s="1"/>
  <c r="L88"/>
  <c r="N88" s="1"/>
  <c r="L77"/>
  <c r="N77" s="1"/>
  <c r="L69"/>
  <c r="N69" s="1"/>
  <c r="L53"/>
  <c r="L45"/>
  <c r="M99" i="34"/>
  <c r="M95"/>
  <c r="M93"/>
  <c r="M89"/>
  <c r="M87"/>
  <c r="M85"/>
  <c r="M83"/>
  <c r="M66"/>
  <c r="M74"/>
  <c r="M64"/>
  <c r="M46"/>
  <c r="M28"/>
  <c r="M26"/>
  <c r="M80"/>
  <c r="M21"/>
  <c r="M62"/>
  <c r="M58"/>
  <c r="M86"/>
  <c r="N86" s="1"/>
  <c r="M71"/>
  <c r="N71" s="1"/>
  <c r="M67"/>
  <c r="M63"/>
  <c r="N63" s="1"/>
  <c r="M59"/>
  <c r="N59" s="1"/>
  <c r="M53"/>
  <c r="N53" s="1"/>
  <c r="M43"/>
  <c r="N43" s="1"/>
  <c r="M41"/>
  <c r="N41" s="1"/>
  <c r="M37"/>
  <c r="N37" s="1"/>
  <c r="M136"/>
  <c r="M132"/>
  <c r="M130"/>
  <c r="N130" s="1"/>
  <c r="M128"/>
  <c r="N128" s="1"/>
  <c r="M126"/>
  <c r="N126" s="1"/>
  <c r="M124"/>
  <c r="M122"/>
  <c r="N122" s="1"/>
  <c r="M120"/>
  <c r="N120" s="1"/>
  <c r="M118"/>
  <c r="N118" s="1"/>
  <c r="M116"/>
  <c r="M110"/>
  <c r="N110" s="1"/>
  <c r="M106"/>
  <c r="N106" s="1"/>
  <c r="M102"/>
  <c r="N102" s="1"/>
  <c r="M100"/>
  <c r="N100" s="1"/>
  <c r="M98"/>
  <c r="N98" s="1"/>
  <c r="M96"/>
  <c r="N96" s="1"/>
  <c r="M90"/>
  <c r="M79"/>
  <c r="N79" s="1"/>
  <c r="M27"/>
  <c r="N27" s="1"/>
  <c r="M22"/>
  <c r="N22" s="1"/>
  <c r="M20"/>
  <c r="N20" s="1"/>
  <c r="M18"/>
  <c r="N136"/>
  <c r="N132"/>
  <c r="N124"/>
  <c r="N67"/>
  <c r="M42"/>
  <c r="M38"/>
  <c r="M36"/>
  <c r="M32"/>
  <c r="M76"/>
  <c r="M72"/>
  <c r="M60"/>
  <c r="M54"/>
  <c r="N132" i="35"/>
  <c r="N92"/>
  <c r="N53"/>
  <c r="N25"/>
  <c r="N15"/>
  <c r="N45"/>
  <c r="N29"/>
  <c r="N106"/>
  <c r="N75"/>
  <c r="N63"/>
  <c r="N47"/>
  <c r="N43"/>
  <c r="N35"/>
  <c r="N11"/>
  <c r="N16" i="32"/>
  <c r="N94"/>
  <c r="N117" i="31"/>
  <c r="M115"/>
  <c r="M123"/>
  <c r="M16"/>
  <c r="E147" s="1"/>
  <c r="M47"/>
  <c r="M35"/>
  <c r="M19"/>
  <c r="M125"/>
  <c r="M121"/>
  <c r="M113"/>
  <c r="N113" s="1"/>
  <c r="M53"/>
  <c r="M45"/>
  <c r="M25"/>
  <c r="M21"/>
  <c r="M88"/>
  <c r="N88" s="1"/>
  <c r="M60"/>
  <c r="N60" s="1"/>
  <c r="M54"/>
  <c r="N54" s="1"/>
  <c r="M44"/>
  <c r="N44" s="1"/>
  <c r="M36"/>
  <c r="N36" s="1"/>
  <c r="M32"/>
  <c r="N32" s="1"/>
  <c r="M26"/>
  <c r="N26" s="1"/>
  <c r="M24"/>
  <c r="N24" s="1"/>
  <c r="M20"/>
  <c r="M11"/>
  <c r="M132"/>
  <c r="N132" s="1"/>
  <c r="M130"/>
  <c r="M106"/>
  <c r="N106" s="1"/>
  <c r="M98"/>
  <c r="N98" s="1"/>
  <c r="M92"/>
  <c r="N92" s="1"/>
  <c r="M86"/>
  <c r="N86" s="1"/>
  <c r="M80"/>
  <c r="N80" s="1"/>
  <c r="M78"/>
  <c r="N78" s="1"/>
  <c r="M66"/>
  <c r="N66" s="1"/>
  <c r="N130"/>
  <c r="M99"/>
  <c r="M95"/>
  <c r="M93"/>
  <c r="M85"/>
  <c r="J152" i="35"/>
  <c r="J155" s="1"/>
  <c r="J148"/>
  <c r="I146"/>
  <c r="L133"/>
  <c r="N133" s="1"/>
  <c r="L129"/>
  <c r="N129" s="1"/>
  <c r="L125"/>
  <c r="N125" s="1"/>
  <c r="L121"/>
  <c r="N121" s="1"/>
  <c r="I143"/>
  <c r="L117"/>
  <c r="N117" s="1"/>
  <c r="L113"/>
  <c r="N113" s="1"/>
  <c r="L109"/>
  <c r="N109" s="1"/>
  <c r="L82"/>
  <c r="N82" s="1"/>
  <c r="L78"/>
  <c r="N78" s="1"/>
  <c r="L74"/>
  <c r="N74" s="1"/>
  <c r="L70"/>
  <c r="N70" s="1"/>
  <c r="L66"/>
  <c r="N66" s="1"/>
  <c r="L62"/>
  <c r="N62" s="1"/>
  <c r="L58"/>
  <c r="N58" s="1"/>
  <c r="L54"/>
  <c r="N54" s="1"/>
  <c r="L50"/>
  <c r="N50" s="1"/>
  <c r="L46"/>
  <c r="N46" s="1"/>
  <c r="L42"/>
  <c r="N42" s="1"/>
  <c r="L38"/>
  <c r="N38" s="1"/>
  <c r="L34"/>
  <c r="N34" s="1"/>
  <c r="L30"/>
  <c r="N30" s="1"/>
  <c r="L26"/>
  <c r="N26" s="1"/>
  <c r="L22"/>
  <c r="N22" s="1"/>
  <c r="L18"/>
  <c r="N18" s="1"/>
  <c r="H144"/>
  <c r="H153" s="1"/>
  <c r="G153" s="1"/>
  <c r="L153" s="1"/>
  <c r="L14"/>
  <c r="N14" s="1"/>
  <c r="J140"/>
  <c r="L135"/>
  <c r="N135" s="1"/>
  <c r="G146"/>
  <c r="L119"/>
  <c r="N119" s="1"/>
  <c r="G145"/>
  <c r="E144"/>
  <c r="M138"/>
  <c r="E143"/>
  <c r="H147"/>
  <c r="L16"/>
  <c r="N16" s="1"/>
  <c r="H143"/>
  <c r="L131"/>
  <c r="N131" s="1"/>
  <c r="L127"/>
  <c r="N127" s="1"/>
  <c r="L123"/>
  <c r="N123" s="1"/>
  <c r="K143"/>
  <c r="L115"/>
  <c r="N115" s="1"/>
  <c r="L111"/>
  <c r="N111" s="1"/>
  <c r="L107"/>
  <c r="N107" s="1"/>
  <c r="L105"/>
  <c r="N105" s="1"/>
  <c r="L103"/>
  <c r="N103" s="1"/>
  <c r="L101"/>
  <c r="N101" s="1"/>
  <c r="L99"/>
  <c r="N99" s="1"/>
  <c r="L97"/>
  <c r="N97" s="1"/>
  <c r="L95"/>
  <c r="N95" s="1"/>
  <c r="L93"/>
  <c r="N93" s="1"/>
  <c r="L91"/>
  <c r="N91" s="1"/>
  <c r="L89"/>
  <c r="N89" s="1"/>
  <c r="L87"/>
  <c r="N87" s="1"/>
  <c r="L85"/>
  <c r="N85" s="1"/>
  <c r="L83"/>
  <c r="N83" s="1"/>
  <c r="L80"/>
  <c r="N80" s="1"/>
  <c r="L76"/>
  <c r="N76" s="1"/>
  <c r="L72"/>
  <c r="N72" s="1"/>
  <c r="L68"/>
  <c r="N68" s="1"/>
  <c r="L64"/>
  <c r="N64" s="1"/>
  <c r="L60"/>
  <c r="N60" s="1"/>
  <c r="L56"/>
  <c r="N56" s="1"/>
  <c r="L52"/>
  <c r="N52" s="1"/>
  <c r="L48"/>
  <c r="N48" s="1"/>
  <c r="L44"/>
  <c r="N44" s="1"/>
  <c r="L40"/>
  <c r="N40" s="1"/>
  <c r="L36"/>
  <c r="N36" s="1"/>
  <c r="L32"/>
  <c r="N32" s="1"/>
  <c r="L28"/>
  <c r="N28" s="1"/>
  <c r="L24"/>
  <c r="N24" s="1"/>
  <c r="L20"/>
  <c r="N20" s="1"/>
  <c r="L12"/>
  <c r="N12" s="1"/>
  <c r="H140"/>
  <c r="L17"/>
  <c r="N17" s="1"/>
  <c r="J152" i="34"/>
  <c r="M94"/>
  <c r="N94" s="1"/>
  <c r="M92"/>
  <c r="M88"/>
  <c r="N88" s="1"/>
  <c r="M75"/>
  <c r="N75" s="1"/>
  <c r="M47"/>
  <c r="N47" s="1"/>
  <c r="M45"/>
  <c r="N45" s="1"/>
  <c r="M35"/>
  <c r="N35" s="1"/>
  <c r="M29"/>
  <c r="M24"/>
  <c r="N24" s="1"/>
  <c r="M16"/>
  <c r="E147" s="1"/>
  <c r="M14"/>
  <c r="N14" s="1"/>
  <c r="M12"/>
  <c r="L133"/>
  <c r="N133" s="1"/>
  <c r="L129"/>
  <c r="N129" s="1"/>
  <c r="L125"/>
  <c r="N125" s="1"/>
  <c r="L121"/>
  <c r="N121" s="1"/>
  <c r="L117"/>
  <c r="N117" s="1"/>
  <c r="L113"/>
  <c r="N113" s="1"/>
  <c r="N82"/>
  <c r="L80"/>
  <c r="L78"/>
  <c r="L76"/>
  <c r="L74"/>
  <c r="L72"/>
  <c r="L70"/>
  <c r="N70" s="1"/>
  <c r="L68"/>
  <c r="N68" s="1"/>
  <c r="L66"/>
  <c r="N66" s="1"/>
  <c r="L64"/>
  <c r="L62"/>
  <c r="N62" s="1"/>
  <c r="L60"/>
  <c r="N60" s="1"/>
  <c r="L58"/>
  <c r="L56"/>
  <c r="N56" s="1"/>
  <c r="L54"/>
  <c r="N54" s="1"/>
  <c r="L52"/>
  <c r="N52" s="1"/>
  <c r="L109"/>
  <c r="N109" s="1"/>
  <c r="L107"/>
  <c r="N107" s="1"/>
  <c r="L105"/>
  <c r="N105" s="1"/>
  <c r="L103"/>
  <c r="N103" s="1"/>
  <c r="L101"/>
  <c r="N101" s="1"/>
  <c r="L99"/>
  <c r="L97"/>
  <c r="N97" s="1"/>
  <c r="L95"/>
  <c r="L93"/>
  <c r="N93" s="1"/>
  <c r="L91"/>
  <c r="N91" s="1"/>
  <c r="L89"/>
  <c r="N89" s="1"/>
  <c r="L87"/>
  <c r="L85"/>
  <c r="L83"/>
  <c r="N83" s="1"/>
  <c r="L25"/>
  <c r="L23"/>
  <c r="N23" s="1"/>
  <c r="L21"/>
  <c r="N21" s="1"/>
  <c r="L19"/>
  <c r="L15"/>
  <c r="L13"/>
  <c r="N13" s="1"/>
  <c r="I140"/>
  <c r="M48"/>
  <c r="M44"/>
  <c r="M30"/>
  <c r="H144"/>
  <c r="H153" s="1"/>
  <c r="J140"/>
  <c r="M25"/>
  <c r="M19"/>
  <c r="L135"/>
  <c r="N135" s="1"/>
  <c r="G146"/>
  <c r="L119"/>
  <c r="N119" s="1"/>
  <c r="G145"/>
  <c r="G144"/>
  <c r="L17"/>
  <c r="N17" s="1"/>
  <c r="G140"/>
  <c r="L11"/>
  <c r="K146"/>
  <c r="L131"/>
  <c r="N131" s="1"/>
  <c r="L127"/>
  <c r="N127" s="1"/>
  <c r="L123"/>
  <c r="N123" s="1"/>
  <c r="L115"/>
  <c r="N115" s="1"/>
  <c r="L111"/>
  <c r="N111" s="1"/>
  <c r="K144"/>
  <c r="K153" s="1"/>
  <c r="K140"/>
  <c r="L50"/>
  <c r="N50" s="1"/>
  <c r="L48"/>
  <c r="L46"/>
  <c r="N46" s="1"/>
  <c r="L44"/>
  <c r="L42"/>
  <c r="L40"/>
  <c r="N40" s="1"/>
  <c r="L38"/>
  <c r="L36"/>
  <c r="N36" s="1"/>
  <c r="L34"/>
  <c r="N34" s="1"/>
  <c r="L32"/>
  <c r="N32" s="1"/>
  <c r="L30"/>
  <c r="N30" s="1"/>
  <c r="L28"/>
  <c r="N28" s="1"/>
  <c r="M78"/>
  <c r="H140"/>
  <c r="M15"/>
  <c r="N132" i="33"/>
  <c r="N130"/>
  <c r="N128"/>
  <c r="N124"/>
  <c r="N122"/>
  <c r="N120"/>
  <c r="N118"/>
  <c r="N116"/>
  <c r="N110"/>
  <c r="N106"/>
  <c r="N96"/>
  <c r="N92"/>
  <c r="N90"/>
  <c r="N88"/>
  <c r="N86"/>
  <c r="N82"/>
  <c r="N80"/>
  <c r="N78"/>
  <c r="N76"/>
  <c r="N74"/>
  <c r="N72"/>
  <c r="N66"/>
  <c r="N64"/>
  <c r="N62"/>
  <c r="N60"/>
  <c r="N58"/>
  <c r="N54"/>
  <c r="N52"/>
  <c r="N48"/>
  <c r="N46"/>
  <c r="N44"/>
  <c r="N42"/>
  <c r="N38"/>
  <c r="N36"/>
  <c r="N32"/>
  <c r="N30"/>
  <c r="N28"/>
  <c r="N26"/>
  <c r="N24"/>
  <c r="N22"/>
  <c r="N20"/>
  <c r="E147"/>
  <c r="N14"/>
  <c r="N5"/>
  <c r="H143"/>
  <c r="L133"/>
  <c r="N133" s="1"/>
  <c r="L129"/>
  <c r="N129" s="1"/>
  <c r="L125"/>
  <c r="N125" s="1"/>
  <c r="L121"/>
  <c r="N121" s="1"/>
  <c r="I143"/>
  <c r="L117"/>
  <c r="N117" s="1"/>
  <c r="L113"/>
  <c r="N113" s="1"/>
  <c r="N136"/>
  <c r="H144"/>
  <c r="H153" s="1"/>
  <c r="J140"/>
  <c r="L29"/>
  <c r="N29" s="1"/>
  <c r="L25"/>
  <c r="L21"/>
  <c r="N21" s="1"/>
  <c r="N16"/>
  <c r="L13"/>
  <c r="N13" s="1"/>
  <c r="I140"/>
  <c r="L135"/>
  <c r="N135" s="1"/>
  <c r="G146"/>
  <c r="L119"/>
  <c r="N119" s="1"/>
  <c r="G145"/>
  <c r="G144"/>
  <c r="L17"/>
  <c r="G140"/>
  <c r="L11"/>
  <c r="K146"/>
  <c r="L131"/>
  <c r="N131" s="1"/>
  <c r="L127"/>
  <c r="N127" s="1"/>
  <c r="L123"/>
  <c r="N123" s="1"/>
  <c r="K143"/>
  <c r="L115"/>
  <c r="N115" s="1"/>
  <c r="L111"/>
  <c r="L81"/>
  <c r="N81" s="1"/>
  <c r="L79"/>
  <c r="N79" s="1"/>
  <c r="L77"/>
  <c r="N77" s="1"/>
  <c r="L75"/>
  <c r="N75" s="1"/>
  <c r="L73"/>
  <c r="N73" s="1"/>
  <c r="L71"/>
  <c r="L69"/>
  <c r="N69" s="1"/>
  <c r="L67"/>
  <c r="N67" s="1"/>
  <c r="L65"/>
  <c r="N65" s="1"/>
  <c r="L109"/>
  <c r="N109" s="1"/>
  <c r="L107"/>
  <c r="N107" s="1"/>
  <c r="L105"/>
  <c r="N105" s="1"/>
  <c r="L103"/>
  <c r="N103" s="1"/>
  <c r="L101"/>
  <c r="N101" s="1"/>
  <c r="L99"/>
  <c r="N99" s="1"/>
  <c r="L97"/>
  <c r="N97" s="1"/>
  <c r="L95"/>
  <c r="N95" s="1"/>
  <c r="L93"/>
  <c r="N93" s="1"/>
  <c r="L91"/>
  <c r="N91" s="1"/>
  <c r="L89"/>
  <c r="N89" s="1"/>
  <c r="L87"/>
  <c r="N87" s="1"/>
  <c r="L85"/>
  <c r="N85" s="1"/>
  <c r="L83"/>
  <c r="N83" s="1"/>
  <c r="J144"/>
  <c r="J153" s="1"/>
  <c r="H140"/>
  <c r="L27"/>
  <c r="N27" s="1"/>
  <c r="L23"/>
  <c r="N23" s="1"/>
  <c r="L19"/>
  <c r="N19" s="1"/>
  <c r="K144"/>
  <c r="K153" s="1"/>
  <c r="L15"/>
  <c r="N15" s="1"/>
  <c r="K140"/>
  <c r="L63"/>
  <c r="L61"/>
  <c r="N61" s="1"/>
  <c r="L59"/>
  <c r="N59" s="1"/>
  <c r="L57"/>
  <c r="N57" s="1"/>
  <c r="L55"/>
  <c r="N55" s="1"/>
  <c r="L53"/>
  <c r="N53" s="1"/>
  <c r="L51"/>
  <c r="N51" s="1"/>
  <c r="L49"/>
  <c r="N49" s="1"/>
  <c r="L47"/>
  <c r="N47" s="1"/>
  <c r="L45"/>
  <c r="N45" s="1"/>
  <c r="L43"/>
  <c r="N43" s="1"/>
  <c r="L41"/>
  <c r="N41" s="1"/>
  <c r="L39"/>
  <c r="N39" s="1"/>
  <c r="L37"/>
  <c r="N37" s="1"/>
  <c r="L35"/>
  <c r="L33"/>
  <c r="N33" s="1"/>
  <c r="L31"/>
  <c r="N31" s="1"/>
  <c r="J152" i="32"/>
  <c r="N11"/>
  <c r="E143"/>
  <c r="E144"/>
  <c r="M138"/>
  <c r="L135"/>
  <c r="N135" s="1"/>
  <c r="G146"/>
  <c r="G144"/>
  <c r="L17"/>
  <c r="N17" s="1"/>
  <c r="L133"/>
  <c r="N133" s="1"/>
  <c r="L129"/>
  <c r="N129" s="1"/>
  <c r="L125"/>
  <c r="N125" s="1"/>
  <c r="I143"/>
  <c r="L27"/>
  <c r="N27" s="1"/>
  <c r="L25"/>
  <c r="N25" s="1"/>
  <c r="L23"/>
  <c r="N23" s="1"/>
  <c r="L21"/>
  <c r="N21" s="1"/>
  <c r="L19"/>
  <c r="N19" s="1"/>
  <c r="H140"/>
  <c r="H144"/>
  <c r="H153" s="1"/>
  <c r="L118"/>
  <c r="N118" s="1"/>
  <c r="L90"/>
  <c r="N90" s="1"/>
  <c r="L86"/>
  <c r="N86" s="1"/>
  <c r="L82"/>
  <c r="N82" s="1"/>
  <c r="L78"/>
  <c r="N78" s="1"/>
  <c r="H146"/>
  <c r="H145"/>
  <c r="H143" s="1"/>
  <c r="K146"/>
  <c r="L131"/>
  <c r="N131" s="1"/>
  <c r="L127"/>
  <c r="N127" s="1"/>
  <c r="L14"/>
  <c r="N14" s="1"/>
  <c r="L12"/>
  <c r="N12" s="1"/>
  <c r="J140"/>
  <c r="J144"/>
  <c r="J153" s="1"/>
  <c r="G140"/>
  <c r="L124"/>
  <c r="N124" s="1"/>
  <c r="L114"/>
  <c r="N114" s="1"/>
  <c r="L96"/>
  <c r="N96" s="1"/>
  <c r="L120"/>
  <c r="N120" s="1"/>
  <c r="G145"/>
  <c r="L116"/>
  <c r="N116" s="1"/>
  <c r="L110"/>
  <c r="N110" s="1"/>
  <c r="L106"/>
  <c r="N106" s="1"/>
  <c r="L102"/>
  <c r="N102" s="1"/>
  <c r="L92"/>
  <c r="N92" s="1"/>
  <c r="L88"/>
  <c r="N88" s="1"/>
  <c r="L84"/>
  <c r="N84" s="1"/>
  <c r="L80"/>
  <c r="N80" s="1"/>
  <c r="L76"/>
  <c r="N76" s="1"/>
  <c r="L74"/>
  <c r="N74" s="1"/>
  <c r="L72"/>
  <c r="N72" s="1"/>
  <c r="L70"/>
  <c r="N70" s="1"/>
  <c r="L68"/>
  <c r="N68" s="1"/>
  <c r="L66"/>
  <c r="N66" s="1"/>
  <c r="L64"/>
  <c r="N64" s="1"/>
  <c r="L62"/>
  <c r="N62" s="1"/>
  <c r="L60"/>
  <c r="N60" s="1"/>
  <c r="L58"/>
  <c r="N58" s="1"/>
  <c r="L56"/>
  <c r="N56" s="1"/>
  <c r="L54"/>
  <c r="N54" s="1"/>
  <c r="L52"/>
  <c r="N52" s="1"/>
  <c r="L50"/>
  <c r="N50" s="1"/>
  <c r="L48"/>
  <c r="N48" s="1"/>
  <c r="L46"/>
  <c r="N46" s="1"/>
  <c r="L44"/>
  <c r="N44" s="1"/>
  <c r="L42"/>
  <c r="N42" s="1"/>
  <c r="L40"/>
  <c r="N40" s="1"/>
  <c r="L38"/>
  <c r="N38" s="1"/>
  <c r="L36"/>
  <c r="N36" s="1"/>
  <c r="L34"/>
  <c r="N34" s="1"/>
  <c r="L32"/>
  <c r="N32" s="1"/>
  <c r="L30"/>
  <c r="N30" s="1"/>
  <c r="L28"/>
  <c r="N28" s="1"/>
  <c r="J152" i="31"/>
  <c r="J155" s="1"/>
  <c r="J148"/>
  <c r="M136"/>
  <c r="M82"/>
  <c r="N82" s="1"/>
  <c r="M64"/>
  <c r="M18"/>
  <c r="M15"/>
  <c r="N15" s="1"/>
  <c r="L125"/>
  <c r="N125" s="1"/>
  <c r="L121"/>
  <c r="L81"/>
  <c r="N81" s="1"/>
  <c r="L77"/>
  <c r="N77" s="1"/>
  <c r="L73"/>
  <c r="N73" s="1"/>
  <c r="L69"/>
  <c r="N69" s="1"/>
  <c r="L65"/>
  <c r="N65" s="1"/>
  <c r="L61"/>
  <c r="N61" s="1"/>
  <c r="L57"/>
  <c r="N57" s="1"/>
  <c r="L53"/>
  <c r="N53" s="1"/>
  <c r="L49"/>
  <c r="N49" s="1"/>
  <c r="L45"/>
  <c r="N45" s="1"/>
  <c r="L41"/>
  <c r="N41" s="1"/>
  <c r="L37"/>
  <c r="N37" s="1"/>
  <c r="L33"/>
  <c r="N33" s="1"/>
  <c r="L29"/>
  <c r="N29" s="1"/>
  <c r="L25"/>
  <c r="N25" s="1"/>
  <c r="L21"/>
  <c r="L12"/>
  <c r="N12" s="1"/>
  <c r="H144"/>
  <c r="H153" s="1"/>
  <c r="G140"/>
  <c r="L135"/>
  <c r="N135" s="1"/>
  <c r="G146"/>
  <c r="L119"/>
  <c r="N119" s="1"/>
  <c r="G145"/>
  <c r="G144"/>
  <c r="L17"/>
  <c r="N17" s="1"/>
  <c r="N11"/>
  <c r="P5"/>
  <c r="Q4"/>
  <c r="I143"/>
  <c r="K146"/>
  <c r="L131"/>
  <c r="N131" s="1"/>
  <c r="L127"/>
  <c r="N127" s="1"/>
  <c r="L123"/>
  <c r="N123" s="1"/>
  <c r="K143"/>
  <c r="L115"/>
  <c r="L111"/>
  <c r="N111" s="1"/>
  <c r="L79"/>
  <c r="N79" s="1"/>
  <c r="L75"/>
  <c r="N75" s="1"/>
  <c r="L71"/>
  <c r="N71" s="1"/>
  <c r="L67"/>
  <c r="N67" s="1"/>
  <c r="L63"/>
  <c r="N63" s="1"/>
  <c r="L59"/>
  <c r="N59" s="1"/>
  <c r="L55"/>
  <c r="N55" s="1"/>
  <c r="L51"/>
  <c r="N51" s="1"/>
  <c r="L47"/>
  <c r="L43"/>
  <c r="N43" s="1"/>
  <c r="L39"/>
  <c r="N39" s="1"/>
  <c r="L35"/>
  <c r="L31"/>
  <c r="N31" s="1"/>
  <c r="L27"/>
  <c r="N27" s="1"/>
  <c r="L23"/>
  <c r="N23" s="1"/>
  <c r="L19"/>
  <c r="N19" s="1"/>
  <c r="K144"/>
  <c r="K153" s="1"/>
  <c r="L14"/>
  <c r="N14" s="1"/>
  <c r="H140"/>
  <c r="L109"/>
  <c r="N109" s="1"/>
  <c r="L107"/>
  <c r="N107" s="1"/>
  <c r="L105"/>
  <c r="N105" s="1"/>
  <c r="L103"/>
  <c r="N103" s="1"/>
  <c r="L101"/>
  <c r="N101" s="1"/>
  <c r="L99"/>
  <c r="N99" s="1"/>
  <c r="L97"/>
  <c r="N97" s="1"/>
  <c r="L95"/>
  <c r="N95" s="1"/>
  <c r="L93"/>
  <c r="L91"/>
  <c r="N91" s="1"/>
  <c r="L89"/>
  <c r="N89" s="1"/>
  <c r="L87"/>
  <c r="N87" s="1"/>
  <c r="L85"/>
  <c r="L83"/>
  <c r="N83" s="1"/>
  <c r="M17" i="20"/>
  <c r="N17" s="1"/>
  <c r="M8"/>
  <c r="N8" s="1"/>
  <c r="E27" i="26"/>
  <c r="D27"/>
  <c r="E26"/>
  <c r="D26"/>
  <c r="J148" i="34" l="1"/>
  <c r="N92"/>
  <c r="N47" i="31"/>
  <c r="N38" i="34"/>
  <c r="N121" i="31"/>
  <c r="N64"/>
  <c r="N99" i="34"/>
  <c r="N72"/>
  <c r="J155"/>
  <c r="N116"/>
  <c r="N42"/>
  <c r="N64"/>
  <c r="N85" i="31"/>
  <c r="N93"/>
  <c r="N35"/>
  <c r="N136"/>
  <c r="N44" i="34"/>
  <c r="N85"/>
  <c r="N58"/>
  <c r="N74"/>
  <c r="L140" i="35"/>
  <c r="N18" i="34"/>
  <c r="N80"/>
  <c r="N26"/>
  <c r="N26" i="20"/>
  <c r="N115" i="31"/>
  <c r="E144"/>
  <c r="N21"/>
  <c r="K148" i="32"/>
  <c r="N87" i="34"/>
  <c r="N95"/>
  <c r="N76"/>
  <c r="N12"/>
  <c r="N29"/>
  <c r="L146" i="35"/>
  <c r="N20" i="31"/>
  <c r="N90" i="34"/>
  <c r="N48"/>
  <c r="N16"/>
  <c r="N138" i="35"/>
  <c r="N35" i="33"/>
  <c r="N63"/>
  <c r="N71"/>
  <c r="N111"/>
  <c r="N25"/>
  <c r="E144"/>
  <c r="N16" i="31"/>
  <c r="K152" i="35"/>
  <c r="K155" s="1"/>
  <c r="K148"/>
  <c r="H152"/>
  <c r="H148"/>
  <c r="H154"/>
  <c r="L154" s="1"/>
  <c r="L147"/>
  <c r="E148"/>
  <c r="E154" s="1"/>
  <c r="L145"/>
  <c r="G143"/>
  <c r="I152"/>
  <c r="I155" s="1"/>
  <c r="I148"/>
  <c r="L144"/>
  <c r="K152" i="34"/>
  <c r="K155" s="1"/>
  <c r="K148"/>
  <c r="I152"/>
  <c r="I155" s="1"/>
  <c r="I148"/>
  <c r="L144"/>
  <c r="G153"/>
  <c r="N15"/>
  <c r="N19"/>
  <c r="M138"/>
  <c r="L140"/>
  <c r="N11"/>
  <c r="L145"/>
  <c r="G143"/>
  <c r="E143"/>
  <c r="H152"/>
  <c r="H155" s="1"/>
  <c r="H148"/>
  <c r="L146"/>
  <c r="N25"/>
  <c r="N78"/>
  <c r="E144"/>
  <c r="L140" i="33"/>
  <c r="N11"/>
  <c r="L145"/>
  <c r="G143"/>
  <c r="I152"/>
  <c r="I155" s="1"/>
  <c r="I148"/>
  <c r="E143"/>
  <c r="N17"/>
  <c r="L146"/>
  <c r="G153"/>
  <c r="M138"/>
  <c r="J148"/>
  <c r="N12"/>
  <c r="K152"/>
  <c r="K155" s="1"/>
  <c r="K148"/>
  <c r="H152"/>
  <c r="H155" s="1"/>
  <c r="H148"/>
  <c r="L144"/>
  <c r="N18"/>
  <c r="J155"/>
  <c r="I152" i="32"/>
  <c r="I155" s="1"/>
  <c r="I148"/>
  <c r="E148"/>
  <c r="E154" s="1"/>
  <c r="L145"/>
  <c r="G143"/>
  <c r="H152"/>
  <c r="H155" s="1"/>
  <c r="H148"/>
  <c r="L146"/>
  <c r="N138"/>
  <c r="G153"/>
  <c r="L144"/>
  <c r="L140"/>
  <c r="J155"/>
  <c r="K152" i="31"/>
  <c r="K155" s="1"/>
  <c r="K148"/>
  <c r="L145"/>
  <c r="G143"/>
  <c r="D152"/>
  <c r="D155" s="1"/>
  <c r="E143"/>
  <c r="L146"/>
  <c r="G153"/>
  <c r="H148"/>
  <c r="M138"/>
  <c r="N18"/>
  <c r="I152"/>
  <c r="I155" s="1"/>
  <c r="I148"/>
  <c r="L140"/>
  <c r="L144"/>
  <c r="H155"/>
  <c r="M26" i="20"/>
  <c r="D43" i="26"/>
  <c r="E43"/>
  <c r="AD136" i="15"/>
  <c r="R136"/>
  <c r="S136" s="1"/>
  <c r="P136"/>
  <c r="AD135"/>
  <c r="S135"/>
  <c r="R135"/>
  <c r="P135"/>
  <c r="AD134"/>
  <c r="R134"/>
  <c r="S134" s="1"/>
  <c r="P134"/>
  <c r="AD133"/>
  <c r="R133"/>
  <c r="S133" s="1"/>
  <c r="P133"/>
  <c r="AD132"/>
  <c r="R132"/>
  <c r="S132" s="1"/>
  <c r="P132"/>
  <c r="AD131"/>
  <c r="R131"/>
  <c r="S131" s="1"/>
  <c r="P131"/>
  <c r="AD130"/>
  <c r="R130"/>
  <c r="S130" s="1"/>
  <c r="P130"/>
  <c r="AD129"/>
  <c r="R129"/>
  <c r="S129" s="1"/>
  <c r="P129"/>
  <c r="AD128"/>
  <c r="R128"/>
  <c r="S128" s="1"/>
  <c r="P128"/>
  <c r="AD127"/>
  <c r="S127"/>
  <c r="R127"/>
  <c r="P127"/>
  <c r="AD126"/>
  <c r="R126"/>
  <c r="S126" s="1"/>
  <c r="P126"/>
  <c r="AD125"/>
  <c r="R125"/>
  <c r="S125" s="1"/>
  <c r="P125"/>
  <c r="AD124"/>
  <c r="R124"/>
  <c r="S124" s="1"/>
  <c r="P124"/>
  <c r="AD123"/>
  <c r="R123"/>
  <c r="S123" s="1"/>
  <c r="P123"/>
  <c r="AD122"/>
  <c r="R122"/>
  <c r="S122" s="1"/>
  <c r="P122"/>
  <c r="AD121"/>
  <c r="R121"/>
  <c r="S121" s="1"/>
  <c r="P121"/>
  <c r="AD120"/>
  <c r="R120"/>
  <c r="S120" s="1"/>
  <c r="P120"/>
  <c r="AD119"/>
  <c r="S119"/>
  <c r="R119"/>
  <c r="P119"/>
  <c r="AD118"/>
  <c r="R118"/>
  <c r="S118" s="1"/>
  <c r="P118"/>
  <c r="AD117"/>
  <c r="R117"/>
  <c r="S117" s="1"/>
  <c r="P117"/>
  <c r="AD116"/>
  <c r="R116"/>
  <c r="S116" s="1"/>
  <c r="P116"/>
  <c r="AD115"/>
  <c r="R115"/>
  <c r="S115" s="1"/>
  <c r="P115"/>
  <c r="AD114"/>
  <c r="R114"/>
  <c r="S114" s="1"/>
  <c r="P114"/>
  <c r="AD113"/>
  <c r="R113"/>
  <c r="S113" s="1"/>
  <c r="P113"/>
  <c r="AD112"/>
  <c r="R112"/>
  <c r="S112" s="1"/>
  <c r="P112"/>
  <c r="AD111"/>
  <c r="R111"/>
  <c r="S111" s="1"/>
  <c r="P111"/>
  <c r="AD110"/>
  <c r="R110"/>
  <c r="S110" s="1"/>
  <c r="P110"/>
  <c r="AD109"/>
  <c r="R109"/>
  <c r="S109" s="1"/>
  <c r="P109"/>
  <c r="AD108"/>
  <c r="R108"/>
  <c r="S108" s="1"/>
  <c r="P108"/>
  <c r="AD107"/>
  <c r="R107"/>
  <c r="S107" s="1"/>
  <c r="P107"/>
  <c r="AD106"/>
  <c r="R106"/>
  <c r="S106" s="1"/>
  <c r="P106"/>
  <c r="AD105"/>
  <c r="R105"/>
  <c r="S105" s="1"/>
  <c r="P105"/>
  <c r="AD104"/>
  <c r="R104"/>
  <c r="S104" s="1"/>
  <c r="P104"/>
  <c r="AD103"/>
  <c r="S103"/>
  <c r="R103"/>
  <c r="P103"/>
  <c r="AD102"/>
  <c r="R102"/>
  <c r="S102" s="1"/>
  <c r="P102"/>
  <c r="AD101"/>
  <c r="R101"/>
  <c r="S101" s="1"/>
  <c r="P101"/>
  <c r="AD100"/>
  <c r="R100"/>
  <c r="S100" s="1"/>
  <c r="P100"/>
  <c r="AD99"/>
  <c r="R99"/>
  <c r="S99" s="1"/>
  <c r="P99"/>
  <c r="AD98"/>
  <c r="R98"/>
  <c r="S98" s="1"/>
  <c r="P98"/>
  <c r="AD97"/>
  <c r="R97"/>
  <c r="S97" s="1"/>
  <c r="W97" s="1"/>
  <c r="AA97" s="1"/>
  <c r="P97"/>
  <c r="AD96"/>
  <c r="R96"/>
  <c r="S96" s="1"/>
  <c r="P96"/>
  <c r="AD95"/>
  <c r="R95"/>
  <c r="S95" s="1"/>
  <c r="W95" s="1"/>
  <c r="AA95" s="1"/>
  <c r="P95"/>
  <c r="AD94"/>
  <c r="R94"/>
  <c r="S94" s="1"/>
  <c r="P94"/>
  <c r="AD93"/>
  <c r="R93"/>
  <c r="S93" s="1"/>
  <c r="W93" s="1"/>
  <c r="AA93" s="1"/>
  <c r="P93"/>
  <c r="AD92"/>
  <c r="R92"/>
  <c r="S92" s="1"/>
  <c r="P92"/>
  <c r="AD91"/>
  <c r="R91"/>
  <c r="S91" s="1"/>
  <c r="W91" s="1"/>
  <c r="AA91" s="1"/>
  <c r="P91"/>
  <c r="AD90"/>
  <c r="R90"/>
  <c r="S90" s="1"/>
  <c r="P90"/>
  <c r="AD89"/>
  <c r="R89"/>
  <c r="S89" s="1"/>
  <c r="W89" s="1"/>
  <c r="AA89" s="1"/>
  <c r="P89"/>
  <c r="AD88"/>
  <c r="R88"/>
  <c r="S88" s="1"/>
  <c r="P88"/>
  <c r="AD87"/>
  <c r="S87"/>
  <c r="W87" s="1"/>
  <c r="AA87" s="1"/>
  <c r="R87"/>
  <c r="P87"/>
  <c r="AD86"/>
  <c r="R86"/>
  <c r="S86" s="1"/>
  <c r="P86"/>
  <c r="AD85"/>
  <c r="R85"/>
  <c r="S85" s="1"/>
  <c r="W85" s="1"/>
  <c r="AA85" s="1"/>
  <c r="P85"/>
  <c r="AD84"/>
  <c r="R84"/>
  <c r="S84" s="1"/>
  <c r="P84"/>
  <c r="AD83"/>
  <c r="R83"/>
  <c r="S83" s="1"/>
  <c r="W83" s="1"/>
  <c r="AA83" s="1"/>
  <c r="P83"/>
  <c r="AD82"/>
  <c r="R82"/>
  <c r="S82" s="1"/>
  <c r="P82"/>
  <c r="AD81"/>
  <c r="R81"/>
  <c r="S81" s="1"/>
  <c r="W81" s="1"/>
  <c r="AA81" s="1"/>
  <c r="P81"/>
  <c r="AD80"/>
  <c r="R80"/>
  <c r="S80" s="1"/>
  <c r="P80"/>
  <c r="AD79"/>
  <c r="S79"/>
  <c r="W79" s="1"/>
  <c r="AA79" s="1"/>
  <c r="R79"/>
  <c r="P79"/>
  <c r="AD78"/>
  <c r="R78"/>
  <c r="S78" s="1"/>
  <c r="P78"/>
  <c r="AD77"/>
  <c r="R77"/>
  <c r="S77" s="1"/>
  <c r="W77" s="1"/>
  <c r="AA77" s="1"/>
  <c r="P77"/>
  <c r="AD76"/>
  <c r="R76"/>
  <c r="S76" s="1"/>
  <c r="P76"/>
  <c r="AD75"/>
  <c r="R75"/>
  <c r="S75" s="1"/>
  <c r="W75" s="1"/>
  <c r="AA75" s="1"/>
  <c r="P75"/>
  <c r="AD74"/>
  <c r="R74"/>
  <c r="S74" s="1"/>
  <c r="P74"/>
  <c r="AD73"/>
  <c r="R73"/>
  <c r="S73" s="1"/>
  <c r="W73" s="1"/>
  <c r="AA73" s="1"/>
  <c r="P73"/>
  <c r="AD72"/>
  <c r="R72"/>
  <c r="S72" s="1"/>
  <c r="P72"/>
  <c r="AD71"/>
  <c r="S71"/>
  <c r="W71" s="1"/>
  <c r="AA71" s="1"/>
  <c r="R71"/>
  <c r="P71"/>
  <c r="AD70"/>
  <c r="R70"/>
  <c r="S70" s="1"/>
  <c r="P70"/>
  <c r="AD69"/>
  <c r="R69"/>
  <c r="S69" s="1"/>
  <c r="P69"/>
  <c r="AD68"/>
  <c r="R68"/>
  <c r="S68" s="1"/>
  <c r="P68"/>
  <c r="AD67"/>
  <c r="R67"/>
  <c r="S67" s="1"/>
  <c r="P67"/>
  <c r="AD66"/>
  <c r="R66"/>
  <c r="S66" s="1"/>
  <c r="P66"/>
  <c r="AD65"/>
  <c r="R65"/>
  <c r="S65" s="1"/>
  <c r="P65"/>
  <c r="AD64"/>
  <c r="R64"/>
  <c r="S64" s="1"/>
  <c r="P64"/>
  <c r="AD63"/>
  <c r="R63"/>
  <c r="S63" s="1"/>
  <c r="P63"/>
  <c r="AD62"/>
  <c r="R62"/>
  <c r="S62" s="1"/>
  <c r="P62"/>
  <c r="AD61"/>
  <c r="R61"/>
  <c r="S61" s="1"/>
  <c r="P61"/>
  <c r="AD60"/>
  <c r="R60"/>
  <c r="S60" s="1"/>
  <c r="P60"/>
  <c r="AD59"/>
  <c r="R59"/>
  <c r="S59" s="1"/>
  <c r="W59" s="1"/>
  <c r="AA59" s="1"/>
  <c r="P59"/>
  <c r="AD58"/>
  <c r="R58"/>
  <c r="S58" s="1"/>
  <c r="P58"/>
  <c r="AD57"/>
  <c r="R57"/>
  <c r="S57" s="1"/>
  <c r="W57" s="1"/>
  <c r="AA57" s="1"/>
  <c r="P57"/>
  <c r="AD56"/>
  <c r="R56"/>
  <c r="S56" s="1"/>
  <c r="P56"/>
  <c r="AD55"/>
  <c r="R55"/>
  <c r="S55" s="1"/>
  <c r="W55" s="1"/>
  <c r="AA55" s="1"/>
  <c r="P55"/>
  <c r="AD54"/>
  <c r="R54"/>
  <c r="S54" s="1"/>
  <c r="P54"/>
  <c r="AD53"/>
  <c r="S53"/>
  <c r="W53" s="1"/>
  <c r="AA53" s="1"/>
  <c r="R53"/>
  <c r="P53"/>
  <c r="AD52"/>
  <c r="R52"/>
  <c r="S52" s="1"/>
  <c r="P52"/>
  <c r="AD51"/>
  <c r="R51"/>
  <c r="S51" s="1"/>
  <c r="P51"/>
  <c r="AD50"/>
  <c r="R50"/>
  <c r="S50" s="1"/>
  <c r="P50"/>
  <c r="AD49"/>
  <c r="R49"/>
  <c r="S49" s="1"/>
  <c r="P49"/>
  <c r="AD48"/>
  <c r="R48"/>
  <c r="S48" s="1"/>
  <c r="P48"/>
  <c r="AD47"/>
  <c r="R47"/>
  <c r="S47" s="1"/>
  <c r="P47"/>
  <c r="AD46"/>
  <c r="R46"/>
  <c r="S46" s="1"/>
  <c r="P46"/>
  <c r="AD45"/>
  <c r="R45"/>
  <c r="S45" s="1"/>
  <c r="P45"/>
  <c r="AD44"/>
  <c r="R44"/>
  <c r="S44" s="1"/>
  <c r="P44"/>
  <c r="AD43"/>
  <c r="R43"/>
  <c r="S43" s="1"/>
  <c r="P43"/>
  <c r="AD42"/>
  <c r="R42"/>
  <c r="S42" s="1"/>
  <c r="P42"/>
  <c r="AD41"/>
  <c r="R41"/>
  <c r="S41" s="1"/>
  <c r="P41"/>
  <c r="AD40"/>
  <c r="R40"/>
  <c r="S40" s="1"/>
  <c r="P40"/>
  <c r="AD39"/>
  <c r="R39"/>
  <c r="S39" s="1"/>
  <c r="P39"/>
  <c r="AD38"/>
  <c r="R38"/>
  <c r="S38" s="1"/>
  <c r="P38"/>
  <c r="AD37"/>
  <c r="R37"/>
  <c r="S37" s="1"/>
  <c r="P37"/>
  <c r="AD36"/>
  <c r="R36"/>
  <c r="S36" s="1"/>
  <c r="P36"/>
  <c r="AD35"/>
  <c r="R35"/>
  <c r="S35" s="1"/>
  <c r="P35"/>
  <c r="AD34"/>
  <c r="R34"/>
  <c r="S34" s="1"/>
  <c r="P34"/>
  <c r="AD33"/>
  <c r="R33"/>
  <c r="S33" s="1"/>
  <c r="P33"/>
  <c r="AD32"/>
  <c r="R32"/>
  <c r="S32" s="1"/>
  <c r="P32"/>
  <c r="AD31"/>
  <c r="R31"/>
  <c r="S31" s="1"/>
  <c r="P31"/>
  <c r="AD30"/>
  <c r="R30"/>
  <c r="S30" s="1"/>
  <c r="P30"/>
  <c r="AD29"/>
  <c r="R29"/>
  <c r="S29" s="1"/>
  <c r="P29"/>
  <c r="AD28"/>
  <c r="R28"/>
  <c r="S28" s="1"/>
  <c r="P28"/>
  <c r="AD27"/>
  <c r="R27"/>
  <c r="S27" s="1"/>
  <c r="P27"/>
  <c r="AD26"/>
  <c r="R26"/>
  <c r="S26" s="1"/>
  <c r="P26"/>
  <c r="AD25"/>
  <c r="R25"/>
  <c r="S25" s="1"/>
  <c r="P25"/>
  <c r="AD24"/>
  <c r="S24"/>
  <c r="R24"/>
  <c r="P24"/>
  <c r="AD23"/>
  <c r="R23"/>
  <c r="S23" s="1"/>
  <c r="P23"/>
  <c r="AD22"/>
  <c r="R22"/>
  <c r="S22" s="1"/>
  <c r="P22"/>
  <c r="AD21"/>
  <c r="R21"/>
  <c r="S21" s="1"/>
  <c r="P21"/>
  <c r="AD20"/>
  <c r="R20"/>
  <c r="S20" s="1"/>
  <c r="P20"/>
  <c r="AD19"/>
  <c r="R19"/>
  <c r="S19" s="1"/>
  <c r="P19"/>
  <c r="AD18"/>
  <c r="R18"/>
  <c r="S18" s="1"/>
  <c r="P18"/>
  <c r="AD17"/>
  <c r="R17"/>
  <c r="S17" s="1"/>
  <c r="P17"/>
  <c r="AD16"/>
  <c r="R16"/>
  <c r="S16" s="1"/>
  <c r="X16" s="1"/>
  <c r="AB16" s="1"/>
  <c r="AC16" s="1"/>
  <c r="AE16" s="1"/>
  <c r="AG16" s="1"/>
  <c r="P16"/>
  <c r="AD15"/>
  <c r="R15"/>
  <c r="S15" s="1"/>
  <c r="V15" s="1"/>
  <c r="Z15" s="1"/>
  <c r="P15"/>
  <c r="AD14"/>
  <c r="R14"/>
  <c r="S14" s="1"/>
  <c r="P14"/>
  <c r="AD13"/>
  <c r="R13"/>
  <c r="S13" s="1"/>
  <c r="P13"/>
  <c r="AD12"/>
  <c r="R12"/>
  <c r="S12" s="1"/>
  <c r="P12"/>
  <c r="AD11"/>
  <c r="S11"/>
  <c r="V11" s="1"/>
  <c r="Z11" s="1"/>
  <c r="R11"/>
  <c r="P11"/>
  <c r="N138" i="31" l="1"/>
  <c r="E152" i="35"/>
  <c r="E155" s="1"/>
  <c r="G148"/>
  <c r="L143"/>
  <c r="L148" s="1"/>
  <c r="E153"/>
  <c r="H155"/>
  <c r="G152" s="1"/>
  <c r="E148" i="34"/>
  <c r="E154" s="1"/>
  <c r="G148"/>
  <c r="L143"/>
  <c r="L148" s="1"/>
  <c r="L153"/>
  <c r="G152"/>
  <c r="N138"/>
  <c r="E148" i="33"/>
  <c r="E152" s="1"/>
  <c r="G148"/>
  <c r="L143"/>
  <c r="L148" s="1"/>
  <c r="N138"/>
  <c r="L153"/>
  <c r="G152"/>
  <c r="G148" i="32"/>
  <c r="L143"/>
  <c r="L148" s="1"/>
  <c r="L153"/>
  <c r="G152"/>
  <c r="E153"/>
  <c r="E152"/>
  <c r="L153" i="31"/>
  <c r="G152"/>
  <c r="E148"/>
  <c r="E152" s="1"/>
  <c r="G148"/>
  <c r="L143"/>
  <c r="L148" s="1"/>
  <c r="W12" i="15"/>
  <c r="AA12" s="1"/>
  <c r="U12"/>
  <c r="Y12" s="1"/>
  <c r="V12"/>
  <c r="Z12" s="1"/>
  <c r="T12"/>
  <c r="X12" s="1"/>
  <c r="W17"/>
  <c r="AA17" s="1"/>
  <c r="T17"/>
  <c r="X17" s="1"/>
  <c r="W25"/>
  <c r="AA25" s="1"/>
  <c r="T25"/>
  <c r="X25" s="1"/>
  <c r="T26"/>
  <c r="X26" s="1"/>
  <c r="W26"/>
  <c r="AA26" s="1"/>
  <c r="U26"/>
  <c r="Y26" s="1"/>
  <c r="W27"/>
  <c r="AA27" s="1"/>
  <c r="T27"/>
  <c r="X27" s="1"/>
  <c r="T28"/>
  <c r="X28" s="1"/>
  <c r="W28"/>
  <c r="AA28" s="1"/>
  <c r="U28"/>
  <c r="Y28" s="1"/>
  <c r="W29"/>
  <c r="AA29" s="1"/>
  <c r="T29"/>
  <c r="X29" s="1"/>
  <c r="T30"/>
  <c r="X30" s="1"/>
  <c r="W30"/>
  <c r="AA30" s="1"/>
  <c r="U30"/>
  <c r="Y30" s="1"/>
  <c r="W31"/>
  <c r="AA31" s="1"/>
  <c r="T31"/>
  <c r="X31" s="1"/>
  <c r="T32"/>
  <c r="X32" s="1"/>
  <c r="W32"/>
  <c r="AA32" s="1"/>
  <c r="U32"/>
  <c r="Y32" s="1"/>
  <c r="W33"/>
  <c r="AA33" s="1"/>
  <c r="T33"/>
  <c r="X33" s="1"/>
  <c r="T34"/>
  <c r="X34" s="1"/>
  <c r="W34"/>
  <c r="AA34" s="1"/>
  <c r="U34"/>
  <c r="Y34" s="1"/>
  <c r="W35"/>
  <c r="AA35" s="1"/>
  <c r="T35"/>
  <c r="X35" s="1"/>
  <c r="T36"/>
  <c r="X36" s="1"/>
  <c r="W36"/>
  <c r="AA36" s="1"/>
  <c r="U36"/>
  <c r="Y36" s="1"/>
  <c r="W37"/>
  <c r="AA37" s="1"/>
  <c r="T37"/>
  <c r="X37" s="1"/>
  <c r="T38"/>
  <c r="X38" s="1"/>
  <c r="W38"/>
  <c r="AA38" s="1"/>
  <c r="U38"/>
  <c r="Y38" s="1"/>
  <c r="W39"/>
  <c r="AA39" s="1"/>
  <c r="T39"/>
  <c r="X39" s="1"/>
  <c r="T40"/>
  <c r="X40" s="1"/>
  <c r="W40"/>
  <c r="AA40" s="1"/>
  <c r="U40"/>
  <c r="Y40" s="1"/>
  <c r="W41"/>
  <c r="AA41" s="1"/>
  <c r="T41"/>
  <c r="X41" s="1"/>
  <c r="T42"/>
  <c r="X42" s="1"/>
  <c r="W42"/>
  <c r="AA42" s="1"/>
  <c r="U42"/>
  <c r="Y42" s="1"/>
  <c r="W43"/>
  <c r="AA43" s="1"/>
  <c r="T43"/>
  <c r="X43" s="1"/>
  <c r="T44"/>
  <c r="X44" s="1"/>
  <c r="W44"/>
  <c r="AA44" s="1"/>
  <c r="U44"/>
  <c r="Y44" s="1"/>
  <c r="W45"/>
  <c r="AA45" s="1"/>
  <c r="T45"/>
  <c r="X45" s="1"/>
  <c r="T46"/>
  <c r="X46" s="1"/>
  <c r="W46"/>
  <c r="AA46" s="1"/>
  <c r="U46"/>
  <c r="Y46" s="1"/>
  <c r="W47"/>
  <c r="AA47" s="1"/>
  <c r="T47"/>
  <c r="X47" s="1"/>
  <c r="T48"/>
  <c r="X48" s="1"/>
  <c r="W48"/>
  <c r="AA48" s="1"/>
  <c r="U48"/>
  <c r="Y48" s="1"/>
  <c r="W49"/>
  <c r="AA49" s="1"/>
  <c r="T49"/>
  <c r="X49" s="1"/>
  <c r="T50"/>
  <c r="X50" s="1"/>
  <c r="W50"/>
  <c r="AA50" s="1"/>
  <c r="U50"/>
  <c r="Y50" s="1"/>
  <c r="W51"/>
  <c r="AA51" s="1"/>
  <c r="T51"/>
  <c r="X51" s="1"/>
  <c r="T52"/>
  <c r="X52" s="1"/>
  <c r="W52"/>
  <c r="AA52" s="1"/>
  <c r="U52"/>
  <c r="Y52" s="1"/>
  <c r="T56"/>
  <c r="X56" s="1"/>
  <c r="W56"/>
  <c r="AA56" s="1"/>
  <c r="U56"/>
  <c r="Y56" s="1"/>
  <c r="W14"/>
  <c r="AA14" s="1"/>
  <c r="U14"/>
  <c r="Y14" s="1"/>
  <c r="V14"/>
  <c r="Z14" s="1"/>
  <c r="T14"/>
  <c r="X14" s="1"/>
  <c r="W19"/>
  <c r="AA19" s="1"/>
  <c r="T19"/>
  <c r="X19" s="1"/>
  <c r="V20"/>
  <c r="Z20" s="1"/>
  <c r="T20"/>
  <c r="X20" s="1"/>
  <c r="W20"/>
  <c r="AA20" s="1"/>
  <c r="U20"/>
  <c r="Y20" s="1"/>
  <c r="W21"/>
  <c r="AA21" s="1"/>
  <c r="T21"/>
  <c r="X21" s="1"/>
  <c r="V22"/>
  <c r="Z22" s="1"/>
  <c r="T22"/>
  <c r="X22" s="1"/>
  <c r="W22"/>
  <c r="AA22" s="1"/>
  <c r="U22"/>
  <c r="Y22" s="1"/>
  <c r="W23"/>
  <c r="AA23" s="1"/>
  <c r="T23"/>
  <c r="X23" s="1"/>
  <c r="V54"/>
  <c r="Z54" s="1"/>
  <c r="T54"/>
  <c r="X54" s="1"/>
  <c r="W54"/>
  <c r="AA54" s="1"/>
  <c r="U54"/>
  <c r="Y54" s="1"/>
  <c r="V58"/>
  <c r="Z58" s="1"/>
  <c r="T58"/>
  <c r="X58" s="1"/>
  <c r="W58"/>
  <c r="AA58" s="1"/>
  <c r="U58"/>
  <c r="Y58" s="1"/>
  <c r="V60"/>
  <c r="Z60" s="1"/>
  <c r="T60"/>
  <c r="X60" s="1"/>
  <c r="W60"/>
  <c r="AA60" s="1"/>
  <c r="U60"/>
  <c r="Y60" s="1"/>
  <c r="W61"/>
  <c r="AA61" s="1"/>
  <c r="T61"/>
  <c r="X61" s="1"/>
  <c r="V62"/>
  <c r="Z62" s="1"/>
  <c r="T62"/>
  <c r="X62" s="1"/>
  <c r="W62"/>
  <c r="AA62" s="1"/>
  <c r="U62"/>
  <c r="Y62" s="1"/>
  <c r="W63"/>
  <c r="AA63" s="1"/>
  <c r="T63"/>
  <c r="X63" s="1"/>
  <c r="V64"/>
  <c r="Z64" s="1"/>
  <c r="T64"/>
  <c r="X64" s="1"/>
  <c r="W64"/>
  <c r="AA64" s="1"/>
  <c r="U64"/>
  <c r="Y64" s="1"/>
  <c r="W65"/>
  <c r="AA65" s="1"/>
  <c r="T65"/>
  <c r="X65" s="1"/>
  <c r="V66"/>
  <c r="Z66" s="1"/>
  <c r="T66"/>
  <c r="X66" s="1"/>
  <c r="W66"/>
  <c r="AA66" s="1"/>
  <c r="U66"/>
  <c r="Y66" s="1"/>
  <c r="W67"/>
  <c r="AA67" s="1"/>
  <c r="T67"/>
  <c r="X67" s="1"/>
  <c r="V68"/>
  <c r="Z68" s="1"/>
  <c r="T68"/>
  <c r="X68" s="1"/>
  <c r="W68"/>
  <c r="AA68" s="1"/>
  <c r="U68"/>
  <c r="Y68" s="1"/>
  <c r="W69"/>
  <c r="AA69" s="1"/>
  <c r="T69"/>
  <c r="X69" s="1"/>
  <c r="V70"/>
  <c r="Z70" s="1"/>
  <c r="T70"/>
  <c r="X70" s="1"/>
  <c r="W70"/>
  <c r="AA70" s="1"/>
  <c r="U70"/>
  <c r="Y70" s="1"/>
  <c r="V74"/>
  <c r="Z74" s="1"/>
  <c r="T74"/>
  <c r="X74" s="1"/>
  <c r="W74"/>
  <c r="AA74" s="1"/>
  <c r="U74"/>
  <c r="Y74" s="1"/>
  <c r="V78"/>
  <c r="Z78" s="1"/>
  <c r="T78"/>
  <c r="X78" s="1"/>
  <c r="W78"/>
  <c r="AA78" s="1"/>
  <c r="U78"/>
  <c r="Y78" s="1"/>
  <c r="V82"/>
  <c r="Z82" s="1"/>
  <c r="T82"/>
  <c r="X82" s="1"/>
  <c r="W82"/>
  <c r="AA82" s="1"/>
  <c r="U82"/>
  <c r="Y82" s="1"/>
  <c r="V86"/>
  <c r="Z86" s="1"/>
  <c r="T86"/>
  <c r="X86" s="1"/>
  <c r="W86"/>
  <c r="AA86" s="1"/>
  <c r="U86"/>
  <c r="Y86" s="1"/>
  <c r="V90"/>
  <c r="Z90" s="1"/>
  <c r="T90"/>
  <c r="X90" s="1"/>
  <c r="W90"/>
  <c r="AA90" s="1"/>
  <c r="U90"/>
  <c r="Y90" s="1"/>
  <c r="V94"/>
  <c r="Z94" s="1"/>
  <c r="T94"/>
  <c r="X94" s="1"/>
  <c r="W94"/>
  <c r="AA94" s="1"/>
  <c r="U94"/>
  <c r="Y94" s="1"/>
  <c r="W24"/>
  <c r="AA24" s="1"/>
  <c r="T53"/>
  <c r="X53" s="1"/>
  <c r="T55"/>
  <c r="X55" s="1"/>
  <c r="T57"/>
  <c r="X57" s="1"/>
  <c r="T59"/>
  <c r="X59" s="1"/>
  <c r="V72"/>
  <c r="Z72" s="1"/>
  <c r="T72"/>
  <c r="X72" s="1"/>
  <c r="W72"/>
  <c r="AA72" s="1"/>
  <c r="U72"/>
  <c r="Y72" s="1"/>
  <c r="V76"/>
  <c r="Z76" s="1"/>
  <c r="T76"/>
  <c r="X76" s="1"/>
  <c r="W76"/>
  <c r="AA76" s="1"/>
  <c r="U76"/>
  <c r="Y76" s="1"/>
  <c r="V80"/>
  <c r="Z80" s="1"/>
  <c r="T80"/>
  <c r="X80" s="1"/>
  <c r="W80"/>
  <c r="AA80" s="1"/>
  <c r="U80"/>
  <c r="Y80" s="1"/>
  <c r="V84"/>
  <c r="Z84" s="1"/>
  <c r="T84"/>
  <c r="X84" s="1"/>
  <c r="W84"/>
  <c r="AA84" s="1"/>
  <c r="U84"/>
  <c r="Y84" s="1"/>
  <c r="V88"/>
  <c r="Z88" s="1"/>
  <c r="T88"/>
  <c r="X88" s="1"/>
  <c r="W88"/>
  <c r="AA88" s="1"/>
  <c r="U88"/>
  <c r="Y88" s="1"/>
  <c r="V92"/>
  <c r="Z92" s="1"/>
  <c r="T92"/>
  <c r="X92" s="1"/>
  <c r="W92"/>
  <c r="AA92" s="1"/>
  <c r="U92"/>
  <c r="Y92" s="1"/>
  <c r="V96"/>
  <c r="Z96" s="1"/>
  <c r="T96"/>
  <c r="X96" s="1"/>
  <c r="W96"/>
  <c r="AA96" s="1"/>
  <c r="U96"/>
  <c r="Y96" s="1"/>
  <c r="U11"/>
  <c r="Y11" s="1"/>
  <c r="W11"/>
  <c r="AA11" s="1"/>
  <c r="U13"/>
  <c r="Y13" s="1"/>
  <c r="W13"/>
  <c r="AA13" s="1"/>
  <c r="U15"/>
  <c r="Y15" s="1"/>
  <c r="W15"/>
  <c r="AA15" s="1"/>
  <c r="U18"/>
  <c r="Y18" s="1"/>
  <c r="W18"/>
  <c r="AA18" s="1"/>
  <c r="T11"/>
  <c r="X11" s="1"/>
  <c r="AB11" s="1"/>
  <c r="AC11" s="1"/>
  <c r="AE11" s="1"/>
  <c r="T13"/>
  <c r="X13" s="1"/>
  <c r="T15"/>
  <c r="X15" s="1"/>
  <c r="AB15" s="1"/>
  <c r="AC15" s="1"/>
  <c r="AE15" s="1"/>
  <c r="AG15" s="1"/>
  <c r="T18"/>
  <c r="X18" s="1"/>
  <c r="T24"/>
  <c r="X24" s="1"/>
  <c r="U53"/>
  <c r="Y53" s="1"/>
  <c r="U55"/>
  <c r="Y55" s="1"/>
  <c r="U57"/>
  <c r="Y57" s="1"/>
  <c r="U59"/>
  <c r="Y59" s="1"/>
  <c r="W98"/>
  <c r="AA98" s="1"/>
  <c r="T98"/>
  <c r="X98" s="1"/>
  <c r="W102"/>
  <c r="AA102" s="1"/>
  <c r="T102"/>
  <c r="X102" s="1"/>
  <c r="W106"/>
  <c r="AA106" s="1"/>
  <c r="T106"/>
  <c r="X106" s="1"/>
  <c r="W110"/>
  <c r="AA110" s="1"/>
  <c r="T110"/>
  <c r="X110" s="1"/>
  <c r="W114"/>
  <c r="AA114" s="1"/>
  <c r="T114"/>
  <c r="X114" s="1"/>
  <c r="W118"/>
  <c r="AA118" s="1"/>
  <c r="T118"/>
  <c r="X118" s="1"/>
  <c r="W122"/>
  <c r="AA122" s="1"/>
  <c r="T122"/>
  <c r="X122" s="1"/>
  <c r="W126"/>
  <c r="AA126" s="1"/>
  <c r="T126"/>
  <c r="X126" s="1"/>
  <c r="W130"/>
  <c r="AA130" s="1"/>
  <c r="T130"/>
  <c r="X130" s="1"/>
  <c r="W134"/>
  <c r="AA134" s="1"/>
  <c r="T134"/>
  <c r="X134" s="1"/>
  <c r="T71"/>
  <c r="X71" s="1"/>
  <c r="T73"/>
  <c r="X73" s="1"/>
  <c r="T75"/>
  <c r="X75" s="1"/>
  <c r="T77"/>
  <c r="X77" s="1"/>
  <c r="T79"/>
  <c r="X79" s="1"/>
  <c r="T81"/>
  <c r="X81" s="1"/>
  <c r="T83"/>
  <c r="X83" s="1"/>
  <c r="T85"/>
  <c r="X85" s="1"/>
  <c r="T87"/>
  <c r="X87" s="1"/>
  <c r="T89"/>
  <c r="X89" s="1"/>
  <c r="T91"/>
  <c r="X91" s="1"/>
  <c r="T93"/>
  <c r="X93" s="1"/>
  <c r="T95"/>
  <c r="X95" s="1"/>
  <c r="T97"/>
  <c r="X97" s="1"/>
  <c r="W100"/>
  <c r="AA100" s="1"/>
  <c r="T100"/>
  <c r="X100" s="1"/>
  <c r="W104"/>
  <c r="AA104" s="1"/>
  <c r="T104"/>
  <c r="X104" s="1"/>
  <c r="W108"/>
  <c r="AA108" s="1"/>
  <c r="T108"/>
  <c r="X108" s="1"/>
  <c r="W112"/>
  <c r="AA112" s="1"/>
  <c r="T112"/>
  <c r="X112" s="1"/>
  <c r="W116"/>
  <c r="AA116" s="1"/>
  <c r="T116"/>
  <c r="X116" s="1"/>
  <c r="W120"/>
  <c r="AA120" s="1"/>
  <c r="T120"/>
  <c r="X120" s="1"/>
  <c r="W124"/>
  <c r="AA124" s="1"/>
  <c r="T124"/>
  <c r="X124" s="1"/>
  <c r="W128"/>
  <c r="AA128" s="1"/>
  <c r="T128"/>
  <c r="X128" s="1"/>
  <c r="W132"/>
  <c r="AA132" s="1"/>
  <c r="T132"/>
  <c r="X132" s="1"/>
  <c r="W136"/>
  <c r="AA136" s="1"/>
  <c r="T136"/>
  <c r="X136" s="1"/>
  <c r="U71"/>
  <c r="Y71" s="1"/>
  <c r="U73"/>
  <c r="Y73" s="1"/>
  <c r="U75"/>
  <c r="Y75" s="1"/>
  <c r="U77"/>
  <c r="Y77" s="1"/>
  <c r="U79"/>
  <c r="Y79" s="1"/>
  <c r="U81"/>
  <c r="Y81" s="1"/>
  <c r="U83"/>
  <c r="Y83" s="1"/>
  <c r="U85"/>
  <c r="Y85" s="1"/>
  <c r="U87"/>
  <c r="Y87" s="1"/>
  <c r="U89"/>
  <c r="Y89" s="1"/>
  <c r="U91"/>
  <c r="Y91" s="1"/>
  <c r="U93"/>
  <c r="Y93" s="1"/>
  <c r="U95"/>
  <c r="Y95" s="1"/>
  <c r="U97"/>
  <c r="Y97" s="1"/>
  <c r="W99"/>
  <c r="AA99" s="1"/>
  <c r="W101"/>
  <c r="AA101" s="1"/>
  <c r="W103"/>
  <c r="AA103" s="1"/>
  <c r="W105"/>
  <c r="AA105" s="1"/>
  <c r="W107"/>
  <c r="AA107" s="1"/>
  <c r="W109"/>
  <c r="AA109" s="1"/>
  <c r="W111"/>
  <c r="AA111" s="1"/>
  <c r="W113"/>
  <c r="AA113" s="1"/>
  <c r="W115"/>
  <c r="AA115" s="1"/>
  <c r="W117"/>
  <c r="AA117" s="1"/>
  <c r="W119"/>
  <c r="AA119" s="1"/>
  <c r="W121"/>
  <c r="AA121" s="1"/>
  <c r="W123"/>
  <c r="AA123" s="1"/>
  <c r="W125"/>
  <c r="AA125" s="1"/>
  <c r="W127"/>
  <c r="AA127" s="1"/>
  <c r="W129"/>
  <c r="AA129" s="1"/>
  <c r="W131"/>
  <c r="AA131" s="1"/>
  <c r="W133"/>
  <c r="AA133" s="1"/>
  <c r="W135"/>
  <c r="AA135" s="1"/>
  <c r="T99"/>
  <c r="X99" s="1"/>
  <c r="T101"/>
  <c r="X101" s="1"/>
  <c r="T103"/>
  <c r="X103" s="1"/>
  <c r="T105"/>
  <c r="X105" s="1"/>
  <c r="T107"/>
  <c r="X107" s="1"/>
  <c r="T109"/>
  <c r="X109" s="1"/>
  <c r="T111"/>
  <c r="X111" s="1"/>
  <c r="T113"/>
  <c r="X113" s="1"/>
  <c r="T115"/>
  <c r="X115" s="1"/>
  <c r="T117"/>
  <c r="X117" s="1"/>
  <c r="T119"/>
  <c r="X119" s="1"/>
  <c r="T121"/>
  <c r="X121" s="1"/>
  <c r="T123"/>
  <c r="X123" s="1"/>
  <c r="T125"/>
  <c r="X125" s="1"/>
  <c r="T127"/>
  <c r="X127" s="1"/>
  <c r="T129"/>
  <c r="X129" s="1"/>
  <c r="T131"/>
  <c r="X131" s="1"/>
  <c r="T133"/>
  <c r="X133" s="1"/>
  <c r="T135"/>
  <c r="X135" s="1"/>
  <c r="E155" i="32" l="1"/>
  <c r="G155" i="35"/>
  <c r="L152"/>
  <c r="L155" s="1"/>
  <c r="E153" i="34"/>
  <c r="E152"/>
  <c r="G155"/>
  <c r="L152"/>
  <c r="L155" s="1"/>
  <c r="G155" i="33"/>
  <c r="L152"/>
  <c r="L155" s="1"/>
  <c r="E153"/>
  <c r="E155" s="1"/>
  <c r="E154"/>
  <c r="G155" i="32"/>
  <c r="L152"/>
  <c r="L155" s="1"/>
  <c r="E154" i="31"/>
  <c r="E153"/>
  <c r="G155"/>
  <c r="L152"/>
  <c r="L155" s="1"/>
  <c r="U136" i="15"/>
  <c r="U132"/>
  <c r="U128"/>
  <c r="U124"/>
  <c r="U120"/>
  <c r="U116"/>
  <c r="U112"/>
  <c r="U108"/>
  <c r="U104"/>
  <c r="U100"/>
  <c r="AB96"/>
  <c r="AC96" s="1"/>
  <c r="AE96" s="1"/>
  <c r="AG96" s="1"/>
  <c r="AB92"/>
  <c r="AC92" s="1"/>
  <c r="AE92" s="1"/>
  <c r="AG92" s="1"/>
  <c r="AB88"/>
  <c r="AC88" s="1"/>
  <c r="AE88" s="1"/>
  <c r="AG88" s="1"/>
  <c r="AB84"/>
  <c r="AC84" s="1"/>
  <c r="AE84" s="1"/>
  <c r="AG84" s="1"/>
  <c r="AB80"/>
  <c r="AC80" s="1"/>
  <c r="AE80" s="1"/>
  <c r="AG80" s="1"/>
  <c r="AB76"/>
  <c r="AC76" s="1"/>
  <c r="AE76" s="1"/>
  <c r="AG76" s="1"/>
  <c r="AB72"/>
  <c r="AC72" s="1"/>
  <c r="AE72" s="1"/>
  <c r="AG72" s="1"/>
  <c r="V59"/>
  <c r="Z59" s="1"/>
  <c r="V57"/>
  <c r="Z57" s="1"/>
  <c r="V55"/>
  <c r="Z55" s="1"/>
  <c r="V53"/>
  <c r="Z53" s="1"/>
  <c r="AB94"/>
  <c r="AC94" s="1"/>
  <c r="AE94" s="1"/>
  <c r="AG94" s="1"/>
  <c r="AB90"/>
  <c r="AC90" s="1"/>
  <c r="AE90" s="1"/>
  <c r="AG90" s="1"/>
  <c r="AB86"/>
  <c r="AC86" s="1"/>
  <c r="AE86" s="1"/>
  <c r="AG86" s="1"/>
  <c r="AB82"/>
  <c r="AC82" s="1"/>
  <c r="AE82" s="1"/>
  <c r="AG82" s="1"/>
  <c r="AB78"/>
  <c r="AC78" s="1"/>
  <c r="AE78" s="1"/>
  <c r="AG78" s="1"/>
  <c r="AB74"/>
  <c r="AC74" s="1"/>
  <c r="AE74" s="1"/>
  <c r="AG74" s="1"/>
  <c r="AB70"/>
  <c r="AC70" s="1"/>
  <c r="AE70" s="1"/>
  <c r="AG70" s="1"/>
  <c r="U69"/>
  <c r="AB68"/>
  <c r="AC68" s="1"/>
  <c r="AE68" s="1"/>
  <c r="AG68" s="1"/>
  <c r="U67"/>
  <c r="AB66"/>
  <c r="AC66" s="1"/>
  <c r="AE66" s="1"/>
  <c r="AG66" s="1"/>
  <c r="U65"/>
  <c r="AB64"/>
  <c r="AC64" s="1"/>
  <c r="AE64" s="1"/>
  <c r="AG64" s="1"/>
  <c r="U63"/>
  <c r="AB62"/>
  <c r="AC62" s="1"/>
  <c r="AE62" s="1"/>
  <c r="AG62" s="1"/>
  <c r="U61"/>
  <c r="AB60"/>
  <c r="AC60" s="1"/>
  <c r="AE60" s="1"/>
  <c r="AG60" s="1"/>
  <c r="V18"/>
  <c r="Z18" s="1"/>
  <c r="AB18" s="1"/>
  <c r="AC18" s="1"/>
  <c r="AE18" s="1"/>
  <c r="AG18" s="1"/>
  <c r="AB58"/>
  <c r="AC58" s="1"/>
  <c r="AE58" s="1"/>
  <c r="AG58" s="1"/>
  <c r="AB54"/>
  <c r="AC54" s="1"/>
  <c r="AE54" s="1"/>
  <c r="AG54" s="1"/>
  <c r="U23"/>
  <c r="AB22"/>
  <c r="AC22" s="1"/>
  <c r="AE22" s="1"/>
  <c r="AG22" s="1"/>
  <c r="U21"/>
  <c r="AB20"/>
  <c r="AC20" s="1"/>
  <c r="AE20" s="1"/>
  <c r="AG20" s="1"/>
  <c r="U19"/>
  <c r="AB14"/>
  <c r="AC14" s="1"/>
  <c r="AE14" s="1"/>
  <c r="AG14" s="1"/>
  <c r="V56"/>
  <c r="Z56" s="1"/>
  <c r="V52"/>
  <c r="Z52" s="1"/>
  <c r="V50"/>
  <c r="Z50" s="1"/>
  <c r="V48"/>
  <c r="Z48" s="1"/>
  <c r="V46"/>
  <c r="Z46" s="1"/>
  <c r="V44"/>
  <c r="Z44" s="1"/>
  <c r="V42"/>
  <c r="Z42" s="1"/>
  <c r="V40"/>
  <c r="Z40" s="1"/>
  <c r="V38"/>
  <c r="Z38" s="1"/>
  <c r="V36"/>
  <c r="Z36" s="1"/>
  <c r="V34"/>
  <c r="Z34" s="1"/>
  <c r="V32"/>
  <c r="Z32" s="1"/>
  <c r="V30"/>
  <c r="Z30" s="1"/>
  <c r="V28"/>
  <c r="Z28" s="1"/>
  <c r="V26"/>
  <c r="Z26" s="1"/>
  <c r="AG11"/>
  <c r="U135"/>
  <c r="U133"/>
  <c r="U131"/>
  <c r="U129"/>
  <c r="U127"/>
  <c r="U125"/>
  <c r="U123"/>
  <c r="U121"/>
  <c r="U119"/>
  <c r="U117"/>
  <c r="U115"/>
  <c r="U113"/>
  <c r="U111"/>
  <c r="U109"/>
  <c r="U107"/>
  <c r="U105"/>
  <c r="U103"/>
  <c r="U101"/>
  <c r="U99"/>
  <c r="V97"/>
  <c r="Z97" s="1"/>
  <c r="AB97" s="1"/>
  <c r="AC97" s="1"/>
  <c r="AE97" s="1"/>
  <c r="AG97" s="1"/>
  <c r="V95"/>
  <c r="Z95" s="1"/>
  <c r="AB95" s="1"/>
  <c r="AC95" s="1"/>
  <c r="AE95" s="1"/>
  <c r="AG95" s="1"/>
  <c r="V93"/>
  <c r="Z93" s="1"/>
  <c r="AB93" s="1"/>
  <c r="AC93" s="1"/>
  <c r="AE93" s="1"/>
  <c r="AG93" s="1"/>
  <c r="V91"/>
  <c r="Z91" s="1"/>
  <c r="AB91" s="1"/>
  <c r="AC91" s="1"/>
  <c r="AE91" s="1"/>
  <c r="AG91" s="1"/>
  <c r="V89"/>
  <c r="Z89" s="1"/>
  <c r="AB89" s="1"/>
  <c r="AC89" s="1"/>
  <c r="AE89" s="1"/>
  <c r="AG89" s="1"/>
  <c r="V87"/>
  <c r="Z87" s="1"/>
  <c r="AB87" s="1"/>
  <c r="AC87" s="1"/>
  <c r="AE87" s="1"/>
  <c r="AG87" s="1"/>
  <c r="V85"/>
  <c r="Z85" s="1"/>
  <c r="AB85" s="1"/>
  <c r="AC85" s="1"/>
  <c r="AE85" s="1"/>
  <c r="AG85" s="1"/>
  <c r="V83"/>
  <c r="Z83" s="1"/>
  <c r="AB83" s="1"/>
  <c r="AC83" s="1"/>
  <c r="AE83" s="1"/>
  <c r="AG83" s="1"/>
  <c r="V81"/>
  <c r="Z81" s="1"/>
  <c r="AB81" s="1"/>
  <c r="AC81" s="1"/>
  <c r="AE81" s="1"/>
  <c r="AG81" s="1"/>
  <c r="V79"/>
  <c r="Z79" s="1"/>
  <c r="AB79" s="1"/>
  <c r="AC79" s="1"/>
  <c r="AE79" s="1"/>
  <c r="AG79" s="1"/>
  <c r="V77"/>
  <c r="Z77" s="1"/>
  <c r="AB77" s="1"/>
  <c r="AC77" s="1"/>
  <c r="AE77" s="1"/>
  <c r="AG77" s="1"/>
  <c r="V75"/>
  <c r="Z75" s="1"/>
  <c r="AB75" s="1"/>
  <c r="AC75" s="1"/>
  <c r="AE75" s="1"/>
  <c r="AG75" s="1"/>
  <c r="V73"/>
  <c r="Z73" s="1"/>
  <c r="AB73" s="1"/>
  <c r="AC73" s="1"/>
  <c r="AE73" s="1"/>
  <c r="AG73" s="1"/>
  <c r="V71"/>
  <c r="Z71" s="1"/>
  <c r="AB71" s="1"/>
  <c r="AC71" s="1"/>
  <c r="AE71" s="1"/>
  <c r="AG71" s="1"/>
  <c r="U134"/>
  <c r="U130"/>
  <c r="U126"/>
  <c r="U122"/>
  <c r="U118"/>
  <c r="U114"/>
  <c r="U110"/>
  <c r="U106"/>
  <c r="U102"/>
  <c r="U98"/>
  <c r="AB59"/>
  <c r="AC59" s="1"/>
  <c r="AE59" s="1"/>
  <c r="AG59" s="1"/>
  <c r="AB57"/>
  <c r="AC57" s="1"/>
  <c r="AE57" s="1"/>
  <c r="AG57" s="1"/>
  <c r="AB55"/>
  <c r="AC55" s="1"/>
  <c r="AE55" s="1"/>
  <c r="AG55" s="1"/>
  <c r="AB53"/>
  <c r="AC53" s="1"/>
  <c r="AE53" s="1"/>
  <c r="AG53" s="1"/>
  <c r="U24"/>
  <c r="V13"/>
  <c r="Z13" s="1"/>
  <c r="AB13" s="1"/>
  <c r="AC13" s="1"/>
  <c r="AE13" s="1"/>
  <c r="AG13" s="1"/>
  <c r="AB56"/>
  <c r="AC56" s="1"/>
  <c r="AE56" s="1"/>
  <c r="AG56" s="1"/>
  <c r="AB52"/>
  <c r="AC52" s="1"/>
  <c r="AE52" s="1"/>
  <c r="AG52" s="1"/>
  <c r="U51"/>
  <c r="AB50"/>
  <c r="AC50" s="1"/>
  <c r="AE50" s="1"/>
  <c r="AG50" s="1"/>
  <c r="U49"/>
  <c r="AB48"/>
  <c r="AC48" s="1"/>
  <c r="AE48" s="1"/>
  <c r="AG48" s="1"/>
  <c r="U47"/>
  <c r="AB46"/>
  <c r="AC46" s="1"/>
  <c r="AE46" s="1"/>
  <c r="AG46" s="1"/>
  <c r="U45"/>
  <c r="AB44"/>
  <c r="AC44" s="1"/>
  <c r="AE44" s="1"/>
  <c r="AG44" s="1"/>
  <c r="U43"/>
  <c r="AB42"/>
  <c r="AC42" s="1"/>
  <c r="AE42" s="1"/>
  <c r="AG42" s="1"/>
  <c r="U41"/>
  <c r="AB40"/>
  <c r="AC40" s="1"/>
  <c r="AE40" s="1"/>
  <c r="AG40" s="1"/>
  <c r="U39"/>
  <c r="AB38"/>
  <c r="AC38" s="1"/>
  <c r="AE38" s="1"/>
  <c r="AG38" s="1"/>
  <c r="U37"/>
  <c r="AB36"/>
  <c r="AC36" s="1"/>
  <c r="AE36" s="1"/>
  <c r="AG36" s="1"/>
  <c r="U35"/>
  <c r="AB34"/>
  <c r="AC34" s="1"/>
  <c r="AE34" s="1"/>
  <c r="AG34" s="1"/>
  <c r="U33"/>
  <c r="AB32"/>
  <c r="AC32" s="1"/>
  <c r="AE32" s="1"/>
  <c r="AG32" s="1"/>
  <c r="U31"/>
  <c r="AB30"/>
  <c r="AC30" s="1"/>
  <c r="AE30" s="1"/>
  <c r="AG30" s="1"/>
  <c r="U29"/>
  <c r="AB28"/>
  <c r="AC28" s="1"/>
  <c r="AE28" s="1"/>
  <c r="AG28" s="1"/>
  <c r="U27"/>
  <c r="AB26"/>
  <c r="AC26" s="1"/>
  <c r="AE26" s="1"/>
  <c r="AG26" s="1"/>
  <c r="U25"/>
  <c r="U17"/>
  <c r="AB12"/>
  <c r="AC12" s="1"/>
  <c r="AE12" s="1"/>
  <c r="AG12" s="1"/>
  <c r="E155" i="31" l="1"/>
  <c r="E155" i="34"/>
  <c r="Y17" i="15"/>
  <c r="V17"/>
  <c r="Z17" s="1"/>
  <c r="Y27"/>
  <c r="V27"/>
  <c r="Z27" s="1"/>
  <c r="Y31"/>
  <c r="V31"/>
  <c r="Z31" s="1"/>
  <c r="Y35"/>
  <c r="V35"/>
  <c r="Z35" s="1"/>
  <c r="Y39"/>
  <c r="V39"/>
  <c r="Z39" s="1"/>
  <c r="Y43"/>
  <c r="V43"/>
  <c r="Z43" s="1"/>
  <c r="Y47"/>
  <c r="V47"/>
  <c r="Z47" s="1"/>
  <c r="Y51"/>
  <c r="V51"/>
  <c r="Z51" s="1"/>
  <c r="Y101"/>
  <c r="V101"/>
  <c r="Z101" s="1"/>
  <c r="Y105"/>
  <c r="V105"/>
  <c r="Z105" s="1"/>
  <c r="Y109"/>
  <c r="V109"/>
  <c r="Z109" s="1"/>
  <c r="Y113"/>
  <c r="V113"/>
  <c r="Z113" s="1"/>
  <c r="Y117"/>
  <c r="V117"/>
  <c r="Z117" s="1"/>
  <c r="Y121"/>
  <c r="V121"/>
  <c r="Z121" s="1"/>
  <c r="Y125"/>
  <c r="V125"/>
  <c r="Z125" s="1"/>
  <c r="Y129"/>
  <c r="V129"/>
  <c r="Z129" s="1"/>
  <c r="Y133"/>
  <c r="V133"/>
  <c r="Z133" s="1"/>
  <c r="Y19"/>
  <c r="V19"/>
  <c r="Z19" s="1"/>
  <c r="Y23"/>
  <c r="V23"/>
  <c r="Z23" s="1"/>
  <c r="Y61"/>
  <c r="V61"/>
  <c r="Z61" s="1"/>
  <c r="Y65"/>
  <c r="V65"/>
  <c r="Z65" s="1"/>
  <c r="Y69"/>
  <c r="V69"/>
  <c r="Z69" s="1"/>
  <c r="Y100"/>
  <c r="V100"/>
  <c r="Z100" s="1"/>
  <c r="Y104"/>
  <c r="V104"/>
  <c r="Z104" s="1"/>
  <c r="Y108"/>
  <c r="V108"/>
  <c r="Z108" s="1"/>
  <c r="Y112"/>
  <c r="V112"/>
  <c r="Z112" s="1"/>
  <c r="Y116"/>
  <c r="V116"/>
  <c r="Z116" s="1"/>
  <c r="Y120"/>
  <c r="V120"/>
  <c r="Z120" s="1"/>
  <c r="Y124"/>
  <c r="V124"/>
  <c r="Z124" s="1"/>
  <c r="Y128"/>
  <c r="V128"/>
  <c r="Z128" s="1"/>
  <c r="Y132"/>
  <c r="V132"/>
  <c r="Z132" s="1"/>
  <c r="Y136"/>
  <c r="V136"/>
  <c r="Z136" s="1"/>
  <c r="Y25"/>
  <c r="AB25" s="1"/>
  <c r="AC25" s="1"/>
  <c r="AE25" s="1"/>
  <c r="AG25" s="1"/>
  <c r="V25"/>
  <c r="Z25" s="1"/>
  <c r="Y29"/>
  <c r="AB29" s="1"/>
  <c r="AC29" s="1"/>
  <c r="AE29" s="1"/>
  <c r="AG29" s="1"/>
  <c r="V29"/>
  <c r="Z29" s="1"/>
  <c r="Y33"/>
  <c r="AB33" s="1"/>
  <c r="AC33" s="1"/>
  <c r="AE33" s="1"/>
  <c r="AG33" s="1"/>
  <c r="V33"/>
  <c r="Z33" s="1"/>
  <c r="Y37"/>
  <c r="AB37" s="1"/>
  <c r="AC37" s="1"/>
  <c r="AE37" s="1"/>
  <c r="AG37" s="1"/>
  <c r="V37"/>
  <c r="Z37" s="1"/>
  <c r="Y41"/>
  <c r="AB41" s="1"/>
  <c r="AC41" s="1"/>
  <c r="AE41" s="1"/>
  <c r="AG41" s="1"/>
  <c r="V41"/>
  <c r="Z41" s="1"/>
  <c r="Y45"/>
  <c r="AB45" s="1"/>
  <c r="AC45" s="1"/>
  <c r="AE45" s="1"/>
  <c r="AG45" s="1"/>
  <c r="V45"/>
  <c r="Z45" s="1"/>
  <c r="Y49"/>
  <c r="AB49" s="1"/>
  <c r="AC49" s="1"/>
  <c r="AE49" s="1"/>
  <c r="AG49" s="1"/>
  <c r="V49"/>
  <c r="Z49" s="1"/>
  <c r="Y24"/>
  <c r="AB24" s="1"/>
  <c r="AC24" s="1"/>
  <c r="AE24" s="1"/>
  <c r="AG24" s="1"/>
  <c r="V24"/>
  <c r="Z24" s="1"/>
  <c r="Y98"/>
  <c r="AB98" s="1"/>
  <c r="AC98" s="1"/>
  <c r="AE98" s="1"/>
  <c r="AG98" s="1"/>
  <c r="V98"/>
  <c r="Z98" s="1"/>
  <c r="Y102"/>
  <c r="AB102" s="1"/>
  <c r="AC102" s="1"/>
  <c r="AE102" s="1"/>
  <c r="AG102" s="1"/>
  <c r="V102"/>
  <c r="Z102" s="1"/>
  <c r="Y106"/>
  <c r="AB106" s="1"/>
  <c r="AC106" s="1"/>
  <c r="AE106" s="1"/>
  <c r="AG106" s="1"/>
  <c r="V106"/>
  <c r="Z106" s="1"/>
  <c r="Y110"/>
  <c r="AB110" s="1"/>
  <c r="AC110" s="1"/>
  <c r="AE110" s="1"/>
  <c r="AG110" s="1"/>
  <c r="V110"/>
  <c r="Z110" s="1"/>
  <c r="Y114"/>
  <c r="AB114" s="1"/>
  <c r="AC114" s="1"/>
  <c r="AE114" s="1"/>
  <c r="AG114" s="1"/>
  <c r="V114"/>
  <c r="Z114" s="1"/>
  <c r="Y118"/>
  <c r="AB118" s="1"/>
  <c r="AC118" s="1"/>
  <c r="AE118" s="1"/>
  <c r="AG118" s="1"/>
  <c r="V118"/>
  <c r="Z118" s="1"/>
  <c r="Y122"/>
  <c r="AB122" s="1"/>
  <c r="AC122" s="1"/>
  <c r="AE122" s="1"/>
  <c r="AG122" s="1"/>
  <c r="V122"/>
  <c r="Z122" s="1"/>
  <c r="Y126"/>
  <c r="AB126" s="1"/>
  <c r="AC126" s="1"/>
  <c r="AE126" s="1"/>
  <c r="AG126" s="1"/>
  <c r="V126"/>
  <c r="Z126" s="1"/>
  <c r="Y130"/>
  <c r="AB130" s="1"/>
  <c r="AC130" s="1"/>
  <c r="AE130" s="1"/>
  <c r="AG130" s="1"/>
  <c r="V130"/>
  <c r="Z130" s="1"/>
  <c r="Y134"/>
  <c r="AB134" s="1"/>
  <c r="AC134" s="1"/>
  <c r="AE134" s="1"/>
  <c r="AG134" s="1"/>
  <c r="V134"/>
  <c r="Z134" s="1"/>
  <c r="Y99"/>
  <c r="AB99" s="1"/>
  <c r="AC99" s="1"/>
  <c r="AE99" s="1"/>
  <c r="AG99" s="1"/>
  <c r="V99"/>
  <c r="Z99" s="1"/>
  <c r="Y103"/>
  <c r="AB103" s="1"/>
  <c r="AC103" s="1"/>
  <c r="AE103" s="1"/>
  <c r="AG103" s="1"/>
  <c r="V103"/>
  <c r="Z103" s="1"/>
  <c r="Y107"/>
  <c r="AB107" s="1"/>
  <c r="AC107" s="1"/>
  <c r="AE107" s="1"/>
  <c r="AG107" s="1"/>
  <c r="V107"/>
  <c r="Z107" s="1"/>
  <c r="Y111"/>
  <c r="AB111" s="1"/>
  <c r="AC111" s="1"/>
  <c r="AE111" s="1"/>
  <c r="AG111" s="1"/>
  <c r="V111"/>
  <c r="Z111" s="1"/>
  <c r="Y115"/>
  <c r="AB115" s="1"/>
  <c r="AC115" s="1"/>
  <c r="AE115" s="1"/>
  <c r="AG115" s="1"/>
  <c r="V115"/>
  <c r="Z115" s="1"/>
  <c r="Y119"/>
  <c r="AB119" s="1"/>
  <c r="AC119" s="1"/>
  <c r="AE119" s="1"/>
  <c r="AG119" s="1"/>
  <c r="V119"/>
  <c r="Z119" s="1"/>
  <c r="Y123"/>
  <c r="AB123" s="1"/>
  <c r="AC123" s="1"/>
  <c r="AE123" s="1"/>
  <c r="AG123" s="1"/>
  <c r="V123"/>
  <c r="Z123" s="1"/>
  <c r="Y127"/>
  <c r="AB127" s="1"/>
  <c r="AC127" s="1"/>
  <c r="AE127" s="1"/>
  <c r="AG127" s="1"/>
  <c r="V127"/>
  <c r="Z127" s="1"/>
  <c r="Y131"/>
  <c r="AB131" s="1"/>
  <c r="AC131" s="1"/>
  <c r="AE131" s="1"/>
  <c r="AG131" s="1"/>
  <c r="V131"/>
  <c r="Z131" s="1"/>
  <c r="Y135"/>
  <c r="AB135" s="1"/>
  <c r="AC135" s="1"/>
  <c r="AE135" s="1"/>
  <c r="AG135" s="1"/>
  <c r="V135"/>
  <c r="Z135" s="1"/>
  <c r="Y21"/>
  <c r="AB21" s="1"/>
  <c r="AC21" s="1"/>
  <c r="AE21" s="1"/>
  <c r="AG21" s="1"/>
  <c r="V21"/>
  <c r="Z21" s="1"/>
  <c r="Y63"/>
  <c r="AB63" s="1"/>
  <c r="AC63" s="1"/>
  <c r="AE63" s="1"/>
  <c r="AG63" s="1"/>
  <c r="V63"/>
  <c r="Z63" s="1"/>
  <c r="Y67"/>
  <c r="AB67" s="1"/>
  <c r="AC67" s="1"/>
  <c r="AE67" s="1"/>
  <c r="AG67" s="1"/>
  <c r="V67"/>
  <c r="Z67" s="1"/>
  <c r="AB136" l="1"/>
  <c r="AC136" s="1"/>
  <c r="AE136" s="1"/>
  <c r="AG136" s="1"/>
  <c r="AB132"/>
  <c r="AC132" s="1"/>
  <c r="AE132" s="1"/>
  <c r="AG132" s="1"/>
  <c r="AB128"/>
  <c r="AC128" s="1"/>
  <c r="AE128" s="1"/>
  <c r="AG128" s="1"/>
  <c r="AB124"/>
  <c r="AC124" s="1"/>
  <c r="AE124" s="1"/>
  <c r="AG124" s="1"/>
  <c r="AB120"/>
  <c r="AC120" s="1"/>
  <c r="AE120" s="1"/>
  <c r="AG120" s="1"/>
  <c r="AB116"/>
  <c r="AC116" s="1"/>
  <c r="AE116" s="1"/>
  <c r="AG116" s="1"/>
  <c r="AB112"/>
  <c r="AC112" s="1"/>
  <c r="AE112" s="1"/>
  <c r="AG112" s="1"/>
  <c r="AB108"/>
  <c r="AC108" s="1"/>
  <c r="AE108" s="1"/>
  <c r="AG108" s="1"/>
  <c r="AB104"/>
  <c r="AC104" s="1"/>
  <c r="AE104" s="1"/>
  <c r="AG104" s="1"/>
  <c r="AB100"/>
  <c r="AC100" s="1"/>
  <c r="AE100" s="1"/>
  <c r="AG100" s="1"/>
  <c r="AB69"/>
  <c r="AC69" s="1"/>
  <c r="AE69" s="1"/>
  <c r="AG69" s="1"/>
  <c r="AB65"/>
  <c r="AC65" s="1"/>
  <c r="AE65" s="1"/>
  <c r="AG65" s="1"/>
  <c r="AB61"/>
  <c r="AC61" s="1"/>
  <c r="AE61" s="1"/>
  <c r="AG61" s="1"/>
  <c r="AB23"/>
  <c r="AC23" s="1"/>
  <c r="AE23" s="1"/>
  <c r="AG23" s="1"/>
  <c r="AB19"/>
  <c r="AC19" s="1"/>
  <c r="AE19" s="1"/>
  <c r="AG19" s="1"/>
  <c r="AB133"/>
  <c r="AC133" s="1"/>
  <c r="AE133" s="1"/>
  <c r="AG133" s="1"/>
  <c r="AB129"/>
  <c r="AC129" s="1"/>
  <c r="AE129" s="1"/>
  <c r="AG129" s="1"/>
  <c r="AB125"/>
  <c r="AC125" s="1"/>
  <c r="AE125" s="1"/>
  <c r="AG125" s="1"/>
  <c r="AB121"/>
  <c r="AC121" s="1"/>
  <c r="AE121" s="1"/>
  <c r="AG121" s="1"/>
  <c r="AB117"/>
  <c r="AC117" s="1"/>
  <c r="AE117" s="1"/>
  <c r="AG117" s="1"/>
  <c r="AB113"/>
  <c r="AC113" s="1"/>
  <c r="AE113" s="1"/>
  <c r="AG113" s="1"/>
  <c r="AB109"/>
  <c r="AC109" s="1"/>
  <c r="AE109" s="1"/>
  <c r="AG109" s="1"/>
  <c r="AB105"/>
  <c r="AC105" s="1"/>
  <c r="AE105" s="1"/>
  <c r="AG105" s="1"/>
  <c r="AB101"/>
  <c r="AC101" s="1"/>
  <c r="AE101" s="1"/>
  <c r="AG101" s="1"/>
  <c r="AB51"/>
  <c r="AC51" s="1"/>
  <c r="AE51" s="1"/>
  <c r="AG51" s="1"/>
  <c r="AB47"/>
  <c r="AC47" s="1"/>
  <c r="AE47" s="1"/>
  <c r="AG47" s="1"/>
  <c r="AB43"/>
  <c r="AC43" s="1"/>
  <c r="AE43" s="1"/>
  <c r="AG43" s="1"/>
  <c r="AB39"/>
  <c r="AC39" s="1"/>
  <c r="AE39" s="1"/>
  <c r="AG39" s="1"/>
  <c r="AB35"/>
  <c r="AC35" s="1"/>
  <c r="AE35" s="1"/>
  <c r="AG35" s="1"/>
  <c r="AB31"/>
  <c r="AC31" s="1"/>
  <c r="AE31" s="1"/>
  <c r="AG31" s="1"/>
  <c r="AB27"/>
  <c r="AC27" s="1"/>
  <c r="AE27" s="1"/>
  <c r="AG27" s="1"/>
  <c r="AB17"/>
  <c r="AC17" s="1"/>
  <c r="AE17" s="1"/>
  <c r="AG17" l="1"/>
  <c r="AG138" s="1"/>
  <c r="AE138"/>
  <c r="C159" i="23" s="1"/>
  <c r="AA17" i="20" l="1"/>
  <c r="AA8"/>
  <c r="Y17"/>
  <c r="Y8"/>
  <c r="Y26" s="1"/>
  <c r="W17"/>
  <c r="W8"/>
  <c r="U17"/>
  <c r="U8"/>
  <c r="S17"/>
  <c r="S8"/>
  <c r="E26"/>
  <c r="E27"/>
  <c r="D27"/>
  <c r="D26"/>
  <c r="BM52"/>
  <c r="BM51"/>
  <c r="BM50"/>
  <c r="BL52"/>
  <c r="BL51"/>
  <c r="BL50"/>
  <c r="BM26"/>
  <c r="BK52"/>
  <c r="BK51"/>
  <c r="BK50"/>
  <c r="BJ52"/>
  <c r="BJ51"/>
  <c r="BJ50"/>
  <c r="BK26"/>
  <c r="BI52"/>
  <c r="BI51"/>
  <c r="BI50"/>
  <c r="BH52"/>
  <c r="BH51"/>
  <c r="BH50"/>
  <c r="BI26"/>
  <c r="BG52"/>
  <c r="BG51"/>
  <c r="BG50"/>
  <c r="BF52"/>
  <c r="BF51"/>
  <c r="BF50"/>
  <c r="BG26"/>
  <c r="BE26"/>
  <c r="BC26"/>
  <c r="BA26"/>
  <c r="AY52"/>
  <c r="AA52" s="1"/>
  <c r="AY51"/>
  <c r="AA51" s="1"/>
  <c r="AY50"/>
  <c r="AA50" s="1"/>
  <c r="AY26"/>
  <c r="AW52"/>
  <c r="Y52" s="1"/>
  <c r="AW51"/>
  <c r="AW50"/>
  <c r="Y50" s="1"/>
  <c r="AW26"/>
  <c r="AU52"/>
  <c r="W52" s="1"/>
  <c r="AU51"/>
  <c r="W51" s="1"/>
  <c r="AU50"/>
  <c r="W50" s="1"/>
  <c r="AU26"/>
  <c r="AS52"/>
  <c r="U52" s="1"/>
  <c r="AS51"/>
  <c r="U51" s="1"/>
  <c r="AS50"/>
  <c r="U50" s="1"/>
  <c r="AS26"/>
  <c r="AQ52"/>
  <c r="S52" s="1"/>
  <c r="AQ51"/>
  <c r="S51" s="1"/>
  <c r="AQ50"/>
  <c r="S50" s="1"/>
  <c r="AQ26"/>
  <c r="AO52"/>
  <c r="AO51"/>
  <c r="AO50"/>
  <c r="AO26"/>
  <c r="AM52"/>
  <c r="AM51"/>
  <c r="AM50"/>
  <c r="AM26"/>
  <c r="AK52"/>
  <c r="AK51"/>
  <c r="AK50"/>
  <c r="AK26"/>
  <c r="AI52"/>
  <c r="AI51"/>
  <c r="AI50"/>
  <c r="AI26"/>
  <c r="AG26"/>
  <c r="AE52"/>
  <c r="AE51"/>
  <c r="AE50"/>
  <c r="AE26"/>
  <c r="AC26"/>
  <c r="D139" i="10"/>
  <c r="D139" i="7"/>
  <c r="D139" i="14"/>
  <c r="D148" i="13"/>
  <c r="D148" i="1"/>
  <c r="D148" i="17"/>
  <c r="D148" i="8"/>
  <c r="D148" i="3"/>
  <c r="D148" i="4"/>
  <c r="D148" i="9"/>
  <c r="D148" i="21"/>
  <c r="D148" i="12"/>
  <c r="D148" i="22"/>
  <c r="D148" i="18"/>
  <c r="D148" i="19"/>
  <c r="D148" i="11"/>
  <c r="D148" i="5"/>
  <c r="D148" i="6"/>
  <c r="D148" i="16"/>
  <c r="D148" i="2"/>
  <c r="D148" i="23"/>
  <c r="D148" i="15"/>
  <c r="E153" i="19"/>
  <c r="E153" i="5"/>
  <c r="E153" i="6"/>
  <c r="E153" i="16"/>
  <c r="E153" i="2"/>
  <c r="E153" i="23"/>
  <c r="E153" i="15"/>
  <c r="E153" i="22"/>
  <c r="E153" i="12"/>
  <c r="E153" i="21"/>
  <c r="E153" i="4"/>
  <c r="E153" i="3"/>
  <c r="E153" i="8"/>
  <c r="G154" i="18"/>
  <c r="AC38" i="20" s="1"/>
  <c r="K147" i="18"/>
  <c r="J147"/>
  <c r="I147"/>
  <c r="K147" i="19"/>
  <c r="J147"/>
  <c r="I147"/>
  <c r="K147" i="11"/>
  <c r="J147"/>
  <c r="I147"/>
  <c r="K147" i="5"/>
  <c r="J147"/>
  <c r="I147"/>
  <c r="K147" i="6"/>
  <c r="J147"/>
  <c r="I147"/>
  <c r="K147" i="16"/>
  <c r="J147"/>
  <c r="I147"/>
  <c r="K147" i="2"/>
  <c r="J147"/>
  <c r="I147"/>
  <c r="F11" i="23"/>
  <c r="F11" i="22" s="1"/>
  <c r="F12" i="23"/>
  <c r="F13"/>
  <c r="F14"/>
  <c r="I14" s="1"/>
  <c r="F15"/>
  <c r="F16"/>
  <c r="F17"/>
  <c r="F17" i="21" s="1"/>
  <c r="J17" s="1"/>
  <c r="F18" i="23"/>
  <c r="F19"/>
  <c r="F20"/>
  <c r="J20" s="1"/>
  <c r="F21"/>
  <c r="F22"/>
  <c r="F23"/>
  <c r="F24"/>
  <c r="J24" s="1"/>
  <c r="F25"/>
  <c r="F25" i="21" s="1"/>
  <c r="K25" s="1"/>
  <c r="F26" i="23"/>
  <c r="F27"/>
  <c r="F28"/>
  <c r="F29"/>
  <c r="F30"/>
  <c r="F31"/>
  <c r="F32"/>
  <c r="H32" s="1"/>
  <c r="F33"/>
  <c r="F33" i="21" s="1"/>
  <c r="I33" s="1"/>
  <c r="F34" i="23"/>
  <c r="F35"/>
  <c r="F36"/>
  <c r="F37"/>
  <c r="F38"/>
  <c r="F39"/>
  <c r="F40"/>
  <c r="F41"/>
  <c r="F41" i="21" s="1"/>
  <c r="F42" i="23"/>
  <c r="F43"/>
  <c r="F44"/>
  <c r="F45"/>
  <c r="F46"/>
  <c r="F47"/>
  <c r="F48"/>
  <c r="F49"/>
  <c r="F49" i="21" s="1"/>
  <c r="F50" i="23"/>
  <c r="F51"/>
  <c r="F52"/>
  <c r="F53"/>
  <c r="F54"/>
  <c r="F55"/>
  <c r="F56"/>
  <c r="F57"/>
  <c r="F57" i="21" s="1"/>
  <c r="F58" i="23"/>
  <c r="F59"/>
  <c r="F60"/>
  <c r="F61"/>
  <c r="F62"/>
  <c r="F63"/>
  <c r="F64"/>
  <c r="F65"/>
  <c r="F66"/>
  <c r="F67"/>
  <c r="F68"/>
  <c r="F69"/>
  <c r="F69" i="21" s="1"/>
  <c r="F70" i="23"/>
  <c r="F71"/>
  <c r="F72"/>
  <c r="F73"/>
  <c r="F74"/>
  <c r="F75"/>
  <c r="F76"/>
  <c r="F77"/>
  <c r="F77" i="21" s="1"/>
  <c r="F78" i="23"/>
  <c r="F79"/>
  <c r="F80"/>
  <c r="F81"/>
  <c r="F82"/>
  <c r="F83"/>
  <c r="F84"/>
  <c r="H84" s="1"/>
  <c r="F85"/>
  <c r="F85" i="21" s="1"/>
  <c r="F86" i="23"/>
  <c r="H86" s="1"/>
  <c r="F87"/>
  <c r="F88"/>
  <c r="F89"/>
  <c r="F90"/>
  <c r="F91"/>
  <c r="F92"/>
  <c r="F93"/>
  <c r="F93" i="21" s="1"/>
  <c r="F94" i="23"/>
  <c r="F95"/>
  <c r="F96"/>
  <c r="F97"/>
  <c r="F97" i="21" s="1"/>
  <c r="F98" i="23"/>
  <c r="F99"/>
  <c r="F100"/>
  <c r="F101"/>
  <c r="F101" i="21" s="1"/>
  <c r="F102" i="23"/>
  <c r="F103"/>
  <c r="F104"/>
  <c r="F105"/>
  <c r="F106"/>
  <c r="F107"/>
  <c r="F108"/>
  <c r="F109"/>
  <c r="F109" i="21" s="1"/>
  <c r="F110" i="23"/>
  <c r="F111"/>
  <c r="F112"/>
  <c r="F113"/>
  <c r="F114"/>
  <c r="F115"/>
  <c r="F116"/>
  <c r="F117"/>
  <c r="F117" i="21" s="1"/>
  <c r="F118" i="23"/>
  <c r="F119"/>
  <c r="F120"/>
  <c r="F121"/>
  <c r="F122"/>
  <c r="F123"/>
  <c r="F124"/>
  <c r="F125"/>
  <c r="F125" i="21" s="1"/>
  <c r="F126" i="23"/>
  <c r="F127"/>
  <c r="F128"/>
  <c r="F129"/>
  <c r="F129" i="21" s="1"/>
  <c r="F130" i="23"/>
  <c r="F131"/>
  <c r="F132"/>
  <c r="F133"/>
  <c r="F133" i="21" s="1"/>
  <c r="F134" i="23"/>
  <c r="F135"/>
  <c r="F136"/>
  <c r="F15" i="21"/>
  <c r="I15" s="1"/>
  <c r="F23"/>
  <c r="K23" s="1"/>
  <c r="F31"/>
  <c r="K31" s="1"/>
  <c r="F39"/>
  <c r="K39" s="1"/>
  <c r="F47"/>
  <c r="I47" s="1"/>
  <c r="F55"/>
  <c r="M55" s="1"/>
  <c r="F63"/>
  <c r="K63" s="1"/>
  <c r="F71"/>
  <c r="K71" s="1"/>
  <c r="F79"/>
  <c r="K79" s="1"/>
  <c r="F87"/>
  <c r="K87" s="1"/>
  <c r="F95"/>
  <c r="I95" s="1"/>
  <c r="F103"/>
  <c r="M103" s="1"/>
  <c r="F111"/>
  <c r="K111" s="1"/>
  <c r="F119"/>
  <c r="I119" s="1"/>
  <c r="F127"/>
  <c r="G127" s="1"/>
  <c r="F135"/>
  <c r="I135" s="1"/>
  <c r="F131" i="22"/>
  <c r="J131" s="1"/>
  <c r="F123"/>
  <c r="J123" s="1"/>
  <c r="F115"/>
  <c r="F107"/>
  <c r="F99"/>
  <c r="J99" s="1"/>
  <c r="F91"/>
  <c r="M91" s="1"/>
  <c r="F83"/>
  <c r="F75"/>
  <c r="J75" s="1"/>
  <c r="F67"/>
  <c r="I67" s="1"/>
  <c r="F59"/>
  <c r="F51"/>
  <c r="F43"/>
  <c r="J43" s="1"/>
  <c r="F35"/>
  <c r="G35" s="1"/>
  <c r="F27"/>
  <c r="F19"/>
  <c r="F11" i="21"/>
  <c r="I11" s="1"/>
  <c r="F13"/>
  <c r="K13" s="1"/>
  <c r="F15" i="22"/>
  <c r="F19" i="21"/>
  <c r="F21"/>
  <c r="J21" s="1"/>
  <c r="F23" i="22"/>
  <c r="M23" s="1"/>
  <c r="F27" i="21"/>
  <c r="J28" i="23"/>
  <c r="F29" i="21"/>
  <c r="F31" i="22"/>
  <c r="K31" s="1"/>
  <c r="F35" i="21"/>
  <c r="F37"/>
  <c r="F39" i="22"/>
  <c r="G39" s="1"/>
  <c r="F43" i="21"/>
  <c r="F45"/>
  <c r="F47" i="22"/>
  <c r="J47" s="1"/>
  <c r="F51" i="21"/>
  <c r="F53"/>
  <c r="F55" i="22"/>
  <c r="F59" i="21"/>
  <c r="F61"/>
  <c r="F63" i="22"/>
  <c r="K63" s="1"/>
  <c r="J64" i="23"/>
  <c r="F65" i="21"/>
  <c r="F67"/>
  <c r="F71" i="22"/>
  <c r="G71" s="1"/>
  <c r="F73" i="21"/>
  <c r="F75"/>
  <c r="F79" i="22"/>
  <c r="F81" i="21"/>
  <c r="F83"/>
  <c r="F87" i="22"/>
  <c r="J87" s="1"/>
  <c r="F89" i="21"/>
  <c r="F91"/>
  <c r="F95" i="22"/>
  <c r="F99" i="21"/>
  <c r="F103" i="22"/>
  <c r="M103" s="1"/>
  <c r="F105" i="21"/>
  <c r="F107"/>
  <c r="F111" i="22"/>
  <c r="F113" i="21"/>
  <c r="F115"/>
  <c r="I115" s="1"/>
  <c r="F119" i="22"/>
  <c r="G119" s="1"/>
  <c r="F121" i="21"/>
  <c r="F123"/>
  <c r="G123" s="1"/>
  <c r="F127" i="22"/>
  <c r="J127" s="1"/>
  <c r="F131" i="21"/>
  <c r="G131" s="1"/>
  <c r="F135" i="22"/>
  <c r="J13" i="23"/>
  <c r="J19"/>
  <c r="J23"/>
  <c r="J25"/>
  <c r="J29"/>
  <c r="I35"/>
  <c r="K39"/>
  <c r="K43"/>
  <c r="I47"/>
  <c r="I51"/>
  <c r="K55"/>
  <c r="I59"/>
  <c r="I63"/>
  <c r="K67"/>
  <c r="I71"/>
  <c r="K73"/>
  <c r="K75"/>
  <c r="I79"/>
  <c r="I81"/>
  <c r="G83"/>
  <c r="I85"/>
  <c r="J87"/>
  <c r="K89"/>
  <c r="G91"/>
  <c r="I93"/>
  <c r="K95"/>
  <c r="I99"/>
  <c r="K103"/>
  <c r="G105"/>
  <c r="I111"/>
  <c r="K115"/>
  <c r="K117"/>
  <c r="I119"/>
  <c r="I121"/>
  <c r="I127"/>
  <c r="I133"/>
  <c r="K135"/>
  <c r="J15"/>
  <c r="J27"/>
  <c r="K33"/>
  <c r="I37"/>
  <c r="K41"/>
  <c r="K45"/>
  <c r="K49"/>
  <c r="K53"/>
  <c r="K57"/>
  <c r="K61"/>
  <c r="K65"/>
  <c r="I69"/>
  <c r="J73"/>
  <c r="I77"/>
  <c r="J81"/>
  <c r="K87"/>
  <c r="G93"/>
  <c r="I97"/>
  <c r="J101"/>
  <c r="I109"/>
  <c r="I113"/>
  <c r="K119"/>
  <c r="I125"/>
  <c r="I129"/>
  <c r="J17"/>
  <c r="J35"/>
  <c r="G43"/>
  <c r="J51"/>
  <c r="G59"/>
  <c r="I67"/>
  <c r="I75"/>
  <c r="K83"/>
  <c r="K91"/>
  <c r="K99"/>
  <c r="K107"/>
  <c r="I115"/>
  <c r="K123"/>
  <c r="K131"/>
  <c r="J21"/>
  <c r="I43"/>
  <c r="K63"/>
  <c r="I83"/>
  <c r="K101"/>
  <c r="I123"/>
  <c r="C137"/>
  <c r="D137" i="22"/>
  <c r="D137" i="21"/>
  <c r="D137" i="3"/>
  <c r="K147" i="23"/>
  <c r="J147"/>
  <c r="I147"/>
  <c r="G147"/>
  <c r="AP38" i="20" s="1"/>
  <c r="R38" s="1"/>
  <c r="G131" i="23"/>
  <c r="G123"/>
  <c r="J115"/>
  <c r="G107"/>
  <c r="K105"/>
  <c r="G103"/>
  <c r="I101"/>
  <c r="I73"/>
  <c r="H48"/>
  <c r="E7"/>
  <c r="K147" i="22"/>
  <c r="J147"/>
  <c r="I147"/>
  <c r="G147"/>
  <c r="AR38" i="20" s="1"/>
  <c r="T38" s="1"/>
  <c r="G115" i="22"/>
  <c r="E7"/>
  <c r="K147" i="21"/>
  <c r="J147"/>
  <c r="I147"/>
  <c r="G147"/>
  <c r="AT38" i="20" s="1"/>
  <c r="V38" s="1"/>
  <c r="J79" i="21"/>
  <c r="G47"/>
  <c r="J33"/>
  <c r="I17"/>
  <c r="E7"/>
  <c r="K147" i="15"/>
  <c r="J147"/>
  <c r="I147"/>
  <c r="G147"/>
  <c r="K147" i="12"/>
  <c r="J147"/>
  <c r="I147"/>
  <c r="G147"/>
  <c r="K147" i="4"/>
  <c r="J147"/>
  <c r="I147"/>
  <c r="G147"/>
  <c r="K147" i="3"/>
  <c r="J147"/>
  <c r="I147"/>
  <c r="G147"/>
  <c r="K147" i="8"/>
  <c r="J147"/>
  <c r="I147"/>
  <c r="G147"/>
  <c r="K147" i="17"/>
  <c r="J147"/>
  <c r="I147"/>
  <c r="G147"/>
  <c r="AZ38" i="20" s="1"/>
  <c r="K147" i="9"/>
  <c r="J147"/>
  <c r="I147"/>
  <c r="G147"/>
  <c r="K147" i="1"/>
  <c r="J147"/>
  <c r="I147"/>
  <c r="G147"/>
  <c r="BD38" i="20" s="1"/>
  <c r="K147" i="13"/>
  <c r="J147"/>
  <c r="I147"/>
  <c r="G147"/>
  <c r="K138" i="14"/>
  <c r="J138"/>
  <c r="I138"/>
  <c r="G138"/>
  <c r="BH38" i="20" s="1"/>
  <c r="K138" i="7"/>
  <c r="J138"/>
  <c r="I138"/>
  <c r="G138"/>
  <c r="J138" i="10"/>
  <c r="I138"/>
  <c r="H138"/>
  <c r="F138"/>
  <c r="BL38" i="20" s="1"/>
  <c r="K11" i="21" l="1"/>
  <c r="AW53" i="20"/>
  <c r="I21" i="21"/>
  <c r="BB38" i="20"/>
  <c r="K29" i="21"/>
  <c r="G29"/>
  <c r="BF38" i="20"/>
  <c r="AX38"/>
  <c r="Z38" s="1"/>
  <c r="AV38"/>
  <c r="X38" s="1"/>
  <c r="BJ38"/>
  <c r="P8"/>
  <c r="H8" s="1"/>
  <c r="AA26"/>
  <c r="P17"/>
  <c r="H17" s="1"/>
  <c r="D43"/>
  <c r="E43"/>
  <c r="S26"/>
  <c r="AM53"/>
  <c r="AO53"/>
  <c r="AA53"/>
  <c r="BL53"/>
  <c r="U26"/>
  <c r="W26"/>
  <c r="AE53"/>
  <c r="W53"/>
  <c r="BG53"/>
  <c r="BH53"/>
  <c r="BI53"/>
  <c r="BJ53"/>
  <c r="Y51"/>
  <c r="Y53" s="1"/>
  <c r="G11" i="21"/>
  <c r="G15"/>
  <c r="M33"/>
  <c r="J63"/>
  <c r="S53" i="20"/>
  <c r="U53"/>
  <c r="AS53"/>
  <c r="AI53"/>
  <c r="AQ53"/>
  <c r="BM53"/>
  <c r="AY53"/>
  <c r="AK53"/>
  <c r="BK53"/>
  <c r="BF53"/>
  <c r="AU53"/>
  <c r="G13" i="21"/>
  <c r="G25"/>
  <c r="J23"/>
  <c r="I39"/>
  <c r="G55"/>
  <c r="J71"/>
  <c r="J87"/>
  <c r="K107"/>
  <c r="I107"/>
  <c r="I99"/>
  <c r="G99"/>
  <c r="K91"/>
  <c r="J91"/>
  <c r="M91"/>
  <c r="K83"/>
  <c r="J83"/>
  <c r="I75"/>
  <c r="K75"/>
  <c r="I67"/>
  <c r="K67"/>
  <c r="I59"/>
  <c r="K59"/>
  <c r="K51"/>
  <c r="I51"/>
  <c r="I43"/>
  <c r="G43"/>
  <c r="K35"/>
  <c r="I35"/>
  <c r="I27"/>
  <c r="K27"/>
  <c r="K19"/>
  <c r="J19"/>
  <c r="M23"/>
  <c r="I31"/>
  <c r="K95"/>
  <c r="G103"/>
  <c r="J111"/>
  <c r="M133"/>
  <c r="J133"/>
  <c r="I133"/>
  <c r="K129"/>
  <c r="G129"/>
  <c r="G125"/>
  <c r="K125"/>
  <c r="K121"/>
  <c r="G121"/>
  <c r="J117"/>
  <c r="I117"/>
  <c r="K113"/>
  <c r="G113"/>
  <c r="I113"/>
  <c r="J113"/>
  <c r="K109"/>
  <c r="G109"/>
  <c r="I109"/>
  <c r="J109"/>
  <c r="K105"/>
  <c r="G105"/>
  <c r="M105"/>
  <c r="I105"/>
  <c r="J105"/>
  <c r="K101"/>
  <c r="G101"/>
  <c r="I101"/>
  <c r="J101"/>
  <c r="M97"/>
  <c r="I97"/>
  <c r="J97"/>
  <c r="K97"/>
  <c r="G97"/>
  <c r="I93"/>
  <c r="J93"/>
  <c r="K93"/>
  <c r="G93"/>
  <c r="K89"/>
  <c r="G89"/>
  <c r="I89"/>
  <c r="J89"/>
  <c r="K85"/>
  <c r="G85"/>
  <c r="I85"/>
  <c r="J85"/>
  <c r="M81"/>
  <c r="G81"/>
  <c r="I81"/>
  <c r="J81"/>
  <c r="M77"/>
  <c r="I77"/>
  <c r="J77"/>
  <c r="K77"/>
  <c r="G77"/>
  <c r="K73"/>
  <c r="G73"/>
  <c r="M73"/>
  <c r="I73"/>
  <c r="J73"/>
  <c r="M69"/>
  <c r="I69"/>
  <c r="J69"/>
  <c r="K69"/>
  <c r="G69"/>
  <c r="K65"/>
  <c r="G65"/>
  <c r="M65"/>
  <c r="I65"/>
  <c r="J65"/>
  <c r="M61"/>
  <c r="I61"/>
  <c r="J61"/>
  <c r="K61"/>
  <c r="G61"/>
  <c r="K57"/>
  <c r="G57"/>
  <c r="M57"/>
  <c r="I57"/>
  <c r="J57"/>
  <c r="K53"/>
  <c r="G53"/>
  <c r="I53"/>
  <c r="J53"/>
  <c r="K49"/>
  <c r="G49"/>
  <c r="M49"/>
  <c r="I49"/>
  <c r="J49"/>
  <c r="K45"/>
  <c r="G45"/>
  <c r="I45"/>
  <c r="J45"/>
  <c r="K41"/>
  <c r="G41"/>
  <c r="I41"/>
  <c r="J41"/>
  <c r="I37"/>
  <c r="J37"/>
  <c r="K37"/>
  <c r="G37"/>
  <c r="K33"/>
  <c r="G33"/>
  <c r="I29"/>
  <c r="J29"/>
  <c r="I25"/>
  <c r="J25"/>
  <c r="K21"/>
  <c r="G21"/>
  <c r="K17"/>
  <c r="G17"/>
  <c r="M13"/>
  <c r="I13"/>
  <c r="J13"/>
  <c r="K15"/>
  <c r="I19"/>
  <c r="I23"/>
  <c r="G27"/>
  <c r="J31"/>
  <c r="M31"/>
  <c r="J35"/>
  <c r="J39"/>
  <c r="M39"/>
  <c r="K43"/>
  <c r="K47"/>
  <c r="J51"/>
  <c r="M51"/>
  <c r="K55"/>
  <c r="G59"/>
  <c r="I63"/>
  <c r="G67"/>
  <c r="I71"/>
  <c r="G75"/>
  <c r="I79"/>
  <c r="I83"/>
  <c r="I87"/>
  <c r="I91"/>
  <c r="G95"/>
  <c r="K99"/>
  <c r="K103"/>
  <c r="J107"/>
  <c r="M107"/>
  <c r="I111"/>
  <c r="F13" i="22"/>
  <c r="M13" s="1"/>
  <c r="F17"/>
  <c r="H17" s="1"/>
  <c r="F21"/>
  <c r="H21" s="1"/>
  <c r="F25"/>
  <c r="H25" s="1"/>
  <c r="F29"/>
  <c r="H29" s="1"/>
  <c r="F33"/>
  <c r="I33" s="1"/>
  <c r="F37"/>
  <c r="G37" s="1"/>
  <c r="F41"/>
  <c r="J41" s="1"/>
  <c r="F45"/>
  <c r="J45" s="1"/>
  <c r="F49"/>
  <c r="K49" s="1"/>
  <c r="F53"/>
  <c r="I53" s="1"/>
  <c r="F57"/>
  <c r="G57" s="1"/>
  <c r="F61"/>
  <c r="K61" s="1"/>
  <c r="F65"/>
  <c r="K65" s="1"/>
  <c r="F69"/>
  <c r="I69" s="1"/>
  <c r="F73"/>
  <c r="G73" s="1"/>
  <c r="F77"/>
  <c r="I77" s="1"/>
  <c r="F81"/>
  <c r="M81" s="1"/>
  <c r="F85"/>
  <c r="K85" s="1"/>
  <c r="F89"/>
  <c r="K89" s="1"/>
  <c r="F93"/>
  <c r="J93" s="1"/>
  <c r="F97"/>
  <c r="I97" s="1"/>
  <c r="F101"/>
  <c r="K101" s="1"/>
  <c r="F105"/>
  <c r="I105" s="1"/>
  <c r="F109"/>
  <c r="G109" s="1"/>
  <c r="F113"/>
  <c r="I113" s="1"/>
  <c r="F117"/>
  <c r="G117" s="1"/>
  <c r="F121"/>
  <c r="J121" s="1"/>
  <c r="F125"/>
  <c r="J125" s="1"/>
  <c r="F129"/>
  <c r="J129" s="1"/>
  <c r="F133"/>
  <c r="K133" s="1"/>
  <c r="F136" i="21"/>
  <c r="H136" s="1"/>
  <c r="F136" i="22"/>
  <c r="J136" s="1"/>
  <c r="F134" i="21"/>
  <c r="M134" s="1"/>
  <c r="F134" i="22"/>
  <c r="M134" s="1"/>
  <c r="F132" i="21"/>
  <c r="J132" s="1"/>
  <c r="F132" i="22"/>
  <c r="J132" s="1"/>
  <c r="F130" i="21"/>
  <c r="H130" s="1"/>
  <c r="F130" i="22"/>
  <c r="J130" s="1"/>
  <c r="F128" i="21"/>
  <c r="G128" s="1"/>
  <c r="F128" i="22"/>
  <c r="J128" s="1"/>
  <c r="F126" i="21"/>
  <c r="H126" s="1"/>
  <c r="F126" i="22"/>
  <c r="J126" s="1"/>
  <c r="F124" i="21"/>
  <c r="K124" s="1"/>
  <c r="F124" i="22"/>
  <c r="J124" s="1"/>
  <c r="F122" i="21"/>
  <c r="H122" s="1"/>
  <c r="F122" i="22"/>
  <c r="J122" s="1"/>
  <c r="F120" i="21"/>
  <c r="K120" s="1"/>
  <c r="F120" i="22"/>
  <c r="J120" s="1"/>
  <c r="F118" i="21"/>
  <c r="H118" s="1"/>
  <c r="F118" i="22"/>
  <c r="J118" s="1"/>
  <c r="F116" i="21"/>
  <c r="J116" s="1"/>
  <c r="F116" i="22"/>
  <c r="J116" s="1"/>
  <c r="F114" i="21"/>
  <c r="M114" s="1"/>
  <c r="F114" i="22"/>
  <c r="M114" s="1"/>
  <c r="F112" i="21"/>
  <c r="M112" s="1"/>
  <c r="F112" i="22"/>
  <c r="M112" s="1"/>
  <c r="F110" i="21"/>
  <c r="H110" s="1"/>
  <c r="F110" i="22"/>
  <c r="J110" s="1"/>
  <c r="F108" i="21"/>
  <c r="M108" s="1"/>
  <c r="F108" i="22"/>
  <c r="M108" s="1"/>
  <c r="F106" i="21"/>
  <c r="F106" i="22"/>
  <c r="J106" s="1"/>
  <c r="F104" i="21"/>
  <c r="M104" s="1"/>
  <c r="F104" i="22"/>
  <c r="M104" s="1"/>
  <c r="F102" i="21"/>
  <c r="H102" s="1"/>
  <c r="F102" i="22"/>
  <c r="H102" s="1"/>
  <c r="H100" i="23"/>
  <c r="F100" i="21"/>
  <c r="H100" s="1"/>
  <c r="F100" i="22"/>
  <c r="H100" s="1"/>
  <c r="F98" i="21"/>
  <c r="M98" s="1"/>
  <c r="F98" i="22"/>
  <c r="H98" s="1"/>
  <c r="H96" i="23"/>
  <c r="F96" i="21"/>
  <c r="H96" s="1"/>
  <c r="F96" i="22"/>
  <c r="H96" s="1"/>
  <c r="F94" i="21"/>
  <c r="H94" s="1"/>
  <c r="F94" i="22"/>
  <c r="H94" s="1"/>
  <c r="H94" i="23"/>
  <c r="F92" i="21"/>
  <c r="H92" s="1"/>
  <c r="F92" i="22"/>
  <c r="H92" s="1"/>
  <c r="H92" i="23"/>
  <c r="H90"/>
  <c r="F90" i="21"/>
  <c r="H90" s="1"/>
  <c r="F90" i="22"/>
  <c r="H90" s="1"/>
  <c r="H88" i="23"/>
  <c r="F88" i="21"/>
  <c r="H88" s="1"/>
  <c r="F88" i="22"/>
  <c r="H88" s="1"/>
  <c r="F86" i="21"/>
  <c r="H86" s="1"/>
  <c r="F86" i="22"/>
  <c r="H86" s="1"/>
  <c r="F84" i="21"/>
  <c r="H84" s="1"/>
  <c r="F84" i="22"/>
  <c r="H84" s="1"/>
  <c r="H82" i="23"/>
  <c r="F82" i="21"/>
  <c r="H82" s="1"/>
  <c r="F82" i="22"/>
  <c r="H82" s="1"/>
  <c r="J80" i="23"/>
  <c r="F80" i="21"/>
  <c r="J80" s="1"/>
  <c r="F80" i="22"/>
  <c r="I80" s="1"/>
  <c r="F78" i="21"/>
  <c r="J78" s="1"/>
  <c r="F78" i="22"/>
  <c r="K78" s="1"/>
  <c r="J78" i="23"/>
  <c r="J76"/>
  <c r="F76" i="21"/>
  <c r="J76" s="1"/>
  <c r="F76" i="22"/>
  <c r="I76" s="1"/>
  <c r="F74" i="21"/>
  <c r="J74" s="1"/>
  <c r="F74" i="22"/>
  <c r="K74" s="1"/>
  <c r="J74" i="23"/>
  <c r="J72"/>
  <c r="F72" i="21"/>
  <c r="J72" s="1"/>
  <c r="F72" i="22"/>
  <c r="I72" s="1"/>
  <c r="J70" i="23"/>
  <c r="F70" i="21"/>
  <c r="J70" s="1"/>
  <c r="F70" i="22"/>
  <c r="M70" s="1"/>
  <c r="F68" i="21"/>
  <c r="J68" s="1"/>
  <c r="F68" i="22"/>
  <c r="M68" s="1"/>
  <c r="J68" i="23"/>
  <c r="J66"/>
  <c r="F66" i="21"/>
  <c r="J66" s="1"/>
  <c r="F66" i="22"/>
  <c r="I66" s="1"/>
  <c r="F64" i="21"/>
  <c r="J64" s="1"/>
  <c r="F64" i="22"/>
  <c r="K64" s="1"/>
  <c r="J62" i="23"/>
  <c r="F62" i="21"/>
  <c r="J62" s="1"/>
  <c r="F62" i="22"/>
  <c r="I62" s="1"/>
  <c r="F60" i="21"/>
  <c r="J60" s="1"/>
  <c r="F60" i="22"/>
  <c r="K60" s="1"/>
  <c r="J60" i="23"/>
  <c r="H58"/>
  <c r="F58" i="21"/>
  <c r="J58" s="1"/>
  <c r="F58" i="22"/>
  <c r="I58" s="1"/>
  <c r="F56" i="21"/>
  <c r="J56" s="1"/>
  <c r="F56" i="22"/>
  <c r="K56" s="1"/>
  <c r="H54" i="23"/>
  <c r="F54" i="21"/>
  <c r="J54" s="1"/>
  <c r="F54" i="22"/>
  <c r="K54" s="1"/>
  <c r="F52" i="21"/>
  <c r="J52" s="1"/>
  <c r="F52" i="22"/>
  <c r="M52" s="1"/>
  <c r="H52" i="23"/>
  <c r="H50"/>
  <c r="F50" i="21"/>
  <c r="J50" s="1"/>
  <c r="F50" i="22"/>
  <c r="M50" s="1"/>
  <c r="F48" i="21"/>
  <c r="J48" s="1"/>
  <c r="F48" i="22"/>
  <c r="I48" s="1"/>
  <c r="H46" i="23"/>
  <c r="F46" i="21"/>
  <c r="J46" s="1"/>
  <c r="F46" i="22"/>
  <c r="I46" s="1"/>
  <c r="F44" i="21"/>
  <c r="J44" s="1"/>
  <c r="F44" i="22"/>
  <c r="K44" s="1"/>
  <c r="H44" i="23"/>
  <c r="H42"/>
  <c r="F42" i="21"/>
  <c r="J42" s="1"/>
  <c r="F42" i="22"/>
  <c r="I42" s="1"/>
  <c r="F40" i="21"/>
  <c r="H40" s="1"/>
  <c r="F40" i="22"/>
  <c r="K40" s="1"/>
  <c r="H38" i="23"/>
  <c r="F38" i="21"/>
  <c r="H38" s="1"/>
  <c r="F38" i="22"/>
  <c r="I38" s="1"/>
  <c r="F36" i="21"/>
  <c r="H36" s="1"/>
  <c r="F36" i="22"/>
  <c r="K36" s="1"/>
  <c r="H36" i="23"/>
  <c r="H34"/>
  <c r="F34" i="21"/>
  <c r="H34" s="1"/>
  <c r="F34" i="22"/>
  <c r="M34" s="1"/>
  <c r="F32" i="21"/>
  <c r="H32" s="1"/>
  <c r="F32" i="22"/>
  <c r="K32" s="1"/>
  <c r="K30" i="23"/>
  <c r="F30" i="21"/>
  <c r="H30" s="1"/>
  <c r="F30" i="22"/>
  <c r="K30" s="1"/>
  <c r="I30" i="23"/>
  <c r="K28"/>
  <c r="F28" i="21"/>
  <c r="K28" s="1"/>
  <c r="F28" i="22"/>
  <c r="H28" s="1"/>
  <c r="I28" i="23"/>
  <c r="K26"/>
  <c r="F26" i="21"/>
  <c r="F26" i="22"/>
  <c r="H26" s="1"/>
  <c r="I26" i="23"/>
  <c r="K24"/>
  <c r="F24" i="21"/>
  <c r="H24" s="1"/>
  <c r="F24" i="22"/>
  <c r="H24" s="1"/>
  <c r="I24" i="23"/>
  <c r="K22"/>
  <c r="F22" i="21"/>
  <c r="F22" i="22"/>
  <c r="H22" s="1"/>
  <c r="I22" i="23"/>
  <c r="K20"/>
  <c r="F20" i="21"/>
  <c r="H20" s="1"/>
  <c r="F20" i="22"/>
  <c r="H20" s="1"/>
  <c r="I20" i="23"/>
  <c r="K18"/>
  <c r="F18" i="21"/>
  <c r="F18" i="22"/>
  <c r="H18" s="1"/>
  <c r="I18" i="23"/>
  <c r="H16"/>
  <c r="H147" s="1"/>
  <c r="F16" i="21"/>
  <c r="G152" s="1"/>
  <c r="AU38" i="20" s="1"/>
  <c r="W38" s="1"/>
  <c r="F16" i="22"/>
  <c r="G152" i="23"/>
  <c r="AQ38" i="20" s="1"/>
  <c r="S38" s="1"/>
  <c r="K14" i="23"/>
  <c r="F14" i="21"/>
  <c r="H14" s="1"/>
  <c r="F14" i="22"/>
  <c r="H14" s="1"/>
  <c r="J14" i="23"/>
  <c r="K12"/>
  <c r="F12" i="21"/>
  <c r="F12" i="22"/>
  <c r="J12" i="23"/>
  <c r="M31" i="22"/>
  <c r="G31"/>
  <c r="I35"/>
  <c r="K35"/>
  <c r="M39"/>
  <c r="K39"/>
  <c r="K43"/>
  <c r="I43"/>
  <c r="K47"/>
  <c r="I47"/>
  <c r="M51"/>
  <c r="G51"/>
  <c r="K55"/>
  <c r="M55"/>
  <c r="J55"/>
  <c r="K59"/>
  <c r="I59"/>
  <c r="I63"/>
  <c r="G63"/>
  <c r="K67"/>
  <c r="J67"/>
  <c r="I71"/>
  <c r="K71"/>
  <c r="K75"/>
  <c r="I75"/>
  <c r="I79"/>
  <c r="G79"/>
  <c r="K83"/>
  <c r="I83"/>
  <c r="K87"/>
  <c r="I87"/>
  <c r="K91"/>
  <c r="I91"/>
  <c r="I95"/>
  <c r="G95"/>
  <c r="K99"/>
  <c r="I99"/>
  <c r="K103"/>
  <c r="I103"/>
  <c r="M107"/>
  <c r="G107"/>
  <c r="I111"/>
  <c r="K111"/>
  <c r="I115"/>
  <c r="K115"/>
  <c r="M119"/>
  <c r="K119"/>
  <c r="K123"/>
  <c r="I123"/>
  <c r="K127"/>
  <c r="I127"/>
  <c r="K131"/>
  <c r="I131"/>
  <c r="M135"/>
  <c r="K135"/>
  <c r="K135" i="21"/>
  <c r="G135"/>
  <c r="M131"/>
  <c r="I131"/>
  <c r="J131"/>
  <c r="I127"/>
  <c r="J127"/>
  <c r="I123"/>
  <c r="J123"/>
  <c r="K119"/>
  <c r="G119"/>
  <c r="K115"/>
  <c r="G115"/>
  <c r="M33" i="22"/>
  <c r="I45"/>
  <c r="I49"/>
  <c r="M65"/>
  <c r="K77"/>
  <c r="G81"/>
  <c r="K97"/>
  <c r="J113"/>
  <c r="K129"/>
  <c r="K133" i="21"/>
  <c r="G133"/>
  <c r="I129"/>
  <c r="J129"/>
  <c r="I125"/>
  <c r="J125"/>
  <c r="I121"/>
  <c r="J121"/>
  <c r="K117"/>
  <c r="G117"/>
  <c r="J15"/>
  <c r="G19"/>
  <c r="G23"/>
  <c r="J27"/>
  <c r="G31"/>
  <c r="G35"/>
  <c r="G39"/>
  <c r="J43"/>
  <c r="J47"/>
  <c r="G51"/>
  <c r="J55"/>
  <c r="I55"/>
  <c r="J59"/>
  <c r="G63"/>
  <c r="J67"/>
  <c r="G71"/>
  <c r="J75"/>
  <c r="G79"/>
  <c r="G83"/>
  <c r="G87"/>
  <c r="G91"/>
  <c r="J95"/>
  <c r="J99"/>
  <c r="J103"/>
  <c r="I103"/>
  <c r="G107"/>
  <c r="G111"/>
  <c r="J115"/>
  <c r="J119"/>
  <c r="M119"/>
  <c r="K123"/>
  <c r="K127"/>
  <c r="K131"/>
  <c r="J135"/>
  <c r="M135"/>
  <c r="K51" i="22"/>
  <c r="I55"/>
  <c r="J59"/>
  <c r="K79"/>
  <c r="J83"/>
  <c r="J91"/>
  <c r="K95"/>
  <c r="J103"/>
  <c r="K107"/>
  <c r="G111"/>
  <c r="M131"/>
  <c r="G135"/>
  <c r="I12" i="23"/>
  <c r="J18"/>
  <c r="J22"/>
  <c r="J26"/>
  <c r="J30"/>
  <c r="H40"/>
  <c r="H56"/>
  <c r="H98"/>
  <c r="H102"/>
  <c r="H104"/>
  <c r="H106"/>
  <c r="F137"/>
  <c r="J31" i="22"/>
  <c r="I31"/>
  <c r="J35"/>
  <c r="J39"/>
  <c r="I39"/>
  <c r="G43"/>
  <c r="G47"/>
  <c r="G49"/>
  <c r="J51"/>
  <c r="I51"/>
  <c r="G55"/>
  <c r="J57"/>
  <c r="G59"/>
  <c r="J63"/>
  <c r="I65"/>
  <c r="G67"/>
  <c r="J71"/>
  <c r="G75"/>
  <c r="J79"/>
  <c r="G83"/>
  <c r="G87"/>
  <c r="J89"/>
  <c r="G91"/>
  <c r="J95"/>
  <c r="G99"/>
  <c r="G103"/>
  <c r="J107"/>
  <c r="I107"/>
  <c r="J111"/>
  <c r="G113"/>
  <c r="J115"/>
  <c r="J119"/>
  <c r="I119"/>
  <c r="G121"/>
  <c r="G123"/>
  <c r="G127"/>
  <c r="G131"/>
  <c r="J135"/>
  <c r="I135"/>
  <c r="G12" i="23"/>
  <c r="G14"/>
  <c r="G18"/>
  <c r="G20"/>
  <c r="G22"/>
  <c r="G24"/>
  <c r="G26"/>
  <c r="G28"/>
  <c r="G30"/>
  <c r="I89"/>
  <c r="K93"/>
  <c r="G111"/>
  <c r="J119"/>
  <c r="G127"/>
  <c r="J135"/>
  <c r="K133"/>
  <c r="K51"/>
  <c r="K35"/>
  <c r="K127"/>
  <c r="K111"/>
  <c r="I95"/>
  <c r="K79"/>
  <c r="K71"/>
  <c r="J63"/>
  <c r="G55"/>
  <c r="G47"/>
  <c r="J39"/>
  <c r="J33"/>
  <c r="G37"/>
  <c r="I39"/>
  <c r="J41"/>
  <c r="J45"/>
  <c r="K47"/>
  <c r="J49"/>
  <c r="J53"/>
  <c r="G57"/>
  <c r="K59"/>
  <c r="J61"/>
  <c r="G65"/>
  <c r="J69"/>
  <c r="J77"/>
  <c r="G85"/>
  <c r="I87"/>
  <c r="J97"/>
  <c r="G109"/>
  <c r="G113"/>
  <c r="J117"/>
  <c r="G121"/>
  <c r="G125"/>
  <c r="G129"/>
  <c r="J133"/>
  <c r="K97"/>
  <c r="K77"/>
  <c r="K69"/>
  <c r="I33"/>
  <c r="K37"/>
  <c r="I41"/>
  <c r="I45"/>
  <c r="I49"/>
  <c r="I53"/>
  <c r="I61"/>
  <c r="G67"/>
  <c r="J71"/>
  <c r="G75"/>
  <c r="J79"/>
  <c r="K85"/>
  <c r="J89"/>
  <c r="G95"/>
  <c r="J99"/>
  <c r="K109"/>
  <c r="K113"/>
  <c r="I117"/>
  <c r="K121"/>
  <c r="K125"/>
  <c r="K129"/>
  <c r="I135"/>
  <c r="G33"/>
  <c r="G35"/>
  <c r="J37"/>
  <c r="G39"/>
  <c r="G41"/>
  <c r="J43"/>
  <c r="G45"/>
  <c r="J47"/>
  <c r="G49"/>
  <c r="G51"/>
  <c r="G53"/>
  <c r="J55"/>
  <c r="I55"/>
  <c r="J57"/>
  <c r="I57"/>
  <c r="J59"/>
  <c r="G61"/>
  <c r="G63"/>
  <c r="J65"/>
  <c r="I65"/>
  <c r="J67"/>
  <c r="G69"/>
  <c r="G71"/>
  <c r="G73"/>
  <c r="J75"/>
  <c r="G77"/>
  <c r="G79"/>
  <c r="G81"/>
  <c r="J83"/>
  <c r="J85"/>
  <c r="G87"/>
  <c r="G89"/>
  <c r="J91"/>
  <c r="I91"/>
  <c r="J93"/>
  <c r="J95"/>
  <c r="G97"/>
  <c r="G99"/>
  <c r="G101"/>
  <c r="J103"/>
  <c r="I103"/>
  <c r="J105"/>
  <c r="I105"/>
  <c r="J107"/>
  <c r="I107"/>
  <c r="J109"/>
  <c r="J111"/>
  <c r="J113"/>
  <c r="G115"/>
  <c r="G117"/>
  <c r="G119"/>
  <c r="J121"/>
  <c r="J123"/>
  <c r="J125"/>
  <c r="J127"/>
  <c r="J129"/>
  <c r="J131"/>
  <c r="I131"/>
  <c r="G133"/>
  <c r="G135"/>
  <c r="K32"/>
  <c r="I32"/>
  <c r="G32"/>
  <c r="K34"/>
  <c r="I34"/>
  <c r="G34"/>
  <c r="K36"/>
  <c r="I36"/>
  <c r="G36"/>
  <c r="K38"/>
  <c r="I38"/>
  <c r="G38"/>
  <c r="K40"/>
  <c r="I40"/>
  <c r="G40"/>
  <c r="K42"/>
  <c r="I42"/>
  <c r="G42"/>
  <c r="K44"/>
  <c r="I44"/>
  <c r="G44"/>
  <c r="K46"/>
  <c r="I46"/>
  <c r="G46"/>
  <c r="K48"/>
  <c r="I48"/>
  <c r="G48"/>
  <c r="K50"/>
  <c r="I50"/>
  <c r="G50"/>
  <c r="K52"/>
  <c r="I52"/>
  <c r="G52"/>
  <c r="K54"/>
  <c r="I54"/>
  <c r="G54"/>
  <c r="K56"/>
  <c r="I56"/>
  <c r="G56"/>
  <c r="K58"/>
  <c r="I58"/>
  <c r="G58"/>
  <c r="N4"/>
  <c r="M82" s="1"/>
  <c r="N6"/>
  <c r="N7"/>
  <c r="G11"/>
  <c r="I11"/>
  <c r="K11"/>
  <c r="H12"/>
  <c r="G13"/>
  <c r="I13"/>
  <c r="K13"/>
  <c r="M13"/>
  <c r="H14"/>
  <c r="G15"/>
  <c r="I15"/>
  <c r="K15"/>
  <c r="G17"/>
  <c r="I17"/>
  <c r="K17"/>
  <c r="H18"/>
  <c r="G19"/>
  <c r="I19"/>
  <c r="K19"/>
  <c r="H20"/>
  <c r="G21"/>
  <c r="I21"/>
  <c r="K21"/>
  <c r="H22"/>
  <c r="G23"/>
  <c r="I23"/>
  <c r="K23"/>
  <c r="M23"/>
  <c r="H24"/>
  <c r="G25"/>
  <c r="I25"/>
  <c r="K25"/>
  <c r="H26"/>
  <c r="G27"/>
  <c r="I27"/>
  <c r="K27"/>
  <c r="H28"/>
  <c r="G29"/>
  <c r="I29"/>
  <c r="K29"/>
  <c r="H30"/>
  <c r="G31"/>
  <c r="I31"/>
  <c r="K31"/>
  <c r="J32"/>
  <c r="J34"/>
  <c r="J36"/>
  <c r="J38"/>
  <c r="J40"/>
  <c r="J42"/>
  <c r="J44"/>
  <c r="J46"/>
  <c r="J48"/>
  <c r="J50"/>
  <c r="J52"/>
  <c r="J54"/>
  <c r="J56"/>
  <c r="J58"/>
  <c r="F140"/>
  <c r="H11"/>
  <c r="J11"/>
  <c r="H13"/>
  <c r="H15"/>
  <c r="H17"/>
  <c r="H19"/>
  <c r="H21"/>
  <c r="H23"/>
  <c r="H25"/>
  <c r="H27"/>
  <c r="H29"/>
  <c r="H31"/>
  <c r="J31"/>
  <c r="K82"/>
  <c r="I82"/>
  <c r="G82"/>
  <c r="M84"/>
  <c r="K84"/>
  <c r="I84"/>
  <c r="G84"/>
  <c r="K86"/>
  <c r="I86"/>
  <c r="G86"/>
  <c r="K88"/>
  <c r="I88"/>
  <c r="G88"/>
  <c r="K90"/>
  <c r="I90"/>
  <c r="G90"/>
  <c r="K92"/>
  <c r="I92"/>
  <c r="G92"/>
  <c r="K94"/>
  <c r="I94"/>
  <c r="G94"/>
  <c r="K96"/>
  <c r="I96"/>
  <c r="G96"/>
  <c r="M98"/>
  <c r="K98"/>
  <c r="I98"/>
  <c r="G98"/>
  <c r="K100"/>
  <c r="I100"/>
  <c r="G100"/>
  <c r="K102"/>
  <c r="I102"/>
  <c r="G102"/>
  <c r="M104"/>
  <c r="K104"/>
  <c r="I104"/>
  <c r="G104"/>
  <c r="K106"/>
  <c r="I106"/>
  <c r="G106"/>
  <c r="H33"/>
  <c r="H35"/>
  <c r="L35" s="1"/>
  <c r="H37"/>
  <c r="H39"/>
  <c r="H41"/>
  <c r="H43"/>
  <c r="L43" s="1"/>
  <c r="H45"/>
  <c r="H47"/>
  <c r="H49"/>
  <c r="H51"/>
  <c r="H53"/>
  <c r="H55"/>
  <c r="H57"/>
  <c r="H59"/>
  <c r="G60"/>
  <c r="I60"/>
  <c r="K60"/>
  <c r="H61"/>
  <c r="G62"/>
  <c r="I62"/>
  <c r="K62"/>
  <c r="H63"/>
  <c r="G64"/>
  <c r="I64"/>
  <c r="K64"/>
  <c r="H65"/>
  <c r="G66"/>
  <c r="I66"/>
  <c r="K66"/>
  <c r="H67"/>
  <c r="G68"/>
  <c r="I68"/>
  <c r="K68"/>
  <c r="M68"/>
  <c r="H69"/>
  <c r="L69" s="1"/>
  <c r="G70"/>
  <c r="I70"/>
  <c r="K70"/>
  <c r="M70"/>
  <c r="H71"/>
  <c r="G72"/>
  <c r="I72"/>
  <c r="K72"/>
  <c r="H73"/>
  <c r="G74"/>
  <c r="I74"/>
  <c r="K74"/>
  <c r="H75"/>
  <c r="G76"/>
  <c r="I76"/>
  <c r="K76"/>
  <c r="H77"/>
  <c r="G78"/>
  <c r="I78"/>
  <c r="K78"/>
  <c r="H79"/>
  <c r="G80"/>
  <c r="I80"/>
  <c r="K80"/>
  <c r="H81"/>
  <c r="K81"/>
  <c r="J82"/>
  <c r="J84"/>
  <c r="J86"/>
  <c r="J88"/>
  <c r="J90"/>
  <c r="J92"/>
  <c r="J94"/>
  <c r="J96"/>
  <c r="J98"/>
  <c r="J100"/>
  <c r="J102"/>
  <c r="J104"/>
  <c r="J106"/>
  <c r="H60"/>
  <c r="H62"/>
  <c r="H64"/>
  <c r="H66"/>
  <c r="H68"/>
  <c r="H70"/>
  <c r="H72"/>
  <c r="H74"/>
  <c r="H76"/>
  <c r="H78"/>
  <c r="H80"/>
  <c r="H108"/>
  <c r="J108"/>
  <c r="H110"/>
  <c r="J110"/>
  <c r="H112"/>
  <c r="J112"/>
  <c r="H114"/>
  <c r="J114"/>
  <c r="H116"/>
  <c r="J116"/>
  <c r="H118"/>
  <c r="J118"/>
  <c r="H120"/>
  <c r="J120"/>
  <c r="H122"/>
  <c r="J122"/>
  <c r="H124"/>
  <c r="J124"/>
  <c r="H126"/>
  <c r="J126"/>
  <c r="H128"/>
  <c r="J128"/>
  <c r="H130"/>
  <c r="J130"/>
  <c r="H132"/>
  <c r="J132"/>
  <c r="H134"/>
  <c r="J134"/>
  <c r="H136"/>
  <c r="J136"/>
  <c r="H83"/>
  <c r="H85"/>
  <c r="L85" s="1"/>
  <c r="H87"/>
  <c r="H89"/>
  <c r="H91"/>
  <c r="H93"/>
  <c r="H95"/>
  <c r="H97"/>
  <c r="H99"/>
  <c r="H101"/>
  <c r="H103"/>
  <c r="H105"/>
  <c r="H107"/>
  <c r="G108"/>
  <c r="I108"/>
  <c r="K108"/>
  <c r="H109"/>
  <c r="G110"/>
  <c r="I110"/>
  <c r="K110"/>
  <c r="H111"/>
  <c r="G112"/>
  <c r="I112"/>
  <c r="K112"/>
  <c r="H113"/>
  <c r="G114"/>
  <c r="I114"/>
  <c r="K114"/>
  <c r="H115"/>
  <c r="G116"/>
  <c r="I116"/>
  <c r="K116"/>
  <c r="H117"/>
  <c r="G118"/>
  <c r="I118"/>
  <c r="K118"/>
  <c r="H119"/>
  <c r="G120"/>
  <c r="I120"/>
  <c r="K120"/>
  <c r="H121"/>
  <c r="G122"/>
  <c r="I122"/>
  <c r="K122"/>
  <c r="H123"/>
  <c r="G124"/>
  <c r="I124"/>
  <c r="K124"/>
  <c r="H125"/>
  <c r="G126"/>
  <c r="I126"/>
  <c r="K126"/>
  <c r="H127"/>
  <c r="G128"/>
  <c r="I128"/>
  <c r="K128"/>
  <c r="H129"/>
  <c r="G130"/>
  <c r="I130"/>
  <c r="K130"/>
  <c r="H131"/>
  <c r="G132"/>
  <c r="I132"/>
  <c r="K132"/>
  <c r="H133"/>
  <c r="G134"/>
  <c r="I134"/>
  <c r="K134"/>
  <c r="K146" s="1"/>
  <c r="H135"/>
  <c r="H146" s="1"/>
  <c r="G136"/>
  <c r="I136"/>
  <c r="K136"/>
  <c r="G32" i="22"/>
  <c r="G34"/>
  <c r="K38"/>
  <c r="G48"/>
  <c r="K66"/>
  <c r="K68"/>
  <c r="G80"/>
  <c r="H11"/>
  <c r="J11"/>
  <c r="H15"/>
  <c r="J15"/>
  <c r="J17"/>
  <c r="H19"/>
  <c r="J19"/>
  <c r="H23"/>
  <c r="J23"/>
  <c r="H27"/>
  <c r="J27"/>
  <c r="J29"/>
  <c r="J32"/>
  <c r="G11"/>
  <c r="I11"/>
  <c r="K11"/>
  <c r="I13"/>
  <c r="G15"/>
  <c r="I15"/>
  <c r="K15"/>
  <c r="G17"/>
  <c r="K17"/>
  <c r="G19"/>
  <c r="I19"/>
  <c r="K19"/>
  <c r="G23"/>
  <c r="I23"/>
  <c r="K23"/>
  <c r="G25"/>
  <c r="G27"/>
  <c r="I27"/>
  <c r="K27"/>
  <c r="G29"/>
  <c r="H36"/>
  <c r="H40"/>
  <c r="H48"/>
  <c r="H68"/>
  <c r="H72"/>
  <c r="G82"/>
  <c r="G90"/>
  <c r="G100"/>
  <c r="H31"/>
  <c r="H33"/>
  <c r="H35"/>
  <c r="H39"/>
  <c r="H43"/>
  <c r="H47"/>
  <c r="H49"/>
  <c r="H51"/>
  <c r="H55"/>
  <c r="H59"/>
  <c r="H63"/>
  <c r="H65"/>
  <c r="H67"/>
  <c r="H71"/>
  <c r="H75"/>
  <c r="H79"/>
  <c r="H81"/>
  <c r="J82"/>
  <c r="H83"/>
  <c r="H87"/>
  <c r="H91"/>
  <c r="H95"/>
  <c r="H99"/>
  <c r="H103"/>
  <c r="H107"/>
  <c r="I110"/>
  <c r="H111"/>
  <c r="I112"/>
  <c r="H113"/>
  <c r="I114"/>
  <c r="H115"/>
  <c r="I116"/>
  <c r="H119"/>
  <c r="I122"/>
  <c r="H123"/>
  <c r="I124"/>
  <c r="H127"/>
  <c r="H129"/>
  <c r="H131"/>
  <c r="H135"/>
  <c r="I136"/>
  <c r="I28" i="21"/>
  <c r="J12"/>
  <c r="J14"/>
  <c r="J18"/>
  <c r="J20"/>
  <c r="J22"/>
  <c r="J24"/>
  <c r="J26"/>
  <c r="K30"/>
  <c r="G30"/>
  <c r="I34"/>
  <c r="H11"/>
  <c r="J11"/>
  <c r="G12"/>
  <c r="K12"/>
  <c r="H13"/>
  <c r="G14"/>
  <c r="K14"/>
  <c r="H15"/>
  <c r="H16"/>
  <c r="H17"/>
  <c r="I18"/>
  <c r="H19"/>
  <c r="I20"/>
  <c r="H21"/>
  <c r="I22"/>
  <c r="H23"/>
  <c r="I24"/>
  <c r="H25"/>
  <c r="I26"/>
  <c r="H27"/>
  <c r="J28"/>
  <c r="M84"/>
  <c r="I84"/>
  <c r="I88"/>
  <c r="H29"/>
  <c r="H31"/>
  <c r="H33"/>
  <c r="H35"/>
  <c r="H37"/>
  <c r="H39"/>
  <c r="H41"/>
  <c r="I42"/>
  <c r="H43"/>
  <c r="G44"/>
  <c r="K44"/>
  <c r="H45"/>
  <c r="H47"/>
  <c r="H49"/>
  <c r="H51"/>
  <c r="H53"/>
  <c r="H55"/>
  <c r="G56"/>
  <c r="K56"/>
  <c r="H57"/>
  <c r="H59"/>
  <c r="K60"/>
  <c r="H61"/>
  <c r="I62"/>
  <c r="H63"/>
  <c r="H65"/>
  <c r="H67"/>
  <c r="H69"/>
  <c r="H71"/>
  <c r="G72"/>
  <c r="K72"/>
  <c r="H73"/>
  <c r="H75"/>
  <c r="G76"/>
  <c r="K76"/>
  <c r="H77"/>
  <c r="I78"/>
  <c r="H79"/>
  <c r="H81"/>
  <c r="K81"/>
  <c r="H44"/>
  <c r="H56"/>
  <c r="H72"/>
  <c r="H76"/>
  <c r="J96"/>
  <c r="J102"/>
  <c r="J104"/>
  <c r="J106"/>
  <c r="J110"/>
  <c r="J114"/>
  <c r="J118"/>
  <c r="J120"/>
  <c r="J122"/>
  <c r="J126"/>
  <c r="J130"/>
  <c r="J134"/>
  <c r="J136"/>
  <c r="H83"/>
  <c r="H85"/>
  <c r="H87"/>
  <c r="H89"/>
  <c r="H91"/>
  <c r="H93"/>
  <c r="H95"/>
  <c r="G96"/>
  <c r="K96"/>
  <c r="H97"/>
  <c r="H99"/>
  <c r="H101"/>
  <c r="G102"/>
  <c r="K102"/>
  <c r="H103"/>
  <c r="G104"/>
  <c r="H105"/>
  <c r="G106"/>
  <c r="K106"/>
  <c r="H107"/>
  <c r="H109"/>
  <c r="G110"/>
  <c r="K110"/>
  <c r="H111"/>
  <c r="H113"/>
  <c r="G114"/>
  <c r="K114"/>
  <c r="H115"/>
  <c r="K116"/>
  <c r="H117"/>
  <c r="G118"/>
  <c r="K118"/>
  <c r="H119"/>
  <c r="G120"/>
  <c r="H121"/>
  <c r="G122"/>
  <c r="K122"/>
  <c r="H123"/>
  <c r="H125"/>
  <c r="G126"/>
  <c r="K126"/>
  <c r="H127"/>
  <c r="H129"/>
  <c r="G130"/>
  <c r="K130"/>
  <c r="H131"/>
  <c r="K132"/>
  <c r="H133"/>
  <c r="G134"/>
  <c r="K134"/>
  <c r="H135"/>
  <c r="G136"/>
  <c r="K136" l="1"/>
  <c r="L136" s="1"/>
  <c r="K104"/>
  <c r="G92" i="22"/>
  <c r="G105"/>
  <c r="G132" i="21"/>
  <c r="G116"/>
  <c r="J124"/>
  <c r="J108"/>
  <c r="H60"/>
  <c r="G80"/>
  <c r="H89" i="22"/>
  <c r="G98"/>
  <c r="J46"/>
  <c r="K70"/>
  <c r="G89"/>
  <c r="K41"/>
  <c r="I74" i="21"/>
  <c r="J52" i="22"/>
  <c r="J128" i="21"/>
  <c r="M40"/>
  <c r="K128"/>
  <c r="K112"/>
  <c r="H80"/>
  <c r="I58"/>
  <c r="I86"/>
  <c r="I40"/>
  <c r="K25" i="22"/>
  <c r="J25"/>
  <c r="L25" s="1"/>
  <c r="G50"/>
  <c r="I109"/>
  <c r="K57"/>
  <c r="Q17" i="20"/>
  <c r="K80" i="21"/>
  <c r="I46"/>
  <c r="J64" i="22"/>
  <c r="G124" i="21"/>
  <c r="G108"/>
  <c r="J86"/>
  <c r="J90" i="22"/>
  <c r="G52"/>
  <c r="G112" i="21"/>
  <c r="J112"/>
  <c r="K105" i="22"/>
  <c r="K108" i="21"/>
  <c r="J94"/>
  <c r="G60"/>
  <c r="I94"/>
  <c r="I104" i="22"/>
  <c r="H118"/>
  <c r="G58"/>
  <c r="I73"/>
  <c r="I121"/>
  <c r="L121" s="1"/>
  <c r="M73"/>
  <c r="Q8" i="20"/>
  <c r="K90" i="21"/>
  <c r="H110" i="22"/>
  <c r="J62"/>
  <c r="P26" i="20"/>
  <c r="H50" i="21"/>
  <c r="L13"/>
  <c r="N13" s="1"/>
  <c r="I134" i="22"/>
  <c r="H134"/>
  <c r="K88"/>
  <c r="H56"/>
  <c r="J98" i="21"/>
  <c r="H126" i="22"/>
  <c r="G96"/>
  <c r="J78"/>
  <c r="K76"/>
  <c r="G42"/>
  <c r="I98" i="21"/>
  <c r="K70"/>
  <c r="I66"/>
  <c r="K52"/>
  <c r="I48"/>
  <c r="I92"/>
  <c r="I32"/>
  <c r="I130" i="22"/>
  <c r="I126"/>
  <c r="I120"/>
  <c r="I106"/>
  <c r="H122"/>
  <c r="H106"/>
  <c r="I94"/>
  <c r="G84"/>
  <c r="J13"/>
  <c r="I78"/>
  <c r="I56"/>
  <c r="K46"/>
  <c r="G61"/>
  <c r="K125"/>
  <c r="I61"/>
  <c r="H152" i="23"/>
  <c r="AQ39" i="20" s="1"/>
  <c r="AP39"/>
  <c r="L147" i="23"/>
  <c r="I100" i="21"/>
  <c r="H66"/>
  <c r="I68"/>
  <c r="I64"/>
  <c r="I54"/>
  <c r="L54" s="1"/>
  <c r="I50"/>
  <c r="J38"/>
  <c r="G36"/>
  <c r="I132" i="22"/>
  <c r="I128"/>
  <c r="I118"/>
  <c r="I108"/>
  <c r="H130"/>
  <c r="H114"/>
  <c r="J84"/>
  <c r="H80"/>
  <c r="K21"/>
  <c r="G72"/>
  <c r="K62"/>
  <c r="I40"/>
  <c r="K93"/>
  <c r="J17" i="20"/>
  <c r="G17" i="26" s="1"/>
  <c r="H17" s="1"/>
  <c r="F17"/>
  <c r="K17" i="20"/>
  <c r="I17" i="26" s="1"/>
  <c r="K17" s="1"/>
  <c r="L17" s="1"/>
  <c r="M17" s="1"/>
  <c r="K8" i="20"/>
  <c r="J8"/>
  <c r="F8" i="26"/>
  <c r="F26" s="1"/>
  <c r="H26" i="20"/>
  <c r="Q26"/>
  <c r="G38"/>
  <c r="I38" s="1"/>
  <c r="H121" i="22"/>
  <c r="H105"/>
  <c r="H97"/>
  <c r="J98"/>
  <c r="K81"/>
  <c r="H73"/>
  <c r="H57"/>
  <c r="H41"/>
  <c r="K100"/>
  <c r="K98"/>
  <c r="K92"/>
  <c r="K90"/>
  <c r="K82"/>
  <c r="H64"/>
  <c r="H52"/>
  <c r="H32"/>
  <c r="I25"/>
  <c r="I17"/>
  <c r="L17" s="1"/>
  <c r="J68"/>
  <c r="J48"/>
  <c r="L48" s="1"/>
  <c r="J36"/>
  <c r="G70"/>
  <c r="G68"/>
  <c r="G66"/>
  <c r="I64"/>
  <c r="I54"/>
  <c r="K52"/>
  <c r="K50"/>
  <c r="K48"/>
  <c r="G38"/>
  <c r="I36"/>
  <c r="K34"/>
  <c r="G129"/>
  <c r="G97"/>
  <c r="J81"/>
  <c r="J73"/>
  <c r="J65"/>
  <c r="I57"/>
  <c r="G41"/>
  <c r="G33"/>
  <c r="I129"/>
  <c r="K121"/>
  <c r="K113"/>
  <c r="I89"/>
  <c r="L89" s="1"/>
  <c r="I81"/>
  <c r="K73"/>
  <c r="G65"/>
  <c r="L65" s="1"/>
  <c r="N65" s="1"/>
  <c r="M57"/>
  <c r="I41"/>
  <c r="J33"/>
  <c r="K33"/>
  <c r="N6"/>
  <c r="K146" i="21"/>
  <c r="L113"/>
  <c r="L109"/>
  <c r="L105"/>
  <c r="N105" s="1"/>
  <c r="L101"/>
  <c r="L99"/>
  <c r="L97"/>
  <c r="N97" s="1"/>
  <c r="L93"/>
  <c r="L89"/>
  <c r="L85"/>
  <c r="J100"/>
  <c r="H70"/>
  <c r="H54"/>
  <c r="J92"/>
  <c r="L77"/>
  <c r="N77" s="1"/>
  <c r="G70"/>
  <c r="M68"/>
  <c r="L67"/>
  <c r="L65"/>
  <c r="N65" s="1"/>
  <c r="L61"/>
  <c r="N61" s="1"/>
  <c r="L53"/>
  <c r="G52"/>
  <c r="M50"/>
  <c r="L49"/>
  <c r="N49" s="1"/>
  <c r="L47"/>
  <c r="L45"/>
  <c r="L39"/>
  <c r="N39" s="1"/>
  <c r="L31"/>
  <c r="N31" s="1"/>
  <c r="G90"/>
  <c r="I82"/>
  <c r="J34"/>
  <c r="I38"/>
  <c r="K36"/>
  <c r="M34"/>
  <c r="F140"/>
  <c r="H133" i="22"/>
  <c r="H146" s="1"/>
  <c r="H125"/>
  <c r="H117"/>
  <c r="H109"/>
  <c r="H136"/>
  <c r="H132"/>
  <c r="H128"/>
  <c r="H124"/>
  <c r="H120"/>
  <c r="H116"/>
  <c r="H112"/>
  <c r="H108"/>
  <c r="H104"/>
  <c r="J94"/>
  <c r="J88"/>
  <c r="L55"/>
  <c r="N55" s="1"/>
  <c r="I102"/>
  <c r="K96"/>
  <c r="G88"/>
  <c r="I86"/>
  <c r="K84"/>
  <c r="H76"/>
  <c r="H60"/>
  <c r="H44"/>
  <c r="K29"/>
  <c r="G21"/>
  <c r="H12"/>
  <c r="J74"/>
  <c r="J58"/>
  <c r="J42"/>
  <c r="J21"/>
  <c r="I30"/>
  <c r="K80"/>
  <c r="G76"/>
  <c r="I74"/>
  <c r="K72"/>
  <c r="G62"/>
  <c r="L62" s="1"/>
  <c r="I60"/>
  <c r="K58"/>
  <c r="M56"/>
  <c r="G46"/>
  <c r="I44"/>
  <c r="K42"/>
  <c r="M40"/>
  <c r="M62" i="23"/>
  <c r="L61"/>
  <c r="L59"/>
  <c r="L55"/>
  <c r="L51"/>
  <c r="L47"/>
  <c r="L39"/>
  <c r="M27"/>
  <c r="L26"/>
  <c r="L24"/>
  <c r="M19"/>
  <c r="L16"/>
  <c r="J133" i="22"/>
  <c r="G125"/>
  <c r="L125" s="1"/>
  <c r="J101"/>
  <c r="G93"/>
  <c r="J85"/>
  <c r="G77"/>
  <c r="G45"/>
  <c r="M133"/>
  <c r="I117"/>
  <c r="I101"/>
  <c r="I85"/>
  <c r="M69"/>
  <c r="J53"/>
  <c r="K37"/>
  <c r="L111" i="21"/>
  <c r="K100"/>
  <c r="G100"/>
  <c r="K98"/>
  <c r="G98"/>
  <c r="L91"/>
  <c r="N91" s="1"/>
  <c r="L83"/>
  <c r="J146"/>
  <c r="H98"/>
  <c r="H68"/>
  <c r="H64"/>
  <c r="H52"/>
  <c r="H48"/>
  <c r="J90"/>
  <c r="J82"/>
  <c r="L75"/>
  <c r="L73"/>
  <c r="N73" s="1"/>
  <c r="M70"/>
  <c r="I70"/>
  <c r="L69"/>
  <c r="N69" s="1"/>
  <c r="K68"/>
  <c r="G68"/>
  <c r="K66"/>
  <c r="G66"/>
  <c r="K64"/>
  <c r="G64"/>
  <c r="L59"/>
  <c r="L57"/>
  <c r="N57" s="1"/>
  <c r="K54"/>
  <c r="G54"/>
  <c r="M52"/>
  <c r="I52"/>
  <c r="K50"/>
  <c r="G50"/>
  <c r="K48"/>
  <c r="G48"/>
  <c r="L41"/>
  <c r="L37"/>
  <c r="L33"/>
  <c r="N33" s="1"/>
  <c r="L29"/>
  <c r="G92"/>
  <c r="K92"/>
  <c r="I90"/>
  <c r="G82"/>
  <c r="K82"/>
  <c r="J36"/>
  <c r="J32"/>
  <c r="J140" s="1"/>
  <c r="L27"/>
  <c r="L25"/>
  <c r="L23"/>
  <c r="N23" s="1"/>
  <c r="L21"/>
  <c r="L19"/>
  <c r="L17"/>
  <c r="L15"/>
  <c r="G38"/>
  <c r="K38"/>
  <c r="I36"/>
  <c r="G34"/>
  <c r="K34"/>
  <c r="G32"/>
  <c r="K32"/>
  <c r="K136" i="22"/>
  <c r="G136"/>
  <c r="K134"/>
  <c r="K146" s="1"/>
  <c r="G134"/>
  <c r="K132"/>
  <c r="G132"/>
  <c r="K130"/>
  <c r="G130"/>
  <c r="K128"/>
  <c r="G128"/>
  <c r="K126"/>
  <c r="G126"/>
  <c r="K124"/>
  <c r="G124"/>
  <c r="K122"/>
  <c r="G122"/>
  <c r="K120"/>
  <c r="G120"/>
  <c r="K118"/>
  <c r="G118"/>
  <c r="K116"/>
  <c r="G116"/>
  <c r="K114"/>
  <c r="G114"/>
  <c r="K112"/>
  <c r="G112"/>
  <c r="K110"/>
  <c r="G110"/>
  <c r="K108"/>
  <c r="G108"/>
  <c r="K106"/>
  <c r="G106"/>
  <c r="K104"/>
  <c r="G104"/>
  <c r="H101"/>
  <c r="H93"/>
  <c r="H85"/>
  <c r="J134"/>
  <c r="J146" s="1"/>
  <c r="J114"/>
  <c r="J112"/>
  <c r="J108"/>
  <c r="J104"/>
  <c r="J102"/>
  <c r="J96"/>
  <c r="J86"/>
  <c r="H77"/>
  <c r="H69"/>
  <c r="H61"/>
  <c r="H53"/>
  <c r="H45"/>
  <c r="H37"/>
  <c r="G102"/>
  <c r="K102"/>
  <c r="I96"/>
  <c r="G94"/>
  <c r="K94"/>
  <c r="I88"/>
  <c r="G86"/>
  <c r="K86"/>
  <c r="I84"/>
  <c r="M84"/>
  <c r="H78"/>
  <c r="H74"/>
  <c r="H62"/>
  <c r="H58"/>
  <c r="H46"/>
  <c r="L46" s="1"/>
  <c r="H42"/>
  <c r="H30"/>
  <c r="I29"/>
  <c r="I21"/>
  <c r="K13"/>
  <c r="G13"/>
  <c r="J80"/>
  <c r="J76"/>
  <c r="L76" s="1"/>
  <c r="J72"/>
  <c r="J60"/>
  <c r="J56"/>
  <c r="J44"/>
  <c r="J40"/>
  <c r="H13"/>
  <c r="G78"/>
  <c r="G74"/>
  <c r="G60"/>
  <c r="G56"/>
  <c r="G44"/>
  <c r="G40"/>
  <c r="I146" i="23"/>
  <c r="L95"/>
  <c r="L73"/>
  <c r="L12"/>
  <c r="I133" i="22"/>
  <c r="J117"/>
  <c r="J109"/>
  <c r="G69"/>
  <c r="G53"/>
  <c r="J37"/>
  <c r="G133"/>
  <c r="I125"/>
  <c r="K117"/>
  <c r="K109"/>
  <c r="G101"/>
  <c r="I93"/>
  <c r="G85"/>
  <c r="J69"/>
  <c r="K69"/>
  <c r="K53"/>
  <c r="K45"/>
  <c r="I37"/>
  <c r="F140"/>
  <c r="M105"/>
  <c r="J105"/>
  <c r="J97"/>
  <c r="L97" s="1"/>
  <c r="M97"/>
  <c r="M49"/>
  <c r="J49"/>
  <c r="L49" s="1"/>
  <c r="J77"/>
  <c r="M77"/>
  <c r="M61"/>
  <c r="J61"/>
  <c r="N4" i="21"/>
  <c r="M60" s="1"/>
  <c r="N7"/>
  <c r="N6"/>
  <c r="K12" i="22"/>
  <c r="G12"/>
  <c r="J12"/>
  <c r="I12"/>
  <c r="I144" s="1"/>
  <c r="K14"/>
  <c r="G14"/>
  <c r="J14"/>
  <c r="I14"/>
  <c r="H16"/>
  <c r="G152"/>
  <c r="AS38" i="20" s="1"/>
  <c r="U38" s="1"/>
  <c r="K18" i="22"/>
  <c r="G18"/>
  <c r="I18"/>
  <c r="J18"/>
  <c r="K20"/>
  <c r="G20"/>
  <c r="I20"/>
  <c r="J20"/>
  <c r="K22"/>
  <c r="G22"/>
  <c r="I22"/>
  <c r="J22"/>
  <c r="I24"/>
  <c r="J24"/>
  <c r="G24"/>
  <c r="K24"/>
  <c r="I26"/>
  <c r="J26"/>
  <c r="G26"/>
  <c r="K26"/>
  <c r="I28"/>
  <c r="J28"/>
  <c r="G28"/>
  <c r="K28"/>
  <c r="G30"/>
  <c r="J30"/>
  <c r="I136" i="21"/>
  <c r="I134"/>
  <c r="I146" s="1"/>
  <c r="L133"/>
  <c r="N133" s="1"/>
  <c r="I132"/>
  <c r="L131"/>
  <c r="N131" s="1"/>
  <c r="I130"/>
  <c r="L130" s="1"/>
  <c r="L129"/>
  <c r="I128"/>
  <c r="L127"/>
  <c r="I126"/>
  <c r="L126" s="1"/>
  <c r="L125"/>
  <c r="I124"/>
  <c r="L123"/>
  <c r="I122"/>
  <c r="L122" s="1"/>
  <c r="L121"/>
  <c r="I120"/>
  <c r="I118"/>
  <c r="L118" s="1"/>
  <c r="L117"/>
  <c r="I116"/>
  <c r="L115"/>
  <c r="I114"/>
  <c r="I112"/>
  <c r="I110"/>
  <c r="L110" s="1"/>
  <c r="I108"/>
  <c r="L107"/>
  <c r="N107" s="1"/>
  <c r="I106"/>
  <c r="I104"/>
  <c r="L103"/>
  <c r="N103" s="1"/>
  <c r="I102"/>
  <c r="L102" s="1"/>
  <c r="I96"/>
  <c r="L95"/>
  <c r="L87"/>
  <c r="H134"/>
  <c r="H146" s="1"/>
  <c r="H132"/>
  <c r="H128"/>
  <c r="L128" s="1"/>
  <c r="H124"/>
  <c r="L124" s="1"/>
  <c r="H120"/>
  <c r="H116"/>
  <c r="H114"/>
  <c r="H112"/>
  <c r="H108"/>
  <c r="H106"/>
  <c r="L106" s="1"/>
  <c r="H104"/>
  <c r="L104" s="1"/>
  <c r="N104" s="1"/>
  <c r="H78"/>
  <c r="H74"/>
  <c r="H62"/>
  <c r="H58"/>
  <c r="H46"/>
  <c r="H42"/>
  <c r="J88"/>
  <c r="J84"/>
  <c r="M80"/>
  <c r="I80"/>
  <c r="L79"/>
  <c r="K78"/>
  <c r="G78"/>
  <c r="I76"/>
  <c r="K74"/>
  <c r="G74"/>
  <c r="I72"/>
  <c r="L72" s="1"/>
  <c r="L71"/>
  <c r="L63"/>
  <c r="K62"/>
  <c r="G62"/>
  <c r="I60"/>
  <c r="K58"/>
  <c r="G58"/>
  <c r="M56"/>
  <c r="I56"/>
  <c r="L55"/>
  <c r="N55" s="1"/>
  <c r="L51"/>
  <c r="N51" s="1"/>
  <c r="K46"/>
  <c r="G46"/>
  <c r="M44"/>
  <c r="I44"/>
  <c r="L44" s="1"/>
  <c r="L43"/>
  <c r="K42"/>
  <c r="G42"/>
  <c r="L35"/>
  <c r="G94"/>
  <c r="K94"/>
  <c r="G88"/>
  <c r="K88"/>
  <c r="G86"/>
  <c r="K86"/>
  <c r="G84"/>
  <c r="K84"/>
  <c r="J30"/>
  <c r="G28"/>
  <c r="K26"/>
  <c r="G26"/>
  <c r="K24"/>
  <c r="G24"/>
  <c r="K22"/>
  <c r="G22"/>
  <c r="K20"/>
  <c r="G20"/>
  <c r="K18"/>
  <c r="K140" s="1"/>
  <c r="G18"/>
  <c r="M16"/>
  <c r="E147" s="1"/>
  <c r="AT52" i="20" s="1"/>
  <c r="V52" s="1"/>
  <c r="I14" i="21"/>
  <c r="L14" s="1"/>
  <c r="I12"/>
  <c r="L11"/>
  <c r="G40"/>
  <c r="K40"/>
  <c r="J40"/>
  <c r="I30"/>
  <c r="M30"/>
  <c r="H28"/>
  <c r="H26"/>
  <c r="H22"/>
  <c r="H18"/>
  <c r="H12"/>
  <c r="I146" i="22"/>
  <c r="L131"/>
  <c r="N131" s="1"/>
  <c r="L129"/>
  <c r="L127"/>
  <c r="L123"/>
  <c r="L115"/>
  <c r="L113"/>
  <c r="L111"/>
  <c r="L107"/>
  <c r="N107" s="1"/>
  <c r="L103"/>
  <c r="N103" s="1"/>
  <c r="L99"/>
  <c r="L95"/>
  <c r="L91"/>
  <c r="N91" s="1"/>
  <c r="L87"/>
  <c r="L83"/>
  <c r="J100"/>
  <c r="J92"/>
  <c r="L79"/>
  <c r="L75"/>
  <c r="L71"/>
  <c r="L67"/>
  <c r="L63"/>
  <c r="L59"/>
  <c r="L51"/>
  <c r="N51" s="1"/>
  <c r="L47"/>
  <c r="L43"/>
  <c r="L39"/>
  <c r="N39" s="1"/>
  <c r="L35"/>
  <c r="L31"/>
  <c r="N31" s="1"/>
  <c r="I100"/>
  <c r="I98"/>
  <c r="M98"/>
  <c r="I92"/>
  <c r="I90"/>
  <c r="I82"/>
  <c r="H70"/>
  <c r="H66"/>
  <c r="H54"/>
  <c r="H50"/>
  <c r="H38"/>
  <c r="H34"/>
  <c r="N7"/>
  <c r="N4"/>
  <c r="M30" s="1"/>
  <c r="J70"/>
  <c r="J66"/>
  <c r="J54"/>
  <c r="J50"/>
  <c r="J38"/>
  <c r="J34"/>
  <c r="I70"/>
  <c r="I68"/>
  <c r="G64"/>
  <c r="G54"/>
  <c r="I52"/>
  <c r="I50"/>
  <c r="G36"/>
  <c r="L36" s="1"/>
  <c r="I34"/>
  <c r="I32"/>
  <c r="L30" i="23"/>
  <c r="L22"/>
  <c r="M12" i="21"/>
  <c r="L41" i="22"/>
  <c r="L28" i="23"/>
  <c r="L20"/>
  <c r="L14"/>
  <c r="L133"/>
  <c r="L131"/>
  <c r="L129"/>
  <c r="L127"/>
  <c r="L125"/>
  <c r="L123"/>
  <c r="L121"/>
  <c r="L117"/>
  <c r="L115"/>
  <c r="L113"/>
  <c r="L111"/>
  <c r="L109"/>
  <c r="L107"/>
  <c r="L103"/>
  <c r="L99"/>
  <c r="L91"/>
  <c r="L87"/>
  <c r="L83"/>
  <c r="L79"/>
  <c r="L63"/>
  <c r="L81" i="21"/>
  <c r="N81" s="1"/>
  <c r="K144"/>
  <c r="L81" i="22"/>
  <c r="N81" s="1"/>
  <c r="M80"/>
  <c r="M60"/>
  <c r="M122"/>
  <c r="M41"/>
  <c r="M15"/>
  <c r="M87"/>
  <c r="M59"/>
  <c r="M20"/>
  <c r="M120" i="23"/>
  <c r="M130"/>
  <c r="M74"/>
  <c r="L71"/>
  <c r="L67"/>
  <c r="G145"/>
  <c r="G143" s="1"/>
  <c r="L105"/>
  <c r="L101"/>
  <c r="L97"/>
  <c r="L93"/>
  <c r="L89"/>
  <c r="J146"/>
  <c r="J145"/>
  <c r="M128"/>
  <c r="M110"/>
  <c r="M136"/>
  <c r="M122"/>
  <c r="M78"/>
  <c r="L77"/>
  <c r="L75"/>
  <c r="M66"/>
  <c r="L65"/>
  <c r="L57"/>
  <c r="L53"/>
  <c r="L49"/>
  <c r="L45"/>
  <c r="L41"/>
  <c r="L37"/>
  <c r="L33"/>
  <c r="M106"/>
  <c r="M102"/>
  <c r="M100"/>
  <c r="M96"/>
  <c r="M94"/>
  <c r="M92"/>
  <c r="M90"/>
  <c r="M88"/>
  <c r="M86"/>
  <c r="M11"/>
  <c r="M112"/>
  <c r="M134"/>
  <c r="M114"/>
  <c r="M135"/>
  <c r="M133"/>
  <c r="N133" s="1"/>
  <c r="M119"/>
  <c r="M108"/>
  <c r="M97"/>
  <c r="M77"/>
  <c r="M73"/>
  <c r="M69"/>
  <c r="M51"/>
  <c r="M49"/>
  <c r="M39"/>
  <c r="M33"/>
  <c r="M61"/>
  <c r="M31"/>
  <c r="M52"/>
  <c r="M50"/>
  <c r="M40"/>
  <c r="M34"/>
  <c r="M55"/>
  <c r="M65"/>
  <c r="M91"/>
  <c r="M105"/>
  <c r="M131"/>
  <c r="N69"/>
  <c r="M56"/>
  <c r="M57"/>
  <c r="M81"/>
  <c r="M103"/>
  <c r="N103" s="1"/>
  <c r="M107"/>
  <c r="H145"/>
  <c r="H143" s="1"/>
  <c r="AP10" i="20" s="1"/>
  <c r="I145" i="23"/>
  <c r="I143" s="1"/>
  <c r="AP11" i="20" s="1"/>
  <c r="M124" i="23"/>
  <c r="M118"/>
  <c r="M132"/>
  <c r="M126"/>
  <c r="M116"/>
  <c r="L81"/>
  <c r="M80"/>
  <c r="M76"/>
  <c r="M72"/>
  <c r="M64"/>
  <c r="M60"/>
  <c r="M29"/>
  <c r="M25"/>
  <c r="M21"/>
  <c r="M17"/>
  <c r="M15"/>
  <c r="K145"/>
  <c r="K143" s="1"/>
  <c r="AP13" i="20" s="1"/>
  <c r="J143" i="23"/>
  <c r="AP12" i="20" s="1"/>
  <c r="J140" i="23"/>
  <c r="J144"/>
  <c r="K144"/>
  <c r="K140"/>
  <c r="G144"/>
  <c r="G140"/>
  <c r="L11"/>
  <c r="L136"/>
  <c r="L134"/>
  <c r="N134" s="1"/>
  <c r="L132"/>
  <c r="L130"/>
  <c r="L128"/>
  <c r="L126"/>
  <c r="L124"/>
  <c r="L122"/>
  <c r="N122" s="1"/>
  <c r="L120"/>
  <c r="N120" s="1"/>
  <c r="L118"/>
  <c r="L116"/>
  <c r="L114"/>
  <c r="L112"/>
  <c r="L110"/>
  <c r="N110" s="1"/>
  <c r="L108"/>
  <c r="G146"/>
  <c r="L135"/>
  <c r="N135" s="1"/>
  <c r="L80"/>
  <c r="L76"/>
  <c r="L72"/>
  <c r="L68"/>
  <c r="N68" s="1"/>
  <c r="L64"/>
  <c r="L60"/>
  <c r="L31"/>
  <c r="L27"/>
  <c r="L23"/>
  <c r="N23" s="1"/>
  <c r="L19"/>
  <c r="N19" s="1"/>
  <c r="L13"/>
  <c r="N13" s="1"/>
  <c r="L58"/>
  <c r="L56"/>
  <c r="N56" s="1"/>
  <c r="L54"/>
  <c r="L52"/>
  <c r="L50"/>
  <c r="L48"/>
  <c r="L46"/>
  <c r="L44"/>
  <c r="L42"/>
  <c r="L40"/>
  <c r="N40" s="1"/>
  <c r="L38"/>
  <c r="L36"/>
  <c r="L34"/>
  <c r="L32"/>
  <c r="H140"/>
  <c r="H144"/>
  <c r="I144"/>
  <c r="I140"/>
  <c r="M129"/>
  <c r="M127"/>
  <c r="N127" s="1"/>
  <c r="M125"/>
  <c r="M123"/>
  <c r="N123" s="1"/>
  <c r="M121"/>
  <c r="M117"/>
  <c r="N117" s="1"/>
  <c r="M115"/>
  <c r="M113"/>
  <c r="N113" s="1"/>
  <c r="M111"/>
  <c r="M109"/>
  <c r="N109" s="1"/>
  <c r="M101"/>
  <c r="M99"/>
  <c r="M95"/>
  <c r="M93"/>
  <c r="M89"/>
  <c r="N89" s="1"/>
  <c r="M87"/>
  <c r="M85"/>
  <c r="N85" s="1"/>
  <c r="M83"/>
  <c r="N83" s="1"/>
  <c r="M79"/>
  <c r="M75"/>
  <c r="M71"/>
  <c r="M67"/>
  <c r="N67" s="1"/>
  <c r="M63"/>
  <c r="M59"/>
  <c r="M53"/>
  <c r="M47"/>
  <c r="N47" s="1"/>
  <c r="M45"/>
  <c r="M43"/>
  <c r="N43" s="1"/>
  <c r="M41"/>
  <c r="N41" s="1"/>
  <c r="M37"/>
  <c r="M35"/>
  <c r="N35" s="1"/>
  <c r="M30"/>
  <c r="N30" s="1"/>
  <c r="M28"/>
  <c r="M26"/>
  <c r="M24"/>
  <c r="M22"/>
  <c r="M20"/>
  <c r="M18"/>
  <c r="M16"/>
  <c r="E147" s="1"/>
  <c r="AP52" i="20" s="1"/>
  <c r="R52" s="1"/>
  <c r="M14" i="23"/>
  <c r="N14" s="1"/>
  <c r="M12"/>
  <c r="N5"/>
  <c r="L119"/>
  <c r="N119" s="1"/>
  <c r="L78"/>
  <c r="L74"/>
  <c r="N74" s="1"/>
  <c r="L70"/>
  <c r="N70" s="1"/>
  <c r="L66"/>
  <c r="N66" s="1"/>
  <c r="L62"/>
  <c r="L106"/>
  <c r="L104"/>
  <c r="N104" s="1"/>
  <c r="L102"/>
  <c r="N102" s="1"/>
  <c r="L100"/>
  <c r="L98"/>
  <c r="N98" s="1"/>
  <c r="L96"/>
  <c r="N96" s="1"/>
  <c r="L94"/>
  <c r="L92"/>
  <c r="N92" s="1"/>
  <c r="L90"/>
  <c r="L88"/>
  <c r="N88" s="1"/>
  <c r="L86"/>
  <c r="L84"/>
  <c r="N84" s="1"/>
  <c r="L82"/>
  <c r="N82" s="1"/>
  <c r="L29"/>
  <c r="N29" s="1"/>
  <c r="L25"/>
  <c r="L21"/>
  <c r="N21" s="1"/>
  <c r="L17"/>
  <c r="L15"/>
  <c r="M58"/>
  <c r="M54"/>
  <c r="M48"/>
  <c r="M46"/>
  <c r="M44"/>
  <c r="M42"/>
  <c r="M38"/>
  <c r="M36"/>
  <c r="M32"/>
  <c r="L18"/>
  <c r="L11" i="22"/>
  <c r="L135"/>
  <c r="N135" s="1"/>
  <c r="L27"/>
  <c r="L23"/>
  <c r="N23" s="1"/>
  <c r="L19"/>
  <c r="L15"/>
  <c r="L114"/>
  <c r="N114" s="1"/>
  <c r="L119"/>
  <c r="N119" s="1"/>
  <c r="L80"/>
  <c r="H147" i="21"/>
  <c r="AT39" i="20" s="1"/>
  <c r="V39" s="1"/>
  <c r="L16" i="21"/>
  <c r="J144"/>
  <c r="L132"/>
  <c r="L112"/>
  <c r="N112" s="1"/>
  <c r="L96"/>
  <c r="G146"/>
  <c r="L146" s="1"/>
  <c r="AT17" i="20" s="1"/>
  <c r="V17" s="1"/>
  <c r="L135" i="21"/>
  <c r="N135" s="1"/>
  <c r="L76"/>
  <c r="L56"/>
  <c r="L52"/>
  <c r="N52" s="1"/>
  <c r="H144"/>
  <c r="L119"/>
  <c r="N119" s="1"/>
  <c r="L28"/>
  <c r="G144"/>
  <c r="AT18" i="20" s="1"/>
  <c r="V18" s="1"/>
  <c r="L80" i="21" l="1"/>
  <c r="L68" i="22"/>
  <c r="N68" s="1"/>
  <c r="L82"/>
  <c r="L84"/>
  <c r="N84" s="1"/>
  <c r="L57"/>
  <c r="N57" s="1"/>
  <c r="L52"/>
  <c r="N52" s="1"/>
  <c r="L60" i="21"/>
  <c r="L105" i="22"/>
  <c r="H144"/>
  <c r="AR19" i="20" s="1"/>
  <c r="L130" i="22"/>
  <c r="N130" s="1"/>
  <c r="L70" i="21"/>
  <c r="N70" s="1"/>
  <c r="L32"/>
  <c r="G146" i="22"/>
  <c r="M113"/>
  <c r="N113" s="1"/>
  <c r="M36"/>
  <c r="L94" i="21"/>
  <c r="L108"/>
  <c r="N108" s="1"/>
  <c r="L120"/>
  <c r="L24" i="22"/>
  <c r="K144"/>
  <c r="AR22" i="20" s="1"/>
  <c r="L61" i="22"/>
  <c r="AP14" i="20"/>
  <c r="R10"/>
  <c r="R13"/>
  <c r="AP9"/>
  <c r="L143" i="23"/>
  <c r="I151"/>
  <c r="AQ20" i="20" s="1"/>
  <c r="S20" s="1"/>
  <c r="AP20"/>
  <c r="R20" s="1"/>
  <c r="R12"/>
  <c r="L114" i="21"/>
  <c r="N114" s="1"/>
  <c r="S39" i="20"/>
  <c r="S40" s="1"/>
  <c r="S41" s="1"/>
  <c r="AQ40"/>
  <c r="AQ41" s="1"/>
  <c r="AQ59" s="1"/>
  <c r="N26" i="23"/>
  <c r="N37"/>
  <c r="N93"/>
  <c r="H151"/>
  <c r="AQ19" i="20" s="1"/>
  <c r="AP19"/>
  <c r="AP28" s="1"/>
  <c r="N52" i="23"/>
  <c r="N31"/>
  <c r="N72"/>
  <c r="L146"/>
  <c r="AP17" i="20" s="1"/>
  <c r="R17" s="1"/>
  <c r="N114" i="23"/>
  <c r="N130"/>
  <c r="K151"/>
  <c r="AQ22" i="20" s="1"/>
  <c r="S22" s="1"/>
  <c r="AP22"/>
  <c r="R22" s="1"/>
  <c r="N81" i="23"/>
  <c r="N51"/>
  <c r="L90" i="22"/>
  <c r="L152" i="23"/>
  <c r="L133" i="22"/>
  <c r="N133" s="1"/>
  <c r="L29"/>
  <c r="L58"/>
  <c r="L88"/>
  <c r="J151" i="23"/>
  <c r="AQ21" i="20" s="1"/>
  <c r="S21" s="1"/>
  <c r="AP21"/>
  <c r="R21" s="1"/>
  <c r="L145" i="23"/>
  <c r="AP8" i="20" s="1"/>
  <c r="N25" i="23"/>
  <c r="N100"/>
  <c r="N62"/>
  <c r="N78"/>
  <c r="N22"/>
  <c r="N59"/>
  <c r="N75"/>
  <c r="N87"/>
  <c r="N99"/>
  <c r="N80"/>
  <c r="L144"/>
  <c r="AP18" i="20"/>
  <c r="R18" s="1"/>
  <c r="R11"/>
  <c r="N39" i="23"/>
  <c r="R39" i="20"/>
  <c r="R40" s="1"/>
  <c r="R41" s="1"/>
  <c r="AP40"/>
  <c r="AP41" s="1"/>
  <c r="G8" i="26"/>
  <c r="J26" i="20"/>
  <c r="K26"/>
  <c r="I8" i="26"/>
  <c r="Q38" i="20"/>
  <c r="L86" i="21"/>
  <c r="N60"/>
  <c r="L116"/>
  <c r="AT40" i="20"/>
  <c r="AT41" s="1"/>
  <c r="V40"/>
  <c r="V41" s="1"/>
  <c r="L30" i="22"/>
  <c r="N30" s="1"/>
  <c r="L28"/>
  <c r="I151"/>
  <c r="AS20" i="20" s="1"/>
  <c r="AR20"/>
  <c r="H151" i="21"/>
  <c r="AU19" i="20" s="1"/>
  <c r="W19" s="1"/>
  <c r="AT19"/>
  <c r="V19" s="1"/>
  <c r="J151" i="21"/>
  <c r="AU21" i="20" s="1"/>
  <c r="W21" s="1"/>
  <c r="AT21"/>
  <c r="V21" s="1"/>
  <c r="K151" i="21"/>
  <c r="AU22" i="20" s="1"/>
  <c r="W22" s="1"/>
  <c r="AT22"/>
  <c r="V22" s="1"/>
  <c r="L18" i="21"/>
  <c r="N18" s="1"/>
  <c r="L22"/>
  <c r="M12" i="22"/>
  <c r="M28"/>
  <c r="N28" s="1"/>
  <c r="M75"/>
  <c r="N75" s="1"/>
  <c r="M99"/>
  <c r="N99" s="1"/>
  <c r="M123"/>
  <c r="N123" s="1"/>
  <c r="M25"/>
  <c r="N25" s="1"/>
  <c r="M110"/>
  <c r="M130"/>
  <c r="M46"/>
  <c r="N46" s="1"/>
  <c r="M72"/>
  <c r="H140" i="21"/>
  <c r="L26"/>
  <c r="I144"/>
  <c r="L20"/>
  <c r="L24"/>
  <c r="L84"/>
  <c r="N84" s="1"/>
  <c r="L88"/>
  <c r="L42"/>
  <c r="L62"/>
  <c r="L78"/>
  <c r="L144"/>
  <c r="N59" i="22"/>
  <c r="L106"/>
  <c r="L110"/>
  <c r="L118"/>
  <c r="N118" s="1"/>
  <c r="L122"/>
  <c r="L126"/>
  <c r="L36" i="21"/>
  <c r="L82"/>
  <c r="L68"/>
  <c r="N68" s="1"/>
  <c r="L90"/>
  <c r="L100"/>
  <c r="H152"/>
  <c r="L147"/>
  <c r="L146" i="22"/>
  <c r="AR17" i="20" s="1"/>
  <c r="T17" s="1"/>
  <c r="L20" i="22"/>
  <c r="N20" s="1"/>
  <c r="L18"/>
  <c r="L30" i="21"/>
  <c r="N30" s="1"/>
  <c r="L46"/>
  <c r="L58"/>
  <c r="J140" i="22"/>
  <c r="N61"/>
  <c r="N49"/>
  <c r="N105"/>
  <c r="L117"/>
  <c r="L40"/>
  <c r="N40" s="1"/>
  <c r="L56"/>
  <c r="N56" s="1"/>
  <c r="L13"/>
  <c r="N13" s="1"/>
  <c r="L102"/>
  <c r="N41"/>
  <c r="G140" i="21"/>
  <c r="L44" i="22"/>
  <c r="L33"/>
  <c r="N33" s="1"/>
  <c r="G145"/>
  <c r="G143" s="1"/>
  <c r="AR9" i="20" s="1"/>
  <c r="L73" i="22"/>
  <c r="N73" s="1"/>
  <c r="L98"/>
  <c r="N98" s="1"/>
  <c r="M16"/>
  <c r="E147" s="1"/>
  <c r="AR52" i="20" s="1"/>
  <c r="M24" i="22"/>
  <c r="M43"/>
  <c r="N43" s="1"/>
  <c r="M67"/>
  <c r="N67" s="1"/>
  <c r="M83"/>
  <c r="N83" s="1"/>
  <c r="M93"/>
  <c r="M109"/>
  <c r="M117"/>
  <c r="M127"/>
  <c r="N127" s="1"/>
  <c r="M19"/>
  <c r="N19" s="1"/>
  <c r="M29"/>
  <c r="M53"/>
  <c r="M118"/>
  <c r="M126"/>
  <c r="N126" s="1"/>
  <c r="M136"/>
  <c r="M42"/>
  <c r="M54"/>
  <c r="M64"/>
  <c r="M76"/>
  <c r="L32"/>
  <c r="L64"/>
  <c r="J144"/>
  <c r="G144"/>
  <c r="L86"/>
  <c r="L60"/>
  <c r="N60" s="1"/>
  <c r="L72"/>
  <c r="L21"/>
  <c r="L94"/>
  <c r="L109"/>
  <c r="L12" i="21"/>
  <c r="N12" s="1"/>
  <c r="N44"/>
  <c r="L134" i="22"/>
  <c r="N134" s="1"/>
  <c r="N24" i="23"/>
  <c r="N28"/>
  <c r="N63"/>
  <c r="N95"/>
  <c r="N27"/>
  <c r="N131"/>
  <c r="N91"/>
  <c r="N55"/>
  <c r="N61"/>
  <c r="N97"/>
  <c r="N87" i="22"/>
  <c r="N97"/>
  <c r="L34"/>
  <c r="N34" s="1"/>
  <c r="L50"/>
  <c r="N50" s="1"/>
  <c r="K145"/>
  <c r="K143" s="1"/>
  <c r="AR13" i="20" s="1"/>
  <c r="L85" i="22"/>
  <c r="L101"/>
  <c r="L78"/>
  <c r="L42"/>
  <c r="L74"/>
  <c r="L96"/>
  <c r="L108"/>
  <c r="N108" s="1"/>
  <c r="L116"/>
  <c r="L120"/>
  <c r="L124"/>
  <c r="L128"/>
  <c r="L132"/>
  <c r="L136"/>
  <c r="L34" i="21"/>
  <c r="N34" s="1"/>
  <c r="M18"/>
  <c r="M67"/>
  <c r="N67" s="1"/>
  <c r="L40"/>
  <c r="N40" s="1"/>
  <c r="L26" i="22"/>
  <c r="L22"/>
  <c r="I140"/>
  <c r="G140"/>
  <c r="N73" i="23"/>
  <c r="K140" i="22"/>
  <c r="N29"/>
  <c r="L45"/>
  <c r="L77"/>
  <c r="N77" s="1"/>
  <c r="J145"/>
  <c r="J143" s="1"/>
  <c r="AR12" i="20" s="1"/>
  <c r="L93" i="22"/>
  <c r="L104"/>
  <c r="N104" s="1"/>
  <c r="L112"/>
  <c r="N112" s="1"/>
  <c r="L92" i="21"/>
  <c r="L50"/>
  <c r="N50" s="1"/>
  <c r="L66"/>
  <c r="L48"/>
  <c r="L64"/>
  <c r="L98"/>
  <c r="N98" s="1"/>
  <c r="L54" i="22"/>
  <c r="L66"/>
  <c r="H140"/>
  <c r="L70"/>
  <c r="N70" s="1"/>
  <c r="L100"/>
  <c r="L92"/>
  <c r="L74" i="21"/>
  <c r="L38"/>
  <c r="I140"/>
  <c r="N56"/>
  <c r="N80"/>
  <c r="L134"/>
  <c r="N134" s="1"/>
  <c r="N16"/>
  <c r="L38" i="22"/>
  <c r="N20" i="23"/>
  <c r="N79"/>
  <c r="N111"/>
  <c r="N115"/>
  <c r="N121"/>
  <c r="N125"/>
  <c r="N129"/>
  <c r="N107"/>
  <c r="N65"/>
  <c r="N105"/>
  <c r="M14" i="22"/>
  <c r="M18"/>
  <c r="M22"/>
  <c r="N22" s="1"/>
  <c r="M26"/>
  <c r="M35"/>
  <c r="N35" s="1"/>
  <c r="M47"/>
  <c r="N47" s="1"/>
  <c r="M63"/>
  <c r="N63" s="1"/>
  <c r="M71"/>
  <c r="N71" s="1"/>
  <c r="M79"/>
  <c r="N79" s="1"/>
  <c r="M85"/>
  <c r="N85" s="1"/>
  <c r="M89"/>
  <c r="N89" s="1"/>
  <c r="M95"/>
  <c r="N95" s="1"/>
  <c r="M101"/>
  <c r="M111"/>
  <c r="N111" s="1"/>
  <c r="M115"/>
  <c r="N115" s="1"/>
  <c r="M121"/>
  <c r="N121" s="1"/>
  <c r="M125"/>
  <c r="N125" s="1"/>
  <c r="M129"/>
  <c r="N129" s="1"/>
  <c r="M17"/>
  <c r="N17" s="1"/>
  <c r="M21"/>
  <c r="N21" s="1"/>
  <c r="M27"/>
  <c r="N27" s="1"/>
  <c r="M37"/>
  <c r="M45"/>
  <c r="M106"/>
  <c r="M116"/>
  <c r="M120"/>
  <c r="M124"/>
  <c r="N124" s="1"/>
  <c r="M128"/>
  <c r="M132"/>
  <c r="N5"/>
  <c r="M38"/>
  <c r="M44"/>
  <c r="M48"/>
  <c r="N48" s="1"/>
  <c r="M58"/>
  <c r="M62"/>
  <c r="N62" s="1"/>
  <c r="M66"/>
  <c r="N66" s="1"/>
  <c r="M74"/>
  <c r="M78"/>
  <c r="I145"/>
  <c r="I143" s="1"/>
  <c r="AR11" i="20" s="1"/>
  <c r="M72" i="21"/>
  <c r="N72" s="1"/>
  <c r="M76"/>
  <c r="N76" s="1"/>
  <c r="L37" i="22"/>
  <c r="L53"/>
  <c r="L69"/>
  <c r="N69" s="1"/>
  <c r="N57" i="23"/>
  <c r="N33"/>
  <c r="N49"/>
  <c r="N77"/>
  <c r="H145" i="22"/>
  <c r="H143" s="1"/>
  <c r="G145" i="21"/>
  <c r="G143" s="1"/>
  <c r="L14" i="22"/>
  <c r="N14" s="1"/>
  <c r="L12"/>
  <c r="K145" i="21"/>
  <c r="K143" s="1"/>
  <c r="J145"/>
  <c r="J143" s="1"/>
  <c r="AT12" i="20" s="1"/>
  <c r="H145" i="21"/>
  <c r="H143" s="1"/>
  <c r="M32" i="22"/>
  <c r="M11"/>
  <c r="M86"/>
  <c r="M88"/>
  <c r="N88" s="1"/>
  <c r="M94"/>
  <c r="M96"/>
  <c r="N96" s="1"/>
  <c r="M102"/>
  <c r="H147"/>
  <c r="AR39" i="20" s="1"/>
  <c r="L16" i="22"/>
  <c r="I145" i="21"/>
  <c r="I143" s="1"/>
  <c r="AT11" i="20" s="1"/>
  <c r="V11" s="1"/>
  <c r="M132" i="21"/>
  <c r="N132" s="1"/>
  <c r="M124"/>
  <c r="N124" s="1"/>
  <c r="M116"/>
  <c r="N116" s="1"/>
  <c r="M26"/>
  <c r="N26" s="1"/>
  <c r="N5"/>
  <c r="M15"/>
  <c r="N15" s="1"/>
  <c r="M19"/>
  <c r="N19" s="1"/>
  <c r="M25"/>
  <c r="N25" s="1"/>
  <c r="M83"/>
  <c r="N83" s="1"/>
  <c r="M87"/>
  <c r="N87" s="1"/>
  <c r="M93"/>
  <c r="N93" s="1"/>
  <c r="M99"/>
  <c r="N99" s="1"/>
  <c r="M109"/>
  <c r="N109" s="1"/>
  <c r="M113"/>
  <c r="N113" s="1"/>
  <c r="M117"/>
  <c r="N117" s="1"/>
  <c r="M123"/>
  <c r="N123" s="1"/>
  <c r="M127"/>
  <c r="N127" s="1"/>
  <c r="M35"/>
  <c r="N35" s="1"/>
  <c r="M41"/>
  <c r="N41" s="1"/>
  <c r="M45"/>
  <c r="N45" s="1"/>
  <c r="M53"/>
  <c r="N53" s="1"/>
  <c r="M63"/>
  <c r="N63" s="1"/>
  <c r="M71"/>
  <c r="N71" s="1"/>
  <c r="M79"/>
  <c r="N79" s="1"/>
  <c r="M100"/>
  <c r="N100" s="1"/>
  <c r="M32"/>
  <c r="N32" s="1"/>
  <c r="M36"/>
  <c r="N36" s="1"/>
  <c r="M38"/>
  <c r="M48"/>
  <c r="M64"/>
  <c r="M17"/>
  <c r="N17" s="1"/>
  <c r="M21"/>
  <c r="N21" s="1"/>
  <c r="M85"/>
  <c r="N85" s="1"/>
  <c r="M95"/>
  <c r="N95" s="1"/>
  <c r="M111"/>
  <c r="N111" s="1"/>
  <c r="M115"/>
  <c r="N115" s="1"/>
  <c r="M125"/>
  <c r="N125" s="1"/>
  <c r="M14"/>
  <c r="N14" s="1"/>
  <c r="M24"/>
  <c r="M37"/>
  <c r="N37" s="1"/>
  <c r="M47"/>
  <c r="N47" s="1"/>
  <c r="M96"/>
  <c r="N96" s="1"/>
  <c r="M110"/>
  <c r="N110" s="1"/>
  <c r="M122"/>
  <c r="N122" s="1"/>
  <c r="M130"/>
  <c r="N130" s="1"/>
  <c r="M28"/>
  <c r="N28" s="1"/>
  <c r="M86"/>
  <c r="N86" s="1"/>
  <c r="M90"/>
  <c r="M94"/>
  <c r="N94" s="1"/>
  <c r="M42"/>
  <c r="N42" s="1"/>
  <c r="M54"/>
  <c r="N54" s="1"/>
  <c r="M58"/>
  <c r="M66"/>
  <c r="M78"/>
  <c r="N78" s="1"/>
  <c r="M11"/>
  <c r="M27"/>
  <c r="N27" s="1"/>
  <c r="M89"/>
  <c r="N89" s="1"/>
  <c r="M101"/>
  <c r="N101" s="1"/>
  <c r="M121"/>
  <c r="M129"/>
  <c r="N129" s="1"/>
  <c r="M20"/>
  <c r="N20" s="1"/>
  <c r="M29"/>
  <c r="N29" s="1"/>
  <c r="M43"/>
  <c r="N43" s="1"/>
  <c r="M59"/>
  <c r="N59" s="1"/>
  <c r="M75"/>
  <c r="N75" s="1"/>
  <c r="M102"/>
  <c r="N102" s="1"/>
  <c r="M118"/>
  <c r="N118" s="1"/>
  <c r="M126"/>
  <c r="N126" s="1"/>
  <c r="M136"/>
  <c r="N136" s="1"/>
  <c r="M82"/>
  <c r="M88"/>
  <c r="M92"/>
  <c r="M46"/>
  <c r="N46" s="1"/>
  <c r="M62"/>
  <c r="N62" s="1"/>
  <c r="M74"/>
  <c r="M82" i="22"/>
  <c r="M90"/>
  <c r="M92"/>
  <c r="M100"/>
  <c r="N100" s="1"/>
  <c r="N121" i="21"/>
  <c r="M128"/>
  <c r="N128" s="1"/>
  <c r="M120"/>
  <c r="M106"/>
  <c r="N106" s="1"/>
  <c r="M22"/>
  <c r="N36" i="22"/>
  <c r="N72"/>
  <c r="N76"/>
  <c r="N80"/>
  <c r="N122"/>
  <c r="N15"/>
  <c r="N17" i="23"/>
  <c r="N86"/>
  <c r="N90"/>
  <c r="N94"/>
  <c r="N106"/>
  <c r="N45"/>
  <c r="N53"/>
  <c r="N71"/>
  <c r="N101"/>
  <c r="N34"/>
  <c r="N50"/>
  <c r="N60"/>
  <c r="N108"/>
  <c r="N112"/>
  <c r="N116"/>
  <c r="N124"/>
  <c r="N128"/>
  <c r="N132"/>
  <c r="N136"/>
  <c r="N64"/>
  <c r="N118"/>
  <c r="N126"/>
  <c r="N15"/>
  <c r="N76"/>
  <c r="N18"/>
  <c r="G148"/>
  <c r="M138"/>
  <c r="L140"/>
  <c r="N11"/>
  <c r="J150"/>
  <c r="J148"/>
  <c r="N38"/>
  <c r="N42"/>
  <c r="N46"/>
  <c r="N54"/>
  <c r="N58"/>
  <c r="N16"/>
  <c r="E144"/>
  <c r="AP51" i="20" s="1"/>
  <c r="R51" s="1"/>
  <c r="H150" i="23"/>
  <c r="H148"/>
  <c r="I150"/>
  <c r="I148"/>
  <c r="K150"/>
  <c r="K148"/>
  <c r="E143"/>
  <c r="AP50" i="20" s="1"/>
  <c r="N32" i="23"/>
  <c r="N36"/>
  <c r="N44"/>
  <c r="N48"/>
  <c r="N12"/>
  <c r="N11" i="22"/>
  <c r="I150" i="21"/>
  <c r="N12" i="22" l="1"/>
  <c r="N48" i="21"/>
  <c r="N102" i="22"/>
  <c r="K151"/>
  <c r="AS22" i="20" s="1"/>
  <c r="N22" i="21"/>
  <c r="N38"/>
  <c r="N24" i="22"/>
  <c r="N82"/>
  <c r="N16"/>
  <c r="N54"/>
  <c r="N109"/>
  <c r="H151"/>
  <c r="AS19" i="20" s="1"/>
  <c r="N90" i="21"/>
  <c r="H148" i="22"/>
  <c r="J148" i="21"/>
  <c r="N58"/>
  <c r="N132" i="22"/>
  <c r="N116"/>
  <c r="AP31" i="20"/>
  <c r="N120" i="21"/>
  <c r="N110" i="22"/>
  <c r="L140" i="21"/>
  <c r="R29" i="20"/>
  <c r="N42" i="22"/>
  <c r="G151" i="23"/>
  <c r="N90" i="22"/>
  <c r="N82" i="21"/>
  <c r="AP29" i="20"/>
  <c r="R30"/>
  <c r="J153" i="23"/>
  <c r="AQ12" i="20"/>
  <c r="L151" i="23"/>
  <c r="AQ18" i="20"/>
  <c r="S18" s="1"/>
  <c r="I148" i="21"/>
  <c r="J150"/>
  <c r="J153" s="1"/>
  <c r="R50" i="20"/>
  <c r="R53" s="1"/>
  <c r="AP53"/>
  <c r="I153" i="23"/>
  <c r="AQ11" i="20"/>
  <c r="E144" i="22"/>
  <c r="AR51" i="20" s="1"/>
  <c r="T51" s="1"/>
  <c r="N74" i="21"/>
  <c r="N88"/>
  <c r="N24"/>
  <c r="N94" i="22"/>
  <c r="N32"/>
  <c r="N44"/>
  <c r="N128"/>
  <c r="N106"/>
  <c r="N26"/>
  <c r="R19" i="20"/>
  <c r="R23" s="1"/>
  <c r="R24" s="1"/>
  <c r="AP23"/>
  <c r="AP24" s="1"/>
  <c r="AP30"/>
  <c r="L148" i="23"/>
  <c r="R14" i="20"/>
  <c r="R8"/>
  <c r="R26" s="1"/>
  <c r="AP26"/>
  <c r="S19"/>
  <c r="S23" s="1"/>
  <c r="AQ23"/>
  <c r="R9"/>
  <c r="R27" s="1"/>
  <c r="AP27"/>
  <c r="K153" i="23"/>
  <c r="AQ13" i="20"/>
  <c r="H153" i="23"/>
  <c r="AQ10" i="20"/>
  <c r="N66" i="21"/>
  <c r="N86" i="22"/>
  <c r="N78"/>
  <c r="N58"/>
  <c r="N120"/>
  <c r="N18"/>
  <c r="N93"/>
  <c r="R31" i="20"/>
  <c r="AP15"/>
  <c r="I26" i="26"/>
  <c r="K8"/>
  <c r="G26"/>
  <c r="H8"/>
  <c r="H26" s="1"/>
  <c r="T11" i="20"/>
  <c r="T12"/>
  <c r="T13"/>
  <c r="T9"/>
  <c r="U22"/>
  <c r="U19"/>
  <c r="U20"/>
  <c r="N136" i="22"/>
  <c r="T52" i="20"/>
  <c r="T22"/>
  <c r="T19"/>
  <c r="T20"/>
  <c r="T29" s="1"/>
  <c r="AR40"/>
  <c r="AR41" s="1"/>
  <c r="T39"/>
  <c r="AT30"/>
  <c r="V12"/>
  <c r="V30" s="1"/>
  <c r="AR29"/>
  <c r="AR31"/>
  <c r="AU11"/>
  <c r="W11" s="1"/>
  <c r="H150" i="22"/>
  <c r="AS10" i="20" s="1"/>
  <c r="AR10"/>
  <c r="J151" i="22"/>
  <c r="AR21" i="20"/>
  <c r="L152" i="21"/>
  <c r="AU39" i="20"/>
  <c r="I151" i="21"/>
  <c r="AT20" i="20"/>
  <c r="AT29" s="1"/>
  <c r="N64" i="21"/>
  <c r="AU12" i="20"/>
  <c r="H148" i="21"/>
  <c r="AT10" i="20"/>
  <c r="V10" s="1"/>
  <c r="K150" i="21"/>
  <c r="AT13" i="20"/>
  <c r="G148" i="21"/>
  <c r="AT9" i="20"/>
  <c r="L144" i="22"/>
  <c r="AR18" i="20"/>
  <c r="L143" i="22"/>
  <c r="N117"/>
  <c r="H152"/>
  <c r="L147"/>
  <c r="L143" i="21"/>
  <c r="L145" i="22"/>
  <c r="AR8" i="20" s="1"/>
  <c r="L145" i="21"/>
  <c r="AT8" i="20" s="1"/>
  <c r="N64" i="22"/>
  <c r="G148"/>
  <c r="N53"/>
  <c r="I150"/>
  <c r="I148"/>
  <c r="N45"/>
  <c r="K150"/>
  <c r="K148"/>
  <c r="H150" i="21"/>
  <c r="K148"/>
  <c r="E143" i="22"/>
  <c r="N92"/>
  <c r="N92" i="21"/>
  <c r="N74" i="22"/>
  <c r="N101"/>
  <c r="J150"/>
  <c r="J148"/>
  <c r="L140"/>
  <c r="N37"/>
  <c r="N38"/>
  <c r="E144" i="21"/>
  <c r="AT51" i="20" s="1"/>
  <c r="V51" s="1"/>
  <c r="M138" i="21"/>
  <c r="N11"/>
  <c r="M138" i="22"/>
  <c r="E143" i="21"/>
  <c r="AT50" i="20" s="1"/>
  <c r="E148" i="23"/>
  <c r="C164"/>
  <c r="N138"/>
  <c r="AP32" i="20" l="1"/>
  <c r="AP46" s="1"/>
  <c r="H153" i="22"/>
  <c r="AQ24" i="20"/>
  <c r="G150" i="23"/>
  <c r="AQ9" i="20" s="1"/>
  <c r="S9" s="1"/>
  <c r="S27" s="1"/>
  <c r="S45" s="1"/>
  <c r="R28"/>
  <c r="AQ27"/>
  <c r="AQ45" s="1"/>
  <c r="AQ28"/>
  <c r="S10"/>
  <c r="AQ14"/>
  <c r="AQ15" s="1"/>
  <c r="R32"/>
  <c r="AP45"/>
  <c r="R15"/>
  <c r="S12"/>
  <c r="S30" s="1"/>
  <c r="AQ30"/>
  <c r="S24"/>
  <c r="S11"/>
  <c r="S29" s="1"/>
  <c r="AQ29"/>
  <c r="S13"/>
  <c r="S31" s="1"/>
  <c r="AQ31"/>
  <c r="R45"/>
  <c r="L8" i="26"/>
  <c r="K26"/>
  <c r="T10" i="20"/>
  <c r="T14" s="1"/>
  <c r="T15" s="1"/>
  <c r="T40"/>
  <c r="T41" s="1"/>
  <c r="U10"/>
  <c r="T31"/>
  <c r="AR27"/>
  <c r="T18"/>
  <c r="AT27"/>
  <c r="V9"/>
  <c r="V27" s="1"/>
  <c r="AT31"/>
  <c r="V13"/>
  <c r="V31" s="1"/>
  <c r="V28"/>
  <c r="AU30"/>
  <c r="W12"/>
  <c r="W30" s="1"/>
  <c r="U28"/>
  <c r="L148" i="22"/>
  <c r="C163" i="23" s="1"/>
  <c r="L148" i="21"/>
  <c r="C162" i="23" s="1"/>
  <c r="AT53" i="20"/>
  <c r="V50"/>
  <c r="V53" s="1"/>
  <c r="AT26"/>
  <c r="V8"/>
  <c r="V26" s="1"/>
  <c r="AR26"/>
  <c r="T8"/>
  <c r="AT23"/>
  <c r="AT24" s="1"/>
  <c r="V20"/>
  <c r="AU40"/>
  <c r="AU41" s="1"/>
  <c r="AU59" s="1"/>
  <c r="W39"/>
  <c r="W40" s="1"/>
  <c r="W41" s="1"/>
  <c r="AR23"/>
  <c r="AR24" s="1"/>
  <c r="T21"/>
  <c r="J153" i="22"/>
  <c r="AS12" i="20"/>
  <c r="I153" i="22"/>
  <c r="AS11" i="20"/>
  <c r="AT14"/>
  <c r="AT15" s="1"/>
  <c r="AT28"/>
  <c r="AU20"/>
  <c r="G151" i="21"/>
  <c r="AS21" i="20"/>
  <c r="G151" i="22"/>
  <c r="AS28" i="20"/>
  <c r="AR30"/>
  <c r="I153" i="21"/>
  <c r="AR50" i="20"/>
  <c r="H153" i="21"/>
  <c r="AU10" i="20"/>
  <c r="W10" s="1"/>
  <c r="K153" i="22"/>
  <c r="AS13" i="20"/>
  <c r="L152" i="22"/>
  <c r="AS39" i="20"/>
  <c r="U39" s="1"/>
  <c r="K153" i="21"/>
  <c r="AU13" i="20"/>
  <c r="AR28"/>
  <c r="AR14"/>
  <c r="AR15" s="1"/>
  <c r="N138" i="21"/>
  <c r="E148" i="22"/>
  <c r="N138"/>
  <c r="E148" i="21"/>
  <c r="G153" i="23"/>
  <c r="L150"/>
  <c r="L153" s="1"/>
  <c r="D164" s="1"/>
  <c r="V14" i="20" l="1"/>
  <c r="AP33"/>
  <c r="AP43" s="1"/>
  <c r="T28"/>
  <c r="AR32"/>
  <c r="AR46" s="1"/>
  <c r="S28"/>
  <c r="S32" s="1"/>
  <c r="S14"/>
  <c r="S15" s="1"/>
  <c r="AP47"/>
  <c r="R46"/>
  <c r="R47" s="1"/>
  <c r="R33"/>
  <c r="R43" s="1"/>
  <c r="AQ32"/>
  <c r="M8" i="26"/>
  <c r="M26" s="1"/>
  <c r="L26"/>
  <c r="AT45" i="20"/>
  <c r="T26"/>
  <c r="U12"/>
  <c r="AU29"/>
  <c r="AT32"/>
  <c r="AT46" s="1"/>
  <c r="AT47" s="1"/>
  <c r="AR45"/>
  <c r="T27"/>
  <c r="T45" s="1"/>
  <c r="G150" i="22"/>
  <c r="AS9" i="20" s="1"/>
  <c r="V45"/>
  <c r="C165" i="23"/>
  <c r="AU31" i="20"/>
  <c r="W13"/>
  <c r="W31" s="1"/>
  <c r="W28"/>
  <c r="AR53"/>
  <c r="T50"/>
  <c r="AS29"/>
  <c r="U11"/>
  <c r="AS40"/>
  <c r="AS41" s="1"/>
  <c r="AS59" s="1"/>
  <c r="AS31"/>
  <c r="U13"/>
  <c r="AS23"/>
  <c r="U21"/>
  <c r="AU23"/>
  <c r="W20"/>
  <c r="T30"/>
  <c r="T23"/>
  <c r="T24" s="1"/>
  <c r="V23"/>
  <c r="V24" s="1"/>
  <c r="V29"/>
  <c r="V32" s="1"/>
  <c r="V15"/>
  <c r="AS30"/>
  <c r="L150" i="22"/>
  <c r="AR33" i="20"/>
  <c r="AR43" s="1"/>
  <c r="G150" i="21"/>
  <c r="AS14" i="20"/>
  <c r="AU14"/>
  <c r="AU28"/>
  <c r="AS18"/>
  <c r="L151" i="22"/>
  <c r="L151" i="21"/>
  <c r="AU18" i="20"/>
  <c r="T32" l="1"/>
  <c r="T33" s="1"/>
  <c r="T43" s="1"/>
  <c r="AT33"/>
  <c r="AT43" s="1"/>
  <c r="AR47"/>
  <c r="AQ33"/>
  <c r="AQ46"/>
  <c r="AQ47" s="1"/>
  <c r="B16" i="25" s="1"/>
  <c r="S33" i="20"/>
  <c r="S43" s="1"/>
  <c r="S46"/>
  <c r="S47" s="1"/>
  <c r="C16" i="25" s="1"/>
  <c r="U31" i="20"/>
  <c r="U40"/>
  <c r="U41" s="1"/>
  <c r="Q39"/>
  <c r="AU32"/>
  <c r="AU46" s="1"/>
  <c r="AS15"/>
  <c r="G153" i="22"/>
  <c r="U9" i="20"/>
  <c r="U23"/>
  <c r="T53"/>
  <c r="W14"/>
  <c r="U30"/>
  <c r="AS32"/>
  <c r="AS46" s="1"/>
  <c r="V46"/>
  <c r="V47" s="1"/>
  <c r="V33"/>
  <c r="V43" s="1"/>
  <c r="AU24"/>
  <c r="W18"/>
  <c r="AS24"/>
  <c r="U18"/>
  <c r="U24" s="1"/>
  <c r="W23"/>
  <c r="W29"/>
  <c r="W32" s="1"/>
  <c r="U29"/>
  <c r="U14"/>
  <c r="L153" i="22"/>
  <c r="D163" i="23" s="1"/>
  <c r="AS27" i="20"/>
  <c r="AS45" s="1"/>
  <c r="AU9"/>
  <c r="G153" i="21"/>
  <c r="L150"/>
  <c r="L153" s="1"/>
  <c r="D162" i="23" s="1"/>
  <c r="D165" s="1"/>
  <c r="T46" i="20" l="1"/>
  <c r="T47" s="1"/>
  <c r="AQ43"/>
  <c r="AQ58"/>
  <c r="AQ60" s="1"/>
  <c r="D16" i="25"/>
  <c r="U32" i="20"/>
  <c r="U15"/>
  <c r="U27"/>
  <c r="U45" s="1"/>
  <c r="AS33"/>
  <c r="W24"/>
  <c r="AU27"/>
  <c r="AU45" s="1"/>
  <c r="AU47" s="1"/>
  <c r="B14" i="25" s="1"/>
  <c r="W9" i="20"/>
  <c r="U46"/>
  <c r="W46"/>
  <c r="AS47"/>
  <c r="AU15"/>
  <c r="U33" l="1"/>
  <c r="U43" s="1"/>
  <c r="AS43"/>
  <c r="AS58"/>
  <c r="AS60" s="1"/>
  <c r="U47"/>
  <c r="C15" i="25" s="1"/>
  <c r="P40" i="20"/>
  <c r="P41" s="1"/>
  <c r="B15" i="25"/>
  <c r="W27" i="20"/>
  <c r="W15"/>
  <c r="AU33"/>
  <c r="F136" i="19"/>
  <c r="M136" s="1"/>
  <c r="F135"/>
  <c r="J135" s="1"/>
  <c r="F134"/>
  <c r="J134" s="1"/>
  <c r="F133"/>
  <c r="J133" s="1"/>
  <c r="F132"/>
  <c r="J132" s="1"/>
  <c r="F131"/>
  <c r="J131" s="1"/>
  <c r="F130"/>
  <c r="J130" s="1"/>
  <c r="F129"/>
  <c r="J129" s="1"/>
  <c r="F128"/>
  <c r="J128" s="1"/>
  <c r="F127"/>
  <c r="J127" s="1"/>
  <c r="F126"/>
  <c r="J126" s="1"/>
  <c r="F125"/>
  <c r="J125" s="1"/>
  <c r="F124"/>
  <c r="J124" s="1"/>
  <c r="F123"/>
  <c r="J123" s="1"/>
  <c r="F122"/>
  <c r="J122" s="1"/>
  <c r="F121"/>
  <c r="J121" s="1"/>
  <c r="F120"/>
  <c r="J120" s="1"/>
  <c r="F119"/>
  <c r="J119" s="1"/>
  <c r="F118"/>
  <c r="J118" s="1"/>
  <c r="F117"/>
  <c r="J117" s="1"/>
  <c r="F116"/>
  <c r="J116" s="1"/>
  <c r="F115"/>
  <c r="J115" s="1"/>
  <c r="F114"/>
  <c r="J114" s="1"/>
  <c r="F113"/>
  <c r="J113" s="1"/>
  <c r="F112"/>
  <c r="J112" s="1"/>
  <c r="F111"/>
  <c r="J111" s="1"/>
  <c r="F110"/>
  <c r="J110" s="1"/>
  <c r="F109"/>
  <c r="J109" s="1"/>
  <c r="F108"/>
  <c r="J108" s="1"/>
  <c r="F107"/>
  <c r="J107" s="1"/>
  <c r="F106"/>
  <c r="J106" s="1"/>
  <c r="F105"/>
  <c r="J105" s="1"/>
  <c r="F104"/>
  <c r="J104" s="1"/>
  <c r="F103"/>
  <c r="J103" s="1"/>
  <c r="F102"/>
  <c r="J102" s="1"/>
  <c r="F101"/>
  <c r="F100"/>
  <c r="J100" s="1"/>
  <c r="F99"/>
  <c r="F98"/>
  <c r="J98" s="1"/>
  <c r="F97"/>
  <c r="F96"/>
  <c r="J96" s="1"/>
  <c r="F95"/>
  <c r="H95" s="1"/>
  <c r="F94"/>
  <c r="J94" s="1"/>
  <c r="F93"/>
  <c r="H93" s="1"/>
  <c r="F92"/>
  <c r="J92" s="1"/>
  <c r="F91"/>
  <c r="H91" s="1"/>
  <c r="F90"/>
  <c r="J90" s="1"/>
  <c r="F89"/>
  <c r="H89" s="1"/>
  <c r="F88"/>
  <c r="J88" s="1"/>
  <c r="F87"/>
  <c r="H87" s="1"/>
  <c r="F86"/>
  <c r="J86" s="1"/>
  <c r="F85"/>
  <c r="H85" s="1"/>
  <c r="F84"/>
  <c r="J84" s="1"/>
  <c r="F83"/>
  <c r="H83" s="1"/>
  <c r="F82"/>
  <c r="J82" s="1"/>
  <c r="F81"/>
  <c r="H81" s="1"/>
  <c r="F80"/>
  <c r="J80" s="1"/>
  <c r="F79"/>
  <c r="H79" s="1"/>
  <c r="F78"/>
  <c r="J78" s="1"/>
  <c r="F77"/>
  <c r="H77" s="1"/>
  <c r="F76"/>
  <c r="J76" s="1"/>
  <c r="F75"/>
  <c r="H75" s="1"/>
  <c r="F74"/>
  <c r="J74" s="1"/>
  <c r="F73"/>
  <c r="M73" s="1"/>
  <c r="F72"/>
  <c r="J72" s="1"/>
  <c r="F71"/>
  <c r="J71" s="1"/>
  <c r="F70"/>
  <c r="J70" s="1"/>
  <c r="F69"/>
  <c r="J69" s="1"/>
  <c r="F68"/>
  <c r="J68" s="1"/>
  <c r="F67"/>
  <c r="J67" s="1"/>
  <c r="F66"/>
  <c r="J66" s="1"/>
  <c r="F65"/>
  <c r="J65" s="1"/>
  <c r="F64"/>
  <c r="J64" s="1"/>
  <c r="F63"/>
  <c r="J63" s="1"/>
  <c r="F62"/>
  <c r="J62" s="1"/>
  <c r="F61"/>
  <c r="J61" s="1"/>
  <c r="F60"/>
  <c r="J60" s="1"/>
  <c r="F59"/>
  <c r="J59" s="1"/>
  <c r="F58"/>
  <c r="J58" s="1"/>
  <c r="F57"/>
  <c r="J57" s="1"/>
  <c r="F56"/>
  <c r="M56" s="1"/>
  <c r="F55"/>
  <c r="J55" s="1"/>
  <c r="F54"/>
  <c r="F53"/>
  <c r="J53" s="1"/>
  <c r="F52"/>
  <c r="M52" s="1"/>
  <c r="F51"/>
  <c r="J51" s="1"/>
  <c r="F50"/>
  <c r="M50" s="1"/>
  <c r="F49"/>
  <c r="J49" s="1"/>
  <c r="F48"/>
  <c r="F47"/>
  <c r="J47" s="1"/>
  <c r="F46"/>
  <c r="M46" s="1"/>
  <c r="F45"/>
  <c r="J45" s="1"/>
  <c r="F44"/>
  <c r="F43"/>
  <c r="J43" s="1"/>
  <c r="F42"/>
  <c r="M42" s="1"/>
  <c r="F41"/>
  <c r="J41" s="1"/>
  <c r="F40"/>
  <c r="M40" s="1"/>
  <c r="F39"/>
  <c r="J39" s="1"/>
  <c r="F38"/>
  <c r="M38" s="1"/>
  <c r="F37"/>
  <c r="J37" s="1"/>
  <c r="F36"/>
  <c r="F35"/>
  <c r="J35" s="1"/>
  <c r="F34"/>
  <c r="M34" s="1"/>
  <c r="F33"/>
  <c r="J33" s="1"/>
  <c r="F32"/>
  <c r="M32" s="1"/>
  <c r="F31"/>
  <c r="J31" s="1"/>
  <c r="F30"/>
  <c r="M30" s="1"/>
  <c r="F29"/>
  <c r="J29" s="1"/>
  <c r="F28"/>
  <c r="M28" s="1"/>
  <c r="F27"/>
  <c r="J27" s="1"/>
  <c r="F26"/>
  <c r="F25"/>
  <c r="J25" s="1"/>
  <c r="F24"/>
  <c r="F23"/>
  <c r="J23" s="1"/>
  <c r="F22"/>
  <c r="M22" s="1"/>
  <c r="G21"/>
  <c r="F21"/>
  <c r="J21" s="1"/>
  <c r="F20"/>
  <c r="M20" s="1"/>
  <c r="F19"/>
  <c r="J19" s="1"/>
  <c r="F18"/>
  <c r="F17"/>
  <c r="J17" s="1"/>
  <c r="G16"/>
  <c r="G147" s="1"/>
  <c r="F16"/>
  <c r="G152" s="1"/>
  <c r="AE38" i="20" s="1"/>
  <c r="F15" i="19"/>
  <c r="F14"/>
  <c r="J14" s="1"/>
  <c r="F13"/>
  <c r="H13" s="1"/>
  <c r="F12"/>
  <c r="J12" s="1"/>
  <c r="F11"/>
  <c r="E7"/>
  <c r="G27" l="1"/>
  <c r="G29"/>
  <c r="AU43" i="20"/>
  <c r="AU58"/>
  <c r="AU60" s="1"/>
  <c r="AD38"/>
  <c r="G66" i="19"/>
  <c r="G23"/>
  <c r="G25"/>
  <c r="G80"/>
  <c r="G90"/>
  <c r="Q40" i="20"/>
  <c r="Q41" s="1"/>
  <c r="W45"/>
  <c r="W47" s="1"/>
  <c r="W33"/>
  <c r="W43" s="1"/>
  <c r="D15" i="25"/>
  <c r="K21" i="19"/>
  <c r="K23"/>
  <c r="K25"/>
  <c r="K27"/>
  <c r="K29"/>
  <c r="H32"/>
  <c r="G33"/>
  <c r="G35"/>
  <c r="G47"/>
  <c r="G55"/>
  <c r="K66"/>
  <c r="G76"/>
  <c r="K80"/>
  <c r="G86"/>
  <c r="K90"/>
  <c r="G96"/>
  <c r="G98"/>
  <c r="G100"/>
  <c r="G102"/>
  <c r="G104"/>
  <c r="G106"/>
  <c r="G108"/>
  <c r="G110"/>
  <c r="G112"/>
  <c r="G114"/>
  <c r="G116"/>
  <c r="G118"/>
  <c r="G120"/>
  <c r="G122"/>
  <c r="G124"/>
  <c r="G126"/>
  <c r="G128"/>
  <c r="G130"/>
  <c r="G132"/>
  <c r="G134"/>
  <c r="K33"/>
  <c r="K35"/>
  <c r="K47"/>
  <c r="K55"/>
  <c r="K76"/>
  <c r="K86"/>
  <c r="K96"/>
  <c r="K98"/>
  <c r="K100"/>
  <c r="K102"/>
  <c r="K104"/>
  <c r="K106"/>
  <c r="K108"/>
  <c r="K110"/>
  <c r="K112"/>
  <c r="K114"/>
  <c r="K116"/>
  <c r="K118"/>
  <c r="K120"/>
  <c r="K122"/>
  <c r="K124"/>
  <c r="K126"/>
  <c r="K128"/>
  <c r="K130"/>
  <c r="K132"/>
  <c r="M12"/>
  <c r="I31"/>
  <c r="M31"/>
  <c r="I37"/>
  <c r="M37"/>
  <c r="I39"/>
  <c r="M39"/>
  <c r="I41"/>
  <c r="M41"/>
  <c r="I43"/>
  <c r="M43"/>
  <c r="I45"/>
  <c r="I49"/>
  <c r="M49"/>
  <c r="I51"/>
  <c r="M51"/>
  <c r="I53"/>
  <c r="I58"/>
  <c r="M58"/>
  <c r="I60"/>
  <c r="M60"/>
  <c r="I62"/>
  <c r="M62"/>
  <c r="I64"/>
  <c r="I68"/>
  <c r="M68"/>
  <c r="I70"/>
  <c r="M70"/>
  <c r="I72"/>
  <c r="M72"/>
  <c r="I74"/>
  <c r="M74"/>
  <c r="I78"/>
  <c r="M78"/>
  <c r="I82"/>
  <c r="I84"/>
  <c r="M84"/>
  <c r="I88"/>
  <c r="M88"/>
  <c r="I92"/>
  <c r="I94"/>
  <c r="M94"/>
  <c r="K134"/>
  <c r="J146"/>
  <c r="G136"/>
  <c r="K136"/>
  <c r="H11"/>
  <c r="F140"/>
  <c r="I12"/>
  <c r="I14"/>
  <c r="M14"/>
  <c r="I17"/>
  <c r="M17"/>
  <c r="I19"/>
  <c r="G12"/>
  <c r="K12"/>
  <c r="G14"/>
  <c r="K14"/>
  <c r="G17"/>
  <c r="K17"/>
  <c r="G19"/>
  <c r="K19"/>
  <c r="I21"/>
  <c r="M21"/>
  <c r="I23"/>
  <c r="M23"/>
  <c r="I25"/>
  <c r="M25"/>
  <c r="I27"/>
  <c r="M27"/>
  <c r="I29"/>
  <c r="G31"/>
  <c r="K31"/>
  <c r="I33"/>
  <c r="M33"/>
  <c r="I35"/>
  <c r="G37"/>
  <c r="K37"/>
  <c r="G39"/>
  <c r="K39"/>
  <c r="G41"/>
  <c r="K41"/>
  <c r="G43"/>
  <c r="K43"/>
  <c r="G45"/>
  <c r="K45"/>
  <c r="I47"/>
  <c r="G49"/>
  <c r="K49"/>
  <c r="G51"/>
  <c r="K51"/>
  <c r="G53"/>
  <c r="K53"/>
  <c r="I55"/>
  <c r="M55"/>
  <c r="G58"/>
  <c r="K58"/>
  <c r="G60"/>
  <c r="K60"/>
  <c r="G62"/>
  <c r="K62"/>
  <c r="G64"/>
  <c r="K64"/>
  <c r="I66"/>
  <c r="G68"/>
  <c r="K68"/>
  <c r="G70"/>
  <c r="K70"/>
  <c r="G72"/>
  <c r="K72"/>
  <c r="G74"/>
  <c r="K74"/>
  <c r="I76"/>
  <c r="M76"/>
  <c r="G78"/>
  <c r="K78"/>
  <c r="I80"/>
  <c r="M80"/>
  <c r="G82"/>
  <c r="K82"/>
  <c r="G84"/>
  <c r="K84"/>
  <c r="I86"/>
  <c r="M86"/>
  <c r="G88"/>
  <c r="K88"/>
  <c r="I90"/>
  <c r="M90"/>
  <c r="G92"/>
  <c r="K92"/>
  <c r="G94"/>
  <c r="K94"/>
  <c r="I96"/>
  <c r="M96"/>
  <c r="I98"/>
  <c r="M98"/>
  <c r="I100"/>
  <c r="M100"/>
  <c r="I102"/>
  <c r="M102"/>
  <c r="I104"/>
  <c r="M104"/>
  <c r="I106"/>
  <c r="M106"/>
  <c r="I108"/>
  <c r="M108"/>
  <c r="I110"/>
  <c r="M110"/>
  <c r="I112"/>
  <c r="M112"/>
  <c r="I114"/>
  <c r="M114"/>
  <c r="I116"/>
  <c r="M116"/>
  <c r="I118"/>
  <c r="M118"/>
  <c r="I120"/>
  <c r="M120"/>
  <c r="I122"/>
  <c r="M122"/>
  <c r="I124"/>
  <c r="M124"/>
  <c r="I126"/>
  <c r="M126"/>
  <c r="I128"/>
  <c r="M128"/>
  <c r="I130"/>
  <c r="M130"/>
  <c r="I132"/>
  <c r="M132"/>
  <c r="I134"/>
  <c r="M134"/>
  <c r="I136"/>
  <c r="R6"/>
  <c r="R4"/>
  <c r="R5" s="1"/>
  <c r="R7"/>
  <c r="M36" s="1"/>
  <c r="K11"/>
  <c r="I11"/>
  <c r="G11"/>
  <c r="M13"/>
  <c r="K13"/>
  <c r="I13"/>
  <c r="G13"/>
  <c r="K15"/>
  <c r="I15"/>
  <c r="G15"/>
  <c r="J15"/>
  <c r="H15"/>
  <c r="J11"/>
  <c r="J13"/>
  <c r="M75"/>
  <c r="K75"/>
  <c r="I75"/>
  <c r="G75"/>
  <c r="M77"/>
  <c r="K77"/>
  <c r="I77"/>
  <c r="G77"/>
  <c r="M79"/>
  <c r="K79"/>
  <c r="I79"/>
  <c r="G79"/>
  <c r="M81"/>
  <c r="K81"/>
  <c r="I81"/>
  <c r="G81"/>
  <c r="M83"/>
  <c r="K83"/>
  <c r="I83"/>
  <c r="G83"/>
  <c r="M85"/>
  <c r="K85"/>
  <c r="I85"/>
  <c r="G85"/>
  <c r="M87"/>
  <c r="K87"/>
  <c r="I87"/>
  <c r="G87"/>
  <c r="M89"/>
  <c r="K89"/>
  <c r="I89"/>
  <c r="G89"/>
  <c r="M91"/>
  <c r="K91"/>
  <c r="I91"/>
  <c r="G91"/>
  <c r="K93"/>
  <c r="I93"/>
  <c r="G93"/>
  <c r="M95"/>
  <c r="K95"/>
  <c r="I95"/>
  <c r="G95"/>
  <c r="M97"/>
  <c r="K97"/>
  <c r="I97"/>
  <c r="G97"/>
  <c r="M99"/>
  <c r="K99"/>
  <c r="I99"/>
  <c r="G99"/>
  <c r="M101"/>
  <c r="K101"/>
  <c r="I101"/>
  <c r="G101"/>
  <c r="H18"/>
  <c r="J18"/>
  <c r="J20"/>
  <c r="J24"/>
  <c r="H28"/>
  <c r="J28"/>
  <c r="J32"/>
  <c r="H34"/>
  <c r="J34"/>
  <c r="H36"/>
  <c r="J36"/>
  <c r="H38"/>
  <c r="J38"/>
  <c r="H40"/>
  <c r="J40"/>
  <c r="H42"/>
  <c r="J42"/>
  <c r="H44"/>
  <c r="J44"/>
  <c r="H46"/>
  <c r="J46"/>
  <c r="H48"/>
  <c r="J48"/>
  <c r="H50"/>
  <c r="J50"/>
  <c r="H52"/>
  <c r="J52"/>
  <c r="H54"/>
  <c r="J54"/>
  <c r="H56"/>
  <c r="J56"/>
  <c r="G57"/>
  <c r="I57"/>
  <c r="K57"/>
  <c r="M57"/>
  <c r="H58"/>
  <c r="G59"/>
  <c r="I59"/>
  <c r="K59"/>
  <c r="M59"/>
  <c r="H60"/>
  <c r="G61"/>
  <c r="I61"/>
  <c r="K61"/>
  <c r="M61"/>
  <c r="H62"/>
  <c r="G63"/>
  <c r="I63"/>
  <c r="K63"/>
  <c r="M63"/>
  <c r="H64"/>
  <c r="G65"/>
  <c r="I65"/>
  <c r="K65"/>
  <c r="M65"/>
  <c r="H66"/>
  <c r="G67"/>
  <c r="I67"/>
  <c r="K67"/>
  <c r="M67"/>
  <c r="H68"/>
  <c r="G69"/>
  <c r="I69"/>
  <c r="K69"/>
  <c r="M69"/>
  <c r="H70"/>
  <c r="L70" s="1"/>
  <c r="N70" s="1"/>
  <c r="G71"/>
  <c r="I71"/>
  <c r="K71"/>
  <c r="M71"/>
  <c r="H72"/>
  <c r="G73"/>
  <c r="I73"/>
  <c r="K73"/>
  <c r="J75"/>
  <c r="J77"/>
  <c r="J79"/>
  <c r="J81"/>
  <c r="J83"/>
  <c r="J85"/>
  <c r="J87"/>
  <c r="J89"/>
  <c r="J91"/>
  <c r="J93"/>
  <c r="J95"/>
  <c r="J97"/>
  <c r="J99"/>
  <c r="J101"/>
  <c r="H20"/>
  <c r="H22"/>
  <c r="J22"/>
  <c r="H24"/>
  <c r="H26"/>
  <c r="J26"/>
  <c r="H30"/>
  <c r="J30"/>
  <c r="H12"/>
  <c r="H14"/>
  <c r="H16"/>
  <c r="H17"/>
  <c r="G18"/>
  <c r="I18"/>
  <c r="K18"/>
  <c r="H19"/>
  <c r="G20"/>
  <c r="I20"/>
  <c r="K20"/>
  <c r="H21"/>
  <c r="G22"/>
  <c r="I22"/>
  <c r="K22"/>
  <c r="H23"/>
  <c r="G24"/>
  <c r="I24"/>
  <c r="K24"/>
  <c r="H25"/>
  <c r="G26"/>
  <c r="I26"/>
  <c r="K26"/>
  <c r="H27"/>
  <c r="L27" s="1"/>
  <c r="G28"/>
  <c r="I28"/>
  <c r="K28"/>
  <c r="H29"/>
  <c r="G30"/>
  <c r="I30"/>
  <c r="K30"/>
  <c r="H31"/>
  <c r="G32"/>
  <c r="I32"/>
  <c r="K32"/>
  <c r="H33"/>
  <c r="G34"/>
  <c r="I34"/>
  <c r="K34"/>
  <c r="H35"/>
  <c r="L35" s="1"/>
  <c r="G36"/>
  <c r="I36"/>
  <c r="K36"/>
  <c r="H37"/>
  <c r="G38"/>
  <c r="I38"/>
  <c r="K38"/>
  <c r="H39"/>
  <c r="G40"/>
  <c r="I40"/>
  <c r="K40"/>
  <c r="H41"/>
  <c r="G42"/>
  <c r="I42"/>
  <c r="K42"/>
  <c r="H43"/>
  <c r="G44"/>
  <c r="I44"/>
  <c r="K44"/>
  <c r="H45"/>
  <c r="G46"/>
  <c r="I46"/>
  <c r="K46"/>
  <c r="H47"/>
  <c r="G48"/>
  <c r="I48"/>
  <c r="K48"/>
  <c r="H49"/>
  <c r="L49" s="1"/>
  <c r="G50"/>
  <c r="I50"/>
  <c r="K50"/>
  <c r="H51"/>
  <c r="G52"/>
  <c r="I52"/>
  <c r="K52"/>
  <c r="H53"/>
  <c r="L53" s="1"/>
  <c r="G54"/>
  <c r="I54"/>
  <c r="K54"/>
  <c r="H55"/>
  <c r="G56"/>
  <c r="I56"/>
  <c r="K56"/>
  <c r="H57"/>
  <c r="H59"/>
  <c r="H61"/>
  <c r="H63"/>
  <c r="H65"/>
  <c r="H67"/>
  <c r="H69"/>
  <c r="H71"/>
  <c r="H73"/>
  <c r="J73"/>
  <c r="H97"/>
  <c r="H99"/>
  <c r="H101"/>
  <c r="H74"/>
  <c r="H76"/>
  <c r="H78"/>
  <c r="H80"/>
  <c r="H82"/>
  <c r="H84"/>
  <c r="H86"/>
  <c r="H88"/>
  <c r="H90"/>
  <c r="H92"/>
  <c r="H94"/>
  <c r="H96"/>
  <c r="H98"/>
  <c r="H100"/>
  <c r="H102"/>
  <c r="G103"/>
  <c r="I103"/>
  <c r="K103"/>
  <c r="M103"/>
  <c r="H104"/>
  <c r="G105"/>
  <c r="I105"/>
  <c r="K105"/>
  <c r="M105"/>
  <c r="H106"/>
  <c r="G107"/>
  <c r="I107"/>
  <c r="K107"/>
  <c r="M107"/>
  <c r="H108"/>
  <c r="G109"/>
  <c r="I109"/>
  <c r="K109"/>
  <c r="M109"/>
  <c r="H110"/>
  <c r="G111"/>
  <c r="I111"/>
  <c r="K111"/>
  <c r="M111"/>
  <c r="H112"/>
  <c r="G113"/>
  <c r="I113"/>
  <c r="K113"/>
  <c r="M113"/>
  <c r="H114"/>
  <c r="G115"/>
  <c r="I115"/>
  <c r="K115"/>
  <c r="M115"/>
  <c r="H116"/>
  <c r="G117"/>
  <c r="I117"/>
  <c r="K117"/>
  <c r="M117"/>
  <c r="H118"/>
  <c r="G119"/>
  <c r="I119"/>
  <c r="K119"/>
  <c r="M119"/>
  <c r="H120"/>
  <c r="G121"/>
  <c r="I121"/>
  <c r="K121"/>
  <c r="M121"/>
  <c r="H122"/>
  <c r="G123"/>
  <c r="I123"/>
  <c r="K123"/>
  <c r="M123"/>
  <c r="H124"/>
  <c r="G125"/>
  <c r="I125"/>
  <c r="K125"/>
  <c r="M125"/>
  <c r="H126"/>
  <c r="G127"/>
  <c r="I127"/>
  <c r="K127"/>
  <c r="M127"/>
  <c r="H128"/>
  <c r="G129"/>
  <c r="I129"/>
  <c r="K129"/>
  <c r="M129"/>
  <c r="H130"/>
  <c r="G131"/>
  <c r="I131"/>
  <c r="K131"/>
  <c r="M131"/>
  <c r="H132"/>
  <c r="G133"/>
  <c r="I133"/>
  <c r="K133"/>
  <c r="M133"/>
  <c r="H134"/>
  <c r="G135"/>
  <c r="I135"/>
  <c r="K135"/>
  <c r="M135"/>
  <c r="H136"/>
  <c r="J136"/>
  <c r="H103"/>
  <c r="H105"/>
  <c r="H107"/>
  <c r="H109"/>
  <c r="H111"/>
  <c r="H113"/>
  <c r="H115"/>
  <c r="H117"/>
  <c r="H119"/>
  <c r="H121"/>
  <c r="H123"/>
  <c r="H125"/>
  <c r="H127"/>
  <c r="H129"/>
  <c r="H131"/>
  <c r="H133"/>
  <c r="H135"/>
  <c r="L132" l="1"/>
  <c r="N132" s="1"/>
  <c r="L108"/>
  <c r="N108" s="1"/>
  <c r="L100"/>
  <c r="N100" s="1"/>
  <c r="L84"/>
  <c r="N84" s="1"/>
  <c r="L14"/>
  <c r="N14" s="1"/>
  <c r="L68"/>
  <c r="N68" s="1"/>
  <c r="L124"/>
  <c r="N124" s="1"/>
  <c r="L116"/>
  <c r="N116" s="1"/>
  <c r="L92"/>
  <c r="L76"/>
  <c r="N76" s="1"/>
  <c r="L62"/>
  <c r="N62" s="1"/>
  <c r="I146"/>
  <c r="L130"/>
  <c r="N130" s="1"/>
  <c r="I145"/>
  <c r="L114"/>
  <c r="N114" s="1"/>
  <c r="L98"/>
  <c r="N98" s="1"/>
  <c r="L60"/>
  <c r="N60" s="1"/>
  <c r="L128"/>
  <c r="N128" s="1"/>
  <c r="L120"/>
  <c r="N120" s="1"/>
  <c r="L112"/>
  <c r="N112" s="1"/>
  <c r="L104"/>
  <c r="N104" s="1"/>
  <c r="L96"/>
  <c r="N96" s="1"/>
  <c r="L88"/>
  <c r="N88" s="1"/>
  <c r="L80"/>
  <c r="N80" s="1"/>
  <c r="L55"/>
  <c r="N55" s="1"/>
  <c r="L51"/>
  <c r="N51" s="1"/>
  <c r="N49"/>
  <c r="L47"/>
  <c r="L45"/>
  <c r="L43"/>
  <c r="N43" s="1"/>
  <c r="L41"/>
  <c r="N41" s="1"/>
  <c r="L39"/>
  <c r="N39" s="1"/>
  <c r="L37"/>
  <c r="N37" s="1"/>
  <c r="L33"/>
  <c r="N33" s="1"/>
  <c r="L31"/>
  <c r="N31" s="1"/>
  <c r="L29"/>
  <c r="N27"/>
  <c r="L25"/>
  <c r="N25" s="1"/>
  <c r="L23"/>
  <c r="N23" s="1"/>
  <c r="L21"/>
  <c r="N21" s="1"/>
  <c r="L19"/>
  <c r="L17"/>
  <c r="N17" s="1"/>
  <c r="L66"/>
  <c r="L58"/>
  <c r="N58" s="1"/>
  <c r="L122"/>
  <c r="N122" s="1"/>
  <c r="L106"/>
  <c r="N106" s="1"/>
  <c r="L90"/>
  <c r="N90" s="1"/>
  <c r="L82"/>
  <c r="L74"/>
  <c r="N74" s="1"/>
  <c r="L12"/>
  <c r="N12" s="1"/>
  <c r="L134"/>
  <c r="N134" s="1"/>
  <c r="L126"/>
  <c r="N126" s="1"/>
  <c r="L118"/>
  <c r="N118" s="1"/>
  <c r="L110"/>
  <c r="N110" s="1"/>
  <c r="L102"/>
  <c r="N102" s="1"/>
  <c r="L94"/>
  <c r="N94" s="1"/>
  <c r="L86"/>
  <c r="N86" s="1"/>
  <c r="L78"/>
  <c r="N78" s="1"/>
  <c r="L72"/>
  <c r="N72" s="1"/>
  <c r="L64"/>
  <c r="C14" i="25"/>
  <c r="J145" i="19"/>
  <c r="J144"/>
  <c r="J140"/>
  <c r="L11"/>
  <c r="G144"/>
  <c r="G140"/>
  <c r="K144"/>
  <c r="K140"/>
  <c r="H144"/>
  <c r="H140"/>
  <c r="H146"/>
  <c r="H145"/>
  <c r="H143" s="1"/>
  <c r="AD10" i="20" s="1"/>
  <c r="L136" i="19"/>
  <c r="N136" s="1"/>
  <c r="K146"/>
  <c r="G146"/>
  <c r="K145"/>
  <c r="K143" s="1"/>
  <c r="AD13" i="20" s="1"/>
  <c r="G145" i="19"/>
  <c r="L145" s="1"/>
  <c r="AD8" i="20" s="1"/>
  <c r="I143" i="19"/>
  <c r="AD11" i="20" s="1"/>
  <c r="M93" i="19"/>
  <c r="L13"/>
  <c r="N13" s="1"/>
  <c r="L16"/>
  <c r="H147"/>
  <c r="I144"/>
  <c r="I140"/>
  <c r="J143"/>
  <c r="AD12" i="20" s="1"/>
  <c r="M92" i="19"/>
  <c r="N92" s="1"/>
  <c r="M82"/>
  <c r="N82" s="1"/>
  <c r="M66"/>
  <c r="M64"/>
  <c r="N64" s="1"/>
  <c r="M29"/>
  <c r="N29" s="1"/>
  <c r="M53"/>
  <c r="N53" s="1"/>
  <c r="M47"/>
  <c r="N47" s="1"/>
  <c r="M45"/>
  <c r="N45" s="1"/>
  <c r="M35"/>
  <c r="N35" s="1"/>
  <c r="M19"/>
  <c r="N19" s="1"/>
  <c r="L109"/>
  <c r="N109" s="1"/>
  <c r="L56"/>
  <c r="N56" s="1"/>
  <c r="L54"/>
  <c r="L52"/>
  <c r="N52" s="1"/>
  <c r="L50"/>
  <c r="N50" s="1"/>
  <c r="L48"/>
  <c r="L46"/>
  <c r="N46" s="1"/>
  <c r="L44"/>
  <c r="L42"/>
  <c r="N42" s="1"/>
  <c r="L40"/>
  <c r="N40" s="1"/>
  <c r="L38"/>
  <c r="N38" s="1"/>
  <c r="L36"/>
  <c r="N36" s="1"/>
  <c r="L34"/>
  <c r="N34" s="1"/>
  <c r="L32"/>
  <c r="N32" s="1"/>
  <c r="L30"/>
  <c r="N30" s="1"/>
  <c r="L28"/>
  <c r="N28" s="1"/>
  <c r="L26"/>
  <c r="L24"/>
  <c r="L22"/>
  <c r="N22" s="1"/>
  <c r="L20"/>
  <c r="N20" s="1"/>
  <c r="L18"/>
  <c r="L71"/>
  <c r="N71" s="1"/>
  <c r="L67"/>
  <c r="N67" s="1"/>
  <c r="L63"/>
  <c r="N63" s="1"/>
  <c r="L59"/>
  <c r="N59" s="1"/>
  <c r="L15"/>
  <c r="M16"/>
  <c r="L133"/>
  <c r="N133" s="1"/>
  <c r="L129"/>
  <c r="N129" s="1"/>
  <c r="L125"/>
  <c r="N125" s="1"/>
  <c r="L121"/>
  <c r="N121" s="1"/>
  <c r="L117"/>
  <c r="N117" s="1"/>
  <c r="L113"/>
  <c r="N113" s="1"/>
  <c r="L105"/>
  <c r="N105" s="1"/>
  <c r="L135"/>
  <c r="N135" s="1"/>
  <c r="L131"/>
  <c r="N131" s="1"/>
  <c r="L127"/>
  <c r="N127" s="1"/>
  <c r="L123"/>
  <c r="N123" s="1"/>
  <c r="L119"/>
  <c r="N119" s="1"/>
  <c r="L115"/>
  <c r="N115" s="1"/>
  <c r="L111"/>
  <c r="N111" s="1"/>
  <c r="L107"/>
  <c r="N107" s="1"/>
  <c r="L103"/>
  <c r="N103" s="1"/>
  <c r="L73"/>
  <c r="N73" s="1"/>
  <c r="L69"/>
  <c r="N69" s="1"/>
  <c r="L65"/>
  <c r="N65" s="1"/>
  <c r="L61"/>
  <c r="N61" s="1"/>
  <c r="L57"/>
  <c r="N57" s="1"/>
  <c r="L101"/>
  <c r="N101" s="1"/>
  <c r="L99"/>
  <c r="N99" s="1"/>
  <c r="L97"/>
  <c r="N97" s="1"/>
  <c r="L95"/>
  <c r="N95" s="1"/>
  <c r="L93"/>
  <c r="N93" s="1"/>
  <c r="L91"/>
  <c r="N91" s="1"/>
  <c r="L89"/>
  <c r="N89" s="1"/>
  <c r="L87"/>
  <c r="N87" s="1"/>
  <c r="L85"/>
  <c r="N85" s="1"/>
  <c r="L83"/>
  <c r="N83" s="1"/>
  <c r="L81"/>
  <c r="N81" s="1"/>
  <c r="L79"/>
  <c r="N79" s="1"/>
  <c r="L77"/>
  <c r="N77" s="1"/>
  <c r="L75"/>
  <c r="N75" s="1"/>
  <c r="M48"/>
  <c r="M44"/>
  <c r="M18"/>
  <c r="M15"/>
  <c r="M11"/>
  <c r="M54"/>
  <c r="M26"/>
  <c r="M24"/>
  <c r="N66" l="1"/>
  <c r="G143"/>
  <c r="I151"/>
  <c r="AE20" i="20" s="1"/>
  <c r="AD20"/>
  <c r="AD29" s="1"/>
  <c r="AD14"/>
  <c r="J151" i="19"/>
  <c r="AE21" i="20" s="1"/>
  <c r="AD21"/>
  <c r="AD30" s="1"/>
  <c r="H151" i="19"/>
  <c r="AE19" i="20" s="1"/>
  <c r="AD19"/>
  <c r="AD28" s="1"/>
  <c r="AD18"/>
  <c r="L144" i="19"/>
  <c r="H152"/>
  <c r="AD39" i="20"/>
  <c r="AD40" s="1"/>
  <c r="AD41" s="1"/>
  <c r="L147" i="19"/>
  <c r="L146"/>
  <c r="AD17" i="20" s="1"/>
  <c r="AD26" s="1"/>
  <c r="K151" i="19"/>
  <c r="AE22" i="20" s="1"/>
  <c r="AD22"/>
  <c r="AD31" s="1"/>
  <c r="D14" i="25"/>
  <c r="E144" i="19"/>
  <c r="AD51" i="20" s="1"/>
  <c r="H150" i="19"/>
  <c r="H148"/>
  <c r="N16"/>
  <c r="E147"/>
  <c r="AD52" i="20" s="1"/>
  <c r="K150" i="19"/>
  <c r="K148"/>
  <c r="I150"/>
  <c r="I148"/>
  <c r="E143"/>
  <c r="AD50" i="20" s="1"/>
  <c r="L140" i="19"/>
  <c r="J150"/>
  <c r="J148"/>
  <c r="G151"/>
  <c r="AE18" i="20" s="1"/>
  <c r="M138" i="19"/>
  <c r="N15"/>
  <c r="N18"/>
  <c r="N26"/>
  <c r="N54"/>
  <c r="N11"/>
  <c r="N24"/>
  <c r="N44"/>
  <c r="N48"/>
  <c r="AD53" i="20" l="1"/>
  <c r="AD32"/>
  <c r="I153" i="19"/>
  <c r="AE11" i="20"/>
  <c r="AE29" s="1"/>
  <c r="K153" i="19"/>
  <c r="AE13" i="20"/>
  <c r="AE31" s="1"/>
  <c r="H153" i="19"/>
  <c r="AE10" i="20"/>
  <c r="AE28" s="1"/>
  <c r="L152" i="19"/>
  <c r="AE39" i="20"/>
  <c r="AE40" s="1"/>
  <c r="AE41" s="1"/>
  <c r="AE59" s="1"/>
  <c r="AE23"/>
  <c r="AE24" s="1"/>
  <c r="J153" i="19"/>
  <c r="G150" s="1"/>
  <c r="AE9" i="20" s="1"/>
  <c r="AE27" s="1"/>
  <c r="AE45" s="1"/>
  <c r="AE12"/>
  <c r="G148" i="19"/>
  <c r="AD9" i="20"/>
  <c r="AD15" s="1"/>
  <c r="L143" i="19"/>
  <c r="L148" s="1"/>
  <c r="AD23" i="20"/>
  <c r="AD24" s="1"/>
  <c r="AE30"/>
  <c r="L151" i="19"/>
  <c r="E148"/>
  <c r="N138"/>
  <c r="AD27" i="20" l="1"/>
  <c r="AD45" s="1"/>
  <c r="AE14"/>
  <c r="AE15" s="1"/>
  <c r="AE32"/>
  <c r="AD33"/>
  <c r="AD43" s="1"/>
  <c r="AD46"/>
  <c r="G153" i="19"/>
  <c r="L150"/>
  <c r="L153" s="1"/>
  <c r="F136" i="18"/>
  <c r="K136" s="1"/>
  <c r="F135"/>
  <c r="J135" s="1"/>
  <c r="F134"/>
  <c r="J134" s="1"/>
  <c r="F133"/>
  <c r="J133" s="1"/>
  <c r="F132"/>
  <c r="J132" s="1"/>
  <c r="F131"/>
  <c r="J131" s="1"/>
  <c r="F130"/>
  <c r="J130" s="1"/>
  <c r="F129"/>
  <c r="J129" s="1"/>
  <c r="F128"/>
  <c r="J128" s="1"/>
  <c r="F127"/>
  <c r="J127" s="1"/>
  <c r="F126"/>
  <c r="J126" s="1"/>
  <c r="F125"/>
  <c r="J125" s="1"/>
  <c r="F124"/>
  <c r="J124" s="1"/>
  <c r="F123"/>
  <c r="J123" s="1"/>
  <c r="F122"/>
  <c r="J122" s="1"/>
  <c r="F121"/>
  <c r="J121" s="1"/>
  <c r="F120"/>
  <c r="J120" s="1"/>
  <c r="F119"/>
  <c r="J119" s="1"/>
  <c r="F118"/>
  <c r="J118" s="1"/>
  <c r="F117"/>
  <c r="J117" s="1"/>
  <c r="F116"/>
  <c r="J116" s="1"/>
  <c r="F115"/>
  <c r="J115" s="1"/>
  <c r="F114"/>
  <c r="J114" s="1"/>
  <c r="F113"/>
  <c r="J113" s="1"/>
  <c r="F112"/>
  <c r="J112" s="1"/>
  <c r="F111"/>
  <c r="J111" s="1"/>
  <c r="F110"/>
  <c r="J110" s="1"/>
  <c r="F109"/>
  <c r="J109" s="1"/>
  <c r="F108"/>
  <c r="J108" s="1"/>
  <c r="F107"/>
  <c r="J107" s="1"/>
  <c r="F106"/>
  <c r="J106" s="1"/>
  <c r="F105"/>
  <c r="J105" s="1"/>
  <c r="F104"/>
  <c r="J104" s="1"/>
  <c r="F103"/>
  <c r="J103" s="1"/>
  <c r="F102"/>
  <c r="J102" s="1"/>
  <c r="F100"/>
  <c r="J100" s="1"/>
  <c r="F99"/>
  <c r="F98"/>
  <c r="J98" s="1"/>
  <c r="F97"/>
  <c r="F96"/>
  <c r="J96" s="1"/>
  <c r="F95"/>
  <c r="F94"/>
  <c r="J94" s="1"/>
  <c r="F93"/>
  <c r="F92"/>
  <c r="J92" s="1"/>
  <c r="F91"/>
  <c r="F90"/>
  <c r="J90" s="1"/>
  <c r="F89"/>
  <c r="F88"/>
  <c r="J88" s="1"/>
  <c r="F87"/>
  <c r="F86"/>
  <c r="J86" s="1"/>
  <c r="F85"/>
  <c r="F84"/>
  <c r="J84" s="1"/>
  <c r="F83"/>
  <c r="K82"/>
  <c r="F82"/>
  <c r="J82" s="1"/>
  <c r="F81"/>
  <c r="F80"/>
  <c r="J80" s="1"/>
  <c r="F79"/>
  <c r="K78"/>
  <c r="F78"/>
  <c r="J78" s="1"/>
  <c r="F77"/>
  <c r="F76"/>
  <c r="J76" s="1"/>
  <c r="F75"/>
  <c r="H75" s="1"/>
  <c r="F74"/>
  <c r="J74" s="1"/>
  <c r="F73"/>
  <c r="M73" s="1"/>
  <c r="F72"/>
  <c r="J72" s="1"/>
  <c r="F71"/>
  <c r="J71" s="1"/>
  <c r="F70"/>
  <c r="J70" s="1"/>
  <c r="F69"/>
  <c r="J69" s="1"/>
  <c r="F68"/>
  <c r="J68" s="1"/>
  <c r="F67"/>
  <c r="J67" s="1"/>
  <c r="F66"/>
  <c r="J66" s="1"/>
  <c r="F65"/>
  <c r="J65" s="1"/>
  <c r="F64"/>
  <c r="J64" s="1"/>
  <c r="F63"/>
  <c r="J63" s="1"/>
  <c r="F62"/>
  <c r="J62" s="1"/>
  <c r="F61"/>
  <c r="J61" s="1"/>
  <c r="F60"/>
  <c r="J60" s="1"/>
  <c r="F59"/>
  <c r="J59" s="1"/>
  <c r="F58"/>
  <c r="J58" s="1"/>
  <c r="F57"/>
  <c r="J57" s="1"/>
  <c r="F56"/>
  <c r="J56" s="1"/>
  <c r="F55"/>
  <c r="J55" s="1"/>
  <c r="F54"/>
  <c r="J54" s="1"/>
  <c r="J53"/>
  <c r="F52"/>
  <c r="J52" s="1"/>
  <c r="F51"/>
  <c r="J51" s="1"/>
  <c r="F50"/>
  <c r="J50" s="1"/>
  <c r="F49"/>
  <c r="J49" s="1"/>
  <c r="F48"/>
  <c r="J48" s="1"/>
  <c r="F47"/>
  <c r="J47" s="1"/>
  <c r="F46"/>
  <c r="J46" s="1"/>
  <c r="F45"/>
  <c r="J45" s="1"/>
  <c r="F44"/>
  <c r="J44" s="1"/>
  <c r="F43"/>
  <c r="J43" s="1"/>
  <c r="F42"/>
  <c r="J42" s="1"/>
  <c r="F41"/>
  <c r="J41" s="1"/>
  <c r="F40"/>
  <c r="J40" s="1"/>
  <c r="F39"/>
  <c r="J39" s="1"/>
  <c r="F38"/>
  <c r="J38" s="1"/>
  <c r="F37"/>
  <c r="J37" s="1"/>
  <c r="F36"/>
  <c r="J36" s="1"/>
  <c r="F35"/>
  <c r="J35" s="1"/>
  <c r="F34"/>
  <c r="J34" s="1"/>
  <c r="F33"/>
  <c r="H33" s="1"/>
  <c r="F32"/>
  <c r="J32" s="1"/>
  <c r="F31"/>
  <c r="H31" s="1"/>
  <c r="F30"/>
  <c r="J30" s="1"/>
  <c r="F29"/>
  <c r="H29" s="1"/>
  <c r="F28"/>
  <c r="J28" s="1"/>
  <c r="F27"/>
  <c r="H27" s="1"/>
  <c r="F26"/>
  <c r="J26" s="1"/>
  <c r="F25"/>
  <c r="J25" s="1"/>
  <c r="F24"/>
  <c r="J24" s="1"/>
  <c r="F23"/>
  <c r="M23" s="1"/>
  <c r="F22"/>
  <c r="J22" s="1"/>
  <c r="F21"/>
  <c r="J21" s="1"/>
  <c r="F20"/>
  <c r="J20" s="1"/>
  <c r="F19"/>
  <c r="H19" s="1"/>
  <c r="F18"/>
  <c r="J18" s="1"/>
  <c r="F17"/>
  <c r="J17" s="1"/>
  <c r="G16"/>
  <c r="G147" s="1"/>
  <c r="AB38" i="20" s="1"/>
  <c r="H16" i="18"/>
  <c r="H147" s="1"/>
  <c r="F15"/>
  <c r="J15" s="1"/>
  <c r="F14"/>
  <c r="H14" s="1"/>
  <c r="F13"/>
  <c r="J13" s="1"/>
  <c r="F12"/>
  <c r="K11"/>
  <c r="AD47" i="20" l="1"/>
  <c r="G13" i="18"/>
  <c r="G15"/>
  <c r="G20"/>
  <c r="G22"/>
  <c r="G24"/>
  <c r="G26"/>
  <c r="G28"/>
  <c r="G30"/>
  <c r="G32"/>
  <c r="G34"/>
  <c r="G36"/>
  <c r="G38"/>
  <c r="G40"/>
  <c r="G42"/>
  <c r="G44"/>
  <c r="G46"/>
  <c r="G48"/>
  <c r="G50"/>
  <c r="G52"/>
  <c r="G54"/>
  <c r="G56"/>
  <c r="G58"/>
  <c r="G60"/>
  <c r="G62"/>
  <c r="G64"/>
  <c r="K80"/>
  <c r="K13"/>
  <c r="K15"/>
  <c r="K20"/>
  <c r="K22"/>
  <c r="K24"/>
  <c r="K26"/>
  <c r="K28"/>
  <c r="K30"/>
  <c r="K32"/>
  <c r="K34"/>
  <c r="K36"/>
  <c r="K38"/>
  <c r="K40"/>
  <c r="K42"/>
  <c r="K44"/>
  <c r="K46"/>
  <c r="K48"/>
  <c r="K50"/>
  <c r="K52"/>
  <c r="K54"/>
  <c r="K56"/>
  <c r="K58"/>
  <c r="K60"/>
  <c r="K62"/>
  <c r="K64"/>
  <c r="K76"/>
  <c r="M12"/>
  <c r="F140"/>
  <c r="AE46" i="20"/>
  <c r="AE47" s="1"/>
  <c r="AE33"/>
  <c r="J146" i="18"/>
  <c r="G76"/>
  <c r="G78"/>
  <c r="G80"/>
  <c r="G82"/>
  <c r="H154"/>
  <c r="AB39" i="20"/>
  <c r="AB40" s="1"/>
  <c r="AB41" s="1"/>
  <c r="L147" i="18"/>
  <c r="L16"/>
  <c r="I11"/>
  <c r="I18"/>
  <c r="I66"/>
  <c r="I68"/>
  <c r="M68"/>
  <c r="I70"/>
  <c r="M70"/>
  <c r="I72"/>
  <c r="M72"/>
  <c r="I74"/>
  <c r="M74"/>
  <c r="I84"/>
  <c r="M84"/>
  <c r="I86"/>
  <c r="I88"/>
  <c r="I90"/>
  <c r="M90"/>
  <c r="I92"/>
  <c r="I94"/>
  <c r="M94"/>
  <c r="I96"/>
  <c r="M96"/>
  <c r="I98"/>
  <c r="I100"/>
  <c r="M100"/>
  <c r="I102"/>
  <c r="M102"/>
  <c r="I104"/>
  <c r="M104"/>
  <c r="I106"/>
  <c r="I108"/>
  <c r="M108"/>
  <c r="I110"/>
  <c r="M110"/>
  <c r="I112"/>
  <c r="M112"/>
  <c r="I114"/>
  <c r="M114"/>
  <c r="I116"/>
  <c r="M116"/>
  <c r="I118"/>
  <c r="M118"/>
  <c r="I120"/>
  <c r="M120"/>
  <c r="I122"/>
  <c r="M122"/>
  <c r="I124"/>
  <c r="M124"/>
  <c r="I126"/>
  <c r="M126"/>
  <c r="I128"/>
  <c r="M128"/>
  <c r="I130"/>
  <c r="I132"/>
  <c r="I134"/>
  <c r="M134"/>
  <c r="I136"/>
  <c r="G11"/>
  <c r="I13"/>
  <c r="M13"/>
  <c r="I15"/>
  <c r="G18"/>
  <c r="K18"/>
  <c r="I20"/>
  <c r="I22"/>
  <c r="M22"/>
  <c r="I24"/>
  <c r="I26"/>
  <c r="I28"/>
  <c r="M28"/>
  <c r="I30"/>
  <c r="M30"/>
  <c r="I32"/>
  <c r="I34"/>
  <c r="M34"/>
  <c r="I36"/>
  <c r="I38"/>
  <c r="M38"/>
  <c r="I40"/>
  <c r="M40"/>
  <c r="I42"/>
  <c r="M42"/>
  <c r="I44"/>
  <c r="I46"/>
  <c r="M46"/>
  <c r="I48"/>
  <c r="M48"/>
  <c r="I50"/>
  <c r="M50"/>
  <c r="I52"/>
  <c r="M52"/>
  <c r="I54"/>
  <c r="I56"/>
  <c r="M56"/>
  <c r="I58"/>
  <c r="M58"/>
  <c r="I60"/>
  <c r="I62"/>
  <c r="M62"/>
  <c r="I64"/>
  <c r="G66"/>
  <c r="K66"/>
  <c r="G68"/>
  <c r="K68"/>
  <c r="G70"/>
  <c r="K70"/>
  <c r="G72"/>
  <c r="K72"/>
  <c r="G74"/>
  <c r="K74"/>
  <c r="I76"/>
  <c r="M76"/>
  <c r="I78"/>
  <c r="I80"/>
  <c r="I82"/>
  <c r="G84"/>
  <c r="K84"/>
  <c r="G86"/>
  <c r="K86"/>
  <c r="G88"/>
  <c r="K88"/>
  <c r="G90"/>
  <c r="K90"/>
  <c r="G92"/>
  <c r="K92"/>
  <c r="G94"/>
  <c r="K94"/>
  <c r="G96"/>
  <c r="K96"/>
  <c r="G98"/>
  <c r="K98"/>
  <c r="G100"/>
  <c r="K100"/>
  <c r="G102"/>
  <c r="K102"/>
  <c r="G104"/>
  <c r="K104"/>
  <c r="G106"/>
  <c r="K106"/>
  <c r="G108"/>
  <c r="K108"/>
  <c r="G110"/>
  <c r="K110"/>
  <c r="G112"/>
  <c r="K112"/>
  <c r="G114"/>
  <c r="K114"/>
  <c r="G116"/>
  <c r="K116"/>
  <c r="G118"/>
  <c r="K118"/>
  <c r="G120"/>
  <c r="K120"/>
  <c r="G122"/>
  <c r="K122"/>
  <c r="G124"/>
  <c r="K124"/>
  <c r="G126"/>
  <c r="K126"/>
  <c r="G128"/>
  <c r="K128"/>
  <c r="G130"/>
  <c r="K130"/>
  <c r="G132"/>
  <c r="K132"/>
  <c r="G134"/>
  <c r="K134"/>
  <c r="G136"/>
  <c r="P6"/>
  <c r="P4"/>
  <c r="P7"/>
  <c r="M45" s="1"/>
  <c r="M75"/>
  <c r="K75"/>
  <c r="I75"/>
  <c r="G75"/>
  <c r="M77"/>
  <c r="K77"/>
  <c r="I77"/>
  <c r="G77"/>
  <c r="M79"/>
  <c r="K79"/>
  <c r="I79"/>
  <c r="G79"/>
  <c r="M81"/>
  <c r="K81"/>
  <c r="I81"/>
  <c r="G81"/>
  <c r="M83"/>
  <c r="K83"/>
  <c r="I83"/>
  <c r="G83"/>
  <c r="K85"/>
  <c r="I85"/>
  <c r="G85"/>
  <c r="M87"/>
  <c r="K87"/>
  <c r="I87"/>
  <c r="G87"/>
  <c r="M89"/>
  <c r="K89"/>
  <c r="I89"/>
  <c r="G89"/>
  <c r="M91"/>
  <c r="K91"/>
  <c r="I91"/>
  <c r="G91"/>
  <c r="K93"/>
  <c r="I93"/>
  <c r="G93"/>
  <c r="K95"/>
  <c r="I95"/>
  <c r="G95"/>
  <c r="M97"/>
  <c r="K97"/>
  <c r="I97"/>
  <c r="G97"/>
  <c r="K99"/>
  <c r="I99"/>
  <c r="G99"/>
  <c r="M101"/>
  <c r="K101"/>
  <c r="I101"/>
  <c r="G101"/>
  <c r="H12"/>
  <c r="J12"/>
  <c r="J14"/>
  <c r="H17"/>
  <c r="J19"/>
  <c r="H21"/>
  <c r="H23"/>
  <c r="J23"/>
  <c r="H25"/>
  <c r="J27"/>
  <c r="J29"/>
  <c r="J31"/>
  <c r="J33"/>
  <c r="H35"/>
  <c r="H11"/>
  <c r="J11"/>
  <c r="G12"/>
  <c r="I12"/>
  <c r="K12"/>
  <c r="H13"/>
  <c r="G14"/>
  <c r="I14"/>
  <c r="K14"/>
  <c r="M14"/>
  <c r="H15"/>
  <c r="G17"/>
  <c r="I17"/>
  <c r="K17"/>
  <c r="K144" s="1"/>
  <c r="H18"/>
  <c r="G19"/>
  <c r="I19"/>
  <c r="K19"/>
  <c r="H20"/>
  <c r="G21"/>
  <c r="I21"/>
  <c r="K21"/>
  <c r="H22"/>
  <c r="G23"/>
  <c r="I23"/>
  <c r="K23"/>
  <c r="H24"/>
  <c r="G25"/>
  <c r="I25"/>
  <c r="K25"/>
  <c r="H26"/>
  <c r="L26" s="1"/>
  <c r="G27"/>
  <c r="I27"/>
  <c r="K27"/>
  <c r="M27"/>
  <c r="H28"/>
  <c r="L28" s="1"/>
  <c r="G29"/>
  <c r="I29"/>
  <c r="K29"/>
  <c r="M29"/>
  <c r="H30"/>
  <c r="G31"/>
  <c r="I31"/>
  <c r="K31"/>
  <c r="M31"/>
  <c r="H32"/>
  <c r="G33"/>
  <c r="I33"/>
  <c r="K33"/>
  <c r="M33"/>
  <c r="H34"/>
  <c r="L34" s="1"/>
  <c r="G35"/>
  <c r="I35"/>
  <c r="K35"/>
  <c r="H36"/>
  <c r="G37"/>
  <c r="I37"/>
  <c r="K37"/>
  <c r="M37"/>
  <c r="H38"/>
  <c r="L38" s="1"/>
  <c r="N38" s="1"/>
  <c r="G39"/>
  <c r="I39"/>
  <c r="K39"/>
  <c r="M39"/>
  <c r="H40"/>
  <c r="G41"/>
  <c r="I41"/>
  <c r="K41"/>
  <c r="M41"/>
  <c r="H42"/>
  <c r="G43"/>
  <c r="I43"/>
  <c r="K43"/>
  <c r="M43"/>
  <c r="H44"/>
  <c r="G45"/>
  <c r="I45"/>
  <c r="K45"/>
  <c r="H46"/>
  <c r="L46" s="1"/>
  <c r="G47"/>
  <c r="I47"/>
  <c r="K47"/>
  <c r="H48"/>
  <c r="G49"/>
  <c r="I49"/>
  <c r="K49"/>
  <c r="M49"/>
  <c r="H50"/>
  <c r="G51"/>
  <c r="I51"/>
  <c r="K51"/>
  <c r="M51"/>
  <c r="H52"/>
  <c r="G53"/>
  <c r="I53"/>
  <c r="K53"/>
  <c r="H54"/>
  <c r="G55"/>
  <c r="I55"/>
  <c r="K55"/>
  <c r="M55"/>
  <c r="H56"/>
  <c r="G57"/>
  <c r="I57"/>
  <c r="K57"/>
  <c r="M57"/>
  <c r="H58"/>
  <c r="L58" s="1"/>
  <c r="N58" s="1"/>
  <c r="G59"/>
  <c r="I59"/>
  <c r="K59"/>
  <c r="M59"/>
  <c r="H60"/>
  <c r="L60" s="1"/>
  <c r="G61"/>
  <c r="I61"/>
  <c r="K61"/>
  <c r="M61"/>
  <c r="H62"/>
  <c r="L62" s="1"/>
  <c r="G63"/>
  <c r="I63"/>
  <c r="K63"/>
  <c r="M63"/>
  <c r="H64"/>
  <c r="G65"/>
  <c r="I65"/>
  <c r="K65"/>
  <c r="M65"/>
  <c r="H66"/>
  <c r="G67"/>
  <c r="I67"/>
  <c r="K67"/>
  <c r="M67"/>
  <c r="H68"/>
  <c r="G69"/>
  <c r="I69"/>
  <c r="K69"/>
  <c r="M69"/>
  <c r="H70"/>
  <c r="G71"/>
  <c r="I71"/>
  <c r="K71"/>
  <c r="M71"/>
  <c r="H72"/>
  <c r="G73"/>
  <c r="I73"/>
  <c r="K73"/>
  <c r="J75"/>
  <c r="J77"/>
  <c r="J79"/>
  <c r="J81"/>
  <c r="J83"/>
  <c r="J85"/>
  <c r="J87"/>
  <c r="J89"/>
  <c r="J91"/>
  <c r="J93"/>
  <c r="J95"/>
  <c r="J97"/>
  <c r="J99"/>
  <c r="J101"/>
  <c r="H37"/>
  <c r="H39"/>
  <c r="H41"/>
  <c r="H43"/>
  <c r="H45"/>
  <c r="H47"/>
  <c r="H49"/>
  <c r="H51"/>
  <c r="H53"/>
  <c r="H55"/>
  <c r="H57"/>
  <c r="H59"/>
  <c r="H61"/>
  <c r="H63"/>
  <c r="H65"/>
  <c r="H67"/>
  <c r="H69"/>
  <c r="H71"/>
  <c r="H73"/>
  <c r="J73"/>
  <c r="H77"/>
  <c r="H79"/>
  <c r="H81"/>
  <c r="H83"/>
  <c r="H85"/>
  <c r="H87"/>
  <c r="H89"/>
  <c r="H91"/>
  <c r="H93"/>
  <c r="H95"/>
  <c r="H97"/>
  <c r="H99"/>
  <c r="H101"/>
  <c r="H74"/>
  <c r="H76"/>
  <c r="H78"/>
  <c r="H80"/>
  <c r="L80" s="1"/>
  <c r="H82"/>
  <c r="H84"/>
  <c r="H86"/>
  <c r="H88"/>
  <c r="H90"/>
  <c r="H92"/>
  <c r="H94"/>
  <c r="H96"/>
  <c r="H98"/>
  <c r="H100"/>
  <c r="H102"/>
  <c r="G103"/>
  <c r="I103"/>
  <c r="K103"/>
  <c r="M103"/>
  <c r="H104"/>
  <c r="G105"/>
  <c r="I105"/>
  <c r="K105"/>
  <c r="M105"/>
  <c r="H106"/>
  <c r="G107"/>
  <c r="I107"/>
  <c r="K107"/>
  <c r="M107"/>
  <c r="H108"/>
  <c r="G109"/>
  <c r="I109"/>
  <c r="K109"/>
  <c r="M109"/>
  <c r="H110"/>
  <c r="G111"/>
  <c r="I111"/>
  <c r="K111"/>
  <c r="M111"/>
  <c r="H112"/>
  <c r="G113"/>
  <c r="I113"/>
  <c r="K113"/>
  <c r="H114"/>
  <c r="G115"/>
  <c r="I115"/>
  <c r="K115"/>
  <c r="H116"/>
  <c r="G117"/>
  <c r="I117"/>
  <c r="K117"/>
  <c r="M117"/>
  <c r="H118"/>
  <c r="G119"/>
  <c r="I119"/>
  <c r="K119"/>
  <c r="M119"/>
  <c r="H120"/>
  <c r="G121"/>
  <c r="I121"/>
  <c r="K121"/>
  <c r="H122"/>
  <c r="G123"/>
  <c r="I123"/>
  <c r="K123"/>
  <c r="H124"/>
  <c r="G125"/>
  <c r="I125"/>
  <c r="K125"/>
  <c r="H126"/>
  <c r="G127"/>
  <c r="I127"/>
  <c r="K127"/>
  <c r="M127"/>
  <c r="H128"/>
  <c r="G129"/>
  <c r="I129"/>
  <c r="K129"/>
  <c r="M129"/>
  <c r="H130"/>
  <c r="G131"/>
  <c r="I131"/>
  <c r="K131"/>
  <c r="M131"/>
  <c r="H132"/>
  <c r="G133"/>
  <c r="I133"/>
  <c r="K133"/>
  <c r="M133"/>
  <c r="H134"/>
  <c r="G135"/>
  <c r="I135"/>
  <c r="K135"/>
  <c r="M135"/>
  <c r="H136"/>
  <c r="J136"/>
  <c r="H103"/>
  <c r="H105"/>
  <c r="H107"/>
  <c r="H109"/>
  <c r="H111"/>
  <c r="H113"/>
  <c r="H115"/>
  <c r="H117"/>
  <c r="H119"/>
  <c r="H121"/>
  <c r="H123"/>
  <c r="H125"/>
  <c r="H127"/>
  <c r="H129"/>
  <c r="H131"/>
  <c r="H133"/>
  <c r="H135"/>
  <c r="J145" l="1"/>
  <c r="L70"/>
  <c r="L52"/>
  <c r="L136"/>
  <c r="G146"/>
  <c r="L128"/>
  <c r="N128" s="1"/>
  <c r="I145"/>
  <c r="L66"/>
  <c r="L48"/>
  <c r="L44"/>
  <c r="L36"/>
  <c r="L24"/>
  <c r="L22"/>
  <c r="L20"/>
  <c r="L15"/>
  <c r="L56"/>
  <c r="L42"/>
  <c r="N42" s="1"/>
  <c r="L32"/>
  <c r="J143"/>
  <c r="G145"/>
  <c r="L108"/>
  <c r="N108" s="1"/>
  <c r="L92"/>
  <c r="L76"/>
  <c r="N76" s="1"/>
  <c r="L64"/>
  <c r="H146"/>
  <c r="H145"/>
  <c r="H143" s="1"/>
  <c r="K146"/>
  <c r="L132"/>
  <c r="L54"/>
  <c r="L40"/>
  <c r="N40" s="1"/>
  <c r="L30"/>
  <c r="N30" s="1"/>
  <c r="I143"/>
  <c r="I152" s="1"/>
  <c r="C10" i="25"/>
  <c r="L124" i="18"/>
  <c r="N124" s="1"/>
  <c r="L120"/>
  <c r="N120" s="1"/>
  <c r="L100"/>
  <c r="N100" s="1"/>
  <c r="L84"/>
  <c r="N84" s="1"/>
  <c r="I146"/>
  <c r="K145"/>
  <c r="K143" s="1"/>
  <c r="L116"/>
  <c r="N116" s="1"/>
  <c r="L112"/>
  <c r="N112" s="1"/>
  <c r="L104"/>
  <c r="N104" s="1"/>
  <c r="L96"/>
  <c r="N96" s="1"/>
  <c r="L88"/>
  <c r="L50"/>
  <c r="K140"/>
  <c r="AE58" i="20"/>
  <c r="AE60" s="1"/>
  <c r="AE43"/>
  <c r="AC39"/>
  <c r="AC40" s="1"/>
  <c r="AC41" s="1"/>
  <c r="AC59" s="1"/>
  <c r="L154" i="18"/>
  <c r="N46"/>
  <c r="N34"/>
  <c r="M16"/>
  <c r="J152"/>
  <c r="AB12" i="20"/>
  <c r="M115" i="18"/>
  <c r="G143"/>
  <c r="AB9" i="20" s="1"/>
  <c r="AC12"/>
  <c r="P5" i="18"/>
  <c r="Q4"/>
  <c r="M53"/>
  <c r="M123"/>
  <c r="N70"/>
  <c r="N62"/>
  <c r="N50"/>
  <c r="M35"/>
  <c r="M21"/>
  <c r="M17"/>
  <c r="M60"/>
  <c r="M54"/>
  <c r="M44"/>
  <c r="N44" s="1"/>
  <c r="M36"/>
  <c r="M32"/>
  <c r="N32" s="1"/>
  <c r="M26"/>
  <c r="N26" s="1"/>
  <c r="M24"/>
  <c r="N24" s="1"/>
  <c r="M20"/>
  <c r="N20" s="1"/>
  <c r="M125"/>
  <c r="M121"/>
  <c r="M113"/>
  <c r="M136"/>
  <c r="N136" s="1"/>
  <c r="M47"/>
  <c r="M25"/>
  <c r="M19"/>
  <c r="M99"/>
  <c r="M95"/>
  <c r="M93"/>
  <c r="M85"/>
  <c r="M80"/>
  <c r="N80" s="1"/>
  <c r="M78"/>
  <c r="M132"/>
  <c r="N132" s="1"/>
  <c r="M130"/>
  <c r="M106"/>
  <c r="M98"/>
  <c r="M92"/>
  <c r="M88"/>
  <c r="M86"/>
  <c r="M66"/>
  <c r="N66" s="1"/>
  <c r="J144"/>
  <c r="J140"/>
  <c r="G140"/>
  <c r="G144"/>
  <c r="K153"/>
  <c r="AB22" i="20"/>
  <c r="L11" i="18"/>
  <c r="H144"/>
  <c r="H140"/>
  <c r="N16"/>
  <c r="E147"/>
  <c r="I140"/>
  <c r="I144"/>
  <c r="L134"/>
  <c r="N134" s="1"/>
  <c r="L130"/>
  <c r="L126"/>
  <c r="N126" s="1"/>
  <c r="L122"/>
  <c r="N122" s="1"/>
  <c r="L118"/>
  <c r="N118" s="1"/>
  <c r="L114"/>
  <c r="N114" s="1"/>
  <c r="L110"/>
  <c r="N110" s="1"/>
  <c r="L106"/>
  <c r="L102"/>
  <c r="N102" s="1"/>
  <c r="L98"/>
  <c r="N98" s="1"/>
  <c r="L94"/>
  <c r="N94" s="1"/>
  <c r="L90"/>
  <c r="N90" s="1"/>
  <c r="L86"/>
  <c r="N86" s="1"/>
  <c r="L82"/>
  <c r="L78"/>
  <c r="L74"/>
  <c r="N74" s="1"/>
  <c r="L72"/>
  <c r="N72" s="1"/>
  <c r="L68"/>
  <c r="N68" s="1"/>
  <c r="N60"/>
  <c r="N56"/>
  <c r="N52"/>
  <c r="N48"/>
  <c r="N36"/>
  <c r="N28"/>
  <c r="N22"/>
  <c r="L18"/>
  <c r="L13"/>
  <c r="N13" s="1"/>
  <c r="M82"/>
  <c r="N82" s="1"/>
  <c r="M64"/>
  <c r="N64" s="1"/>
  <c r="M18"/>
  <c r="M15"/>
  <c r="N15" s="1"/>
  <c r="M11"/>
  <c r="L131"/>
  <c r="N131" s="1"/>
  <c r="L119"/>
  <c r="N119" s="1"/>
  <c r="L115"/>
  <c r="N115" s="1"/>
  <c r="L107"/>
  <c r="N107" s="1"/>
  <c r="L103"/>
  <c r="N103" s="1"/>
  <c r="L73"/>
  <c r="N73" s="1"/>
  <c r="L69"/>
  <c r="N69" s="1"/>
  <c r="L65"/>
  <c r="N65" s="1"/>
  <c r="L61"/>
  <c r="N61" s="1"/>
  <c r="L57"/>
  <c r="N57" s="1"/>
  <c r="L53"/>
  <c r="N53" s="1"/>
  <c r="L49"/>
  <c r="N49" s="1"/>
  <c r="L45"/>
  <c r="N45" s="1"/>
  <c r="L41"/>
  <c r="N41" s="1"/>
  <c r="L37"/>
  <c r="N37" s="1"/>
  <c r="L33"/>
  <c r="N33" s="1"/>
  <c r="L29"/>
  <c r="N29" s="1"/>
  <c r="L25"/>
  <c r="L23"/>
  <c r="N23" s="1"/>
  <c r="L19"/>
  <c r="L14"/>
  <c r="N14" s="1"/>
  <c r="L12"/>
  <c r="N12" s="1"/>
  <c r="L101"/>
  <c r="N101" s="1"/>
  <c r="L99"/>
  <c r="L97"/>
  <c r="N97" s="1"/>
  <c r="L95"/>
  <c r="N95" s="1"/>
  <c r="L93"/>
  <c r="N93" s="1"/>
  <c r="L91"/>
  <c r="N91" s="1"/>
  <c r="L89"/>
  <c r="N89" s="1"/>
  <c r="L87"/>
  <c r="N87" s="1"/>
  <c r="L85"/>
  <c r="N85" s="1"/>
  <c r="L83"/>
  <c r="N83" s="1"/>
  <c r="L81"/>
  <c r="N81" s="1"/>
  <c r="L79"/>
  <c r="N79" s="1"/>
  <c r="L77"/>
  <c r="N77" s="1"/>
  <c r="L75"/>
  <c r="N75" s="1"/>
  <c r="L135"/>
  <c r="N135" s="1"/>
  <c r="L127"/>
  <c r="N127" s="1"/>
  <c r="L123"/>
  <c r="N123" s="1"/>
  <c r="L111"/>
  <c r="N111" s="1"/>
  <c r="L133"/>
  <c r="N133" s="1"/>
  <c r="L129"/>
  <c r="N129" s="1"/>
  <c r="L125"/>
  <c r="N125" s="1"/>
  <c r="L121"/>
  <c r="N121" s="1"/>
  <c r="L117"/>
  <c r="N117" s="1"/>
  <c r="L113"/>
  <c r="L109"/>
  <c r="N109" s="1"/>
  <c r="L105"/>
  <c r="N105" s="1"/>
  <c r="L71"/>
  <c r="N71" s="1"/>
  <c r="L67"/>
  <c r="N67" s="1"/>
  <c r="L63"/>
  <c r="N63" s="1"/>
  <c r="L59"/>
  <c r="N59" s="1"/>
  <c r="L55"/>
  <c r="N55" s="1"/>
  <c r="L51"/>
  <c r="N51" s="1"/>
  <c r="L47"/>
  <c r="N47" s="1"/>
  <c r="L43"/>
  <c r="N43" s="1"/>
  <c r="L39"/>
  <c r="N39" s="1"/>
  <c r="L35"/>
  <c r="L31"/>
  <c r="N31" s="1"/>
  <c r="L27"/>
  <c r="N27" s="1"/>
  <c r="L21"/>
  <c r="L17"/>
  <c r="L146" l="1"/>
  <c r="AB17" i="20" s="1"/>
  <c r="H152" i="18"/>
  <c r="AB10" i="20"/>
  <c r="AB13"/>
  <c r="K148" i="18"/>
  <c r="K152"/>
  <c r="N17"/>
  <c r="N21"/>
  <c r="N92"/>
  <c r="N54"/>
  <c r="L143"/>
  <c r="AB11" i="20"/>
  <c r="L145" i="18"/>
  <c r="AB8" i="20" s="1"/>
  <c r="N88" i="18"/>
  <c r="N19"/>
  <c r="N130"/>
  <c r="N78"/>
  <c r="N35"/>
  <c r="N113"/>
  <c r="N99"/>
  <c r="N25"/>
  <c r="AC13" i="20"/>
  <c r="AC11"/>
  <c r="AC10"/>
  <c r="D152" i="18"/>
  <c r="L140"/>
  <c r="E144"/>
  <c r="AB51" i="20" s="1"/>
  <c r="N106" i="18"/>
  <c r="I153"/>
  <c r="AB20" i="20"/>
  <c r="I148" i="18"/>
  <c r="AB52" i="20"/>
  <c r="AB31"/>
  <c r="AB18"/>
  <c r="L144" i="18"/>
  <c r="G148"/>
  <c r="N18"/>
  <c r="E143"/>
  <c r="H153"/>
  <c r="AB19" i="20"/>
  <c r="H148" i="18"/>
  <c r="AC22" i="20"/>
  <c r="K155" i="18"/>
  <c r="J153"/>
  <c r="AB21" i="20"/>
  <c r="J148" i="18"/>
  <c r="M138"/>
  <c r="N11"/>
  <c r="AB26" i="20" l="1"/>
  <c r="L148" i="18"/>
  <c r="AB14" i="20"/>
  <c r="AB15" s="1"/>
  <c r="AC14"/>
  <c r="N138" i="18"/>
  <c r="AC21" i="20"/>
  <c r="J155" i="18"/>
  <c r="AC31" i="20"/>
  <c r="AB23"/>
  <c r="AB24" s="1"/>
  <c r="AB28"/>
  <c r="E148" i="18"/>
  <c r="E152" s="1"/>
  <c r="AB50" i="20"/>
  <c r="AB27"/>
  <c r="AB29"/>
  <c r="AB30"/>
  <c r="AC19"/>
  <c r="H155" i="18"/>
  <c r="G153"/>
  <c r="AC20" i="20"/>
  <c r="I155" i="18"/>
  <c r="F136" i="17"/>
  <c r="J136" s="1"/>
  <c r="F135"/>
  <c r="J135" s="1"/>
  <c r="F134"/>
  <c r="J134" s="1"/>
  <c r="F133"/>
  <c r="J133" s="1"/>
  <c r="G132"/>
  <c r="F132"/>
  <c r="J132" s="1"/>
  <c r="F131"/>
  <c r="J131" s="1"/>
  <c r="F130"/>
  <c r="J130" s="1"/>
  <c r="F129"/>
  <c r="J129" s="1"/>
  <c r="F128"/>
  <c r="J128" s="1"/>
  <c r="F127"/>
  <c r="J127" s="1"/>
  <c r="I126"/>
  <c r="G126"/>
  <c r="F126"/>
  <c r="J126" s="1"/>
  <c r="F125"/>
  <c r="J125" s="1"/>
  <c r="K124"/>
  <c r="I124"/>
  <c r="G124"/>
  <c r="F124"/>
  <c r="J124" s="1"/>
  <c r="F123"/>
  <c r="J123" s="1"/>
  <c r="F122"/>
  <c r="J122" s="1"/>
  <c r="F121"/>
  <c r="J121" s="1"/>
  <c r="F120"/>
  <c r="J120" s="1"/>
  <c r="F119"/>
  <c r="J119" s="1"/>
  <c r="I118"/>
  <c r="F118"/>
  <c r="J118" s="1"/>
  <c r="F117"/>
  <c r="J117" s="1"/>
  <c r="K116"/>
  <c r="G116"/>
  <c r="F116"/>
  <c r="J116" s="1"/>
  <c r="F115"/>
  <c r="J115" s="1"/>
  <c r="F114"/>
  <c r="J114" s="1"/>
  <c r="F113"/>
  <c r="J113" s="1"/>
  <c r="I112"/>
  <c r="F112"/>
  <c r="J112" s="1"/>
  <c r="F111"/>
  <c r="J111" s="1"/>
  <c r="K110"/>
  <c r="F110"/>
  <c r="J110" s="1"/>
  <c r="F109"/>
  <c r="J109" s="1"/>
  <c r="I108"/>
  <c r="G108"/>
  <c r="F108"/>
  <c r="J108" s="1"/>
  <c r="F107"/>
  <c r="J107" s="1"/>
  <c r="I106"/>
  <c r="F106"/>
  <c r="J106" s="1"/>
  <c r="F105"/>
  <c r="J105" s="1"/>
  <c r="F104"/>
  <c r="J104" s="1"/>
  <c r="F103"/>
  <c r="J103" s="1"/>
  <c r="F102"/>
  <c r="J102" s="1"/>
  <c r="F101"/>
  <c r="K100"/>
  <c r="I100"/>
  <c r="G100"/>
  <c r="F100"/>
  <c r="J100" s="1"/>
  <c r="F99"/>
  <c r="H99" s="1"/>
  <c r="F98"/>
  <c r="J98" s="1"/>
  <c r="H97"/>
  <c r="F97"/>
  <c r="K96"/>
  <c r="I96"/>
  <c r="G96"/>
  <c r="F96"/>
  <c r="J96" s="1"/>
  <c r="F95"/>
  <c r="H95" s="1"/>
  <c r="F94"/>
  <c r="J94" s="1"/>
  <c r="F93"/>
  <c r="H93" s="1"/>
  <c r="I92"/>
  <c r="F92"/>
  <c r="J92" s="1"/>
  <c r="F91"/>
  <c r="H91" s="1"/>
  <c r="F90"/>
  <c r="J90" s="1"/>
  <c r="F89"/>
  <c r="H89" s="1"/>
  <c r="K88"/>
  <c r="I88"/>
  <c r="F88"/>
  <c r="J88" s="1"/>
  <c r="F87"/>
  <c r="H87" s="1"/>
  <c r="F86"/>
  <c r="J86" s="1"/>
  <c r="F85"/>
  <c r="H85" s="1"/>
  <c r="K84"/>
  <c r="F84"/>
  <c r="J84" s="1"/>
  <c r="H83"/>
  <c r="F83"/>
  <c r="K82"/>
  <c r="I82"/>
  <c r="G82"/>
  <c r="F82"/>
  <c r="J82" s="1"/>
  <c r="F81"/>
  <c r="H81" s="1"/>
  <c r="F80"/>
  <c r="J80" s="1"/>
  <c r="F79"/>
  <c r="H79" s="1"/>
  <c r="I78"/>
  <c r="F78"/>
  <c r="J78" s="1"/>
  <c r="F77"/>
  <c r="H77" s="1"/>
  <c r="K76"/>
  <c r="F76"/>
  <c r="J76" s="1"/>
  <c r="H75"/>
  <c r="F75"/>
  <c r="K74"/>
  <c r="G74"/>
  <c r="F74"/>
  <c r="J74" s="1"/>
  <c r="F73"/>
  <c r="M73" s="1"/>
  <c r="I72"/>
  <c r="F72"/>
  <c r="J72" s="1"/>
  <c r="F71"/>
  <c r="J71" s="1"/>
  <c r="F70"/>
  <c r="J70" s="1"/>
  <c r="F69"/>
  <c r="J69" s="1"/>
  <c r="I68"/>
  <c r="F68"/>
  <c r="J68" s="1"/>
  <c r="F67"/>
  <c r="J67" s="1"/>
  <c r="F66"/>
  <c r="J66" s="1"/>
  <c r="F65"/>
  <c r="J65" s="1"/>
  <c r="F64"/>
  <c r="J64" s="1"/>
  <c r="F63"/>
  <c r="J63" s="1"/>
  <c r="K62"/>
  <c r="G62"/>
  <c r="F62"/>
  <c r="J62" s="1"/>
  <c r="F61"/>
  <c r="J61" s="1"/>
  <c r="I60"/>
  <c r="F60"/>
  <c r="J60" s="1"/>
  <c r="F59"/>
  <c r="J59" s="1"/>
  <c r="F58"/>
  <c r="J58" s="1"/>
  <c r="F57"/>
  <c r="J57" s="1"/>
  <c r="K56"/>
  <c r="G56"/>
  <c r="F56"/>
  <c r="J56" s="1"/>
  <c r="F55"/>
  <c r="J55" s="1"/>
  <c r="I54"/>
  <c r="F54"/>
  <c r="J54" s="1"/>
  <c r="F53"/>
  <c r="J53" s="1"/>
  <c r="F52"/>
  <c r="J52" s="1"/>
  <c r="F51"/>
  <c r="J51" s="1"/>
  <c r="K50"/>
  <c r="G50"/>
  <c r="F50"/>
  <c r="J50" s="1"/>
  <c r="F49"/>
  <c r="J49" s="1"/>
  <c r="I48"/>
  <c r="F48"/>
  <c r="J48" s="1"/>
  <c r="F47"/>
  <c r="J47" s="1"/>
  <c r="F46"/>
  <c r="J46" s="1"/>
  <c r="F45"/>
  <c r="H45" s="1"/>
  <c r="F44"/>
  <c r="J44" s="1"/>
  <c r="F43"/>
  <c r="H43" s="1"/>
  <c r="K42"/>
  <c r="I42"/>
  <c r="G42"/>
  <c r="F42"/>
  <c r="J42" s="1"/>
  <c r="F41"/>
  <c r="J41" s="1"/>
  <c r="F40"/>
  <c r="J40" s="1"/>
  <c r="F39"/>
  <c r="J39" s="1"/>
  <c r="F38"/>
  <c r="J38" s="1"/>
  <c r="F37"/>
  <c r="K36"/>
  <c r="G36"/>
  <c r="F36"/>
  <c r="J36" s="1"/>
  <c r="F35"/>
  <c r="H35" s="1"/>
  <c r="F34"/>
  <c r="J34" s="1"/>
  <c r="F33"/>
  <c r="J33" s="1"/>
  <c r="F32"/>
  <c r="J32" s="1"/>
  <c r="F31"/>
  <c r="H31" s="1"/>
  <c r="K30"/>
  <c r="I30"/>
  <c r="G30"/>
  <c r="F30"/>
  <c r="J30" s="1"/>
  <c r="F29"/>
  <c r="J29" s="1"/>
  <c r="K28"/>
  <c r="I28"/>
  <c r="F28"/>
  <c r="J28" s="1"/>
  <c r="F27"/>
  <c r="J27" s="1"/>
  <c r="F26"/>
  <c r="J26" s="1"/>
  <c r="F25"/>
  <c r="J25" s="1"/>
  <c r="F24"/>
  <c r="J24" s="1"/>
  <c r="F23"/>
  <c r="J23" s="1"/>
  <c r="K22"/>
  <c r="G22"/>
  <c r="F22"/>
  <c r="J22" s="1"/>
  <c r="F21"/>
  <c r="I20"/>
  <c r="F20"/>
  <c r="J20" s="1"/>
  <c r="F19"/>
  <c r="H19" s="1"/>
  <c r="F18"/>
  <c r="J18" s="1"/>
  <c r="F17"/>
  <c r="J17" s="1"/>
  <c r="F16"/>
  <c r="G154" s="1"/>
  <c r="F15"/>
  <c r="J15" s="1"/>
  <c r="K14"/>
  <c r="F14"/>
  <c r="J14" s="1"/>
  <c r="F13"/>
  <c r="J13" s="1"/>
  <c r="F12"/>
  <c r="J12" s="1"/>
  <c r="F11"/>
  <c r="E7"/>
  <c r="AB45" i="20" l="1"/>
  <c r="K132" i="17"/>
  <c r="I134"/>
  <c r="K26"/>
  <c r="K40"/>
  <c r="K66"/>
  <c r="K68"/>
  <c r="K78"/>
  <c r="K80"/>
  <c r="G102"/>
  <c r="K106"/>
  <c r="K112"/>
  <c r="K122"/>
  <c r="J146"/>
  <c r="I102"/>
  <c r="K18"/>
  <c r="K20"/>
  <c r="I22"/>
  <c r="K34"/>
  <c r="I36"/>
  <c r="K46"/>
  <c r="K48"/>
  <c r="I50"/>
  <c r="K52"/>
  <c r="K54"/>
  <c r="I56"/>
  <c r="K58"/>
  <c r="K60"/>
  <c r="I62"/>
  <c r="K72"/>
  <c r="I74"/>
  <c r="G78"/>
  <c r="M84"/>
  <c r="K92"/>
  <c r="G106"/>
  <c r="G112"/>
  <c r="I116"/>
  <c r="G118"/>
  <c r="K130"/>
  <c r="I132"/>
  <c r="G134"/>
  <c r="K136"/>
  <c r="M104"/>
  <c r="G24"/>
  <c r="G32"/>
  <c r="M34"/>
  <c r="G38"/>
  <c r="M40"/>
  <c r="G64"/>
  <c r="G70"/>
  <c r="G86"/>
  <c r="G90"/>
  <c r="G94"/>
  <c r="G104"/>
  <c r="G114"/>
  <c r="G120"/>
  <c r="G128"/>
  <c r="I12"/>
  <c r="BA38" i="20"/>
  <c r="G18" i="17"/>
  <c r="I32"/>
  <c r="G34"/>
  <c r="I44"/>
  <c r="I64"/>
  <c r="G66"/>
  <c r="M68"/>
  <c r="I70"/>
  <c r="I86"/>
  <c r="I98"/>
  <c r="K102"/>
  <c r="I104"/>
  <c r="K108"/>
  <c r="G110"/>
  <c r="M112"/>
  <c r="I114"/>
  <c r="K118"/>
  <c r="I120"/>
  <c r="G122"/>
  <c r="K126"/>
  <c r="I128"/>
  <c r="G130"/>
  <c r="K134"/>
  <c r="G136"/>
  <c r="M70"/>
  <c r="M114"/>
  <c r="G12"/>
  <c r="G44"/>
  <c r="G98"/>
  <c r="G14"/>
  <c r="I24"/>
  <c r="G26"/>
  <c r="I38"/>
  <c r="G40"/>
  <c r="G46"/>
  <c r="G52"/>
  <c r="G58"/>
  <c r="G76"/>
  <c r="G80"/>
  <c r="G84"/>
  <c r="I90"/>
  <c r="I94"/>
  <c r="F140"/>
  <c r="K12"/>
  <c r="I14"/>
  <c r="H16"/>
  <c r="I18"/>
  <c r="G20"/>
  <c r="K24"/>
  <c r="I26"/>
  <c r="G28"/>
  <c r="K32"/>
  <c r="I34"/>
  <c r="K38"/>
  <c r="I40"/>
  <c r="K44"/>
  <c r="I46"/>
  <c r="G48"/>
  <c r="M50"/>
  <c r="I52"/>
  <c r="G54"/>
  <c r="M56"/>
  <c r="I58"/>
  <c r="G60"/>
  <c r="K64"/>
  <c r="I66"/>
  <c r="G68"/>
  <c r="K70"/>
  <c r="G72"/>
  <c r="I76"/>
  <c r="I80"/>
  <c r="I84"/>
  <c r="K86"/>
  <c r="G88"/>
  <c r="K90"/>
  <c r="G92"/>
  <c r="K94"/>
  <c r="K98"/>
  <c r="K104"/>
  <c r="M108"/>
  <c r="I110"/>
  <c r="K114"/>
  <c r="K120"/>
  <c r="I122"/>
  <c r="K128"/>
  <c r="I130"/>
  <c r="M134"/>
  <c r="I136"/>
  <c r="AB32" i="20"/>
  <c r="AB33" s="1"/>
  <c r="AB43" s="1"/>
  <c r="AC29"/>
  <c r="AC50"/>
  <c r="E154" i="18"/>
  <c r="AC52" i="20" s="1"/>
  <c r="E153" i="18"/>
  <c r="AC51" i="20" s="1"/>
  <c r="L153" i="18"/>
  <c r="AC18" i="20"/>
  <c r="G152" i="18"/>
  <c r="AC28" i="20"/>
  <c r="AC23"/>
  <c r="AB53"/>
  <c r="AC30"/>
  <c r="K75" i="17"/>
  <c r="I75"/>
  <c r="G75"/>
  <c r="M77"/>
  <c r="K77"/>
  <c r="I77"/>
  <c r="G77"/>
  <c r="K79"/>
  <c r="I79"/>
  <c r="G79"/>
  <c r="M81"/>
  <c r="K81"/>
  <c r="I81"/>
  <c r="G81"/>
  <c r="K83"/>
  <c r="I83"/>
  <c r="G83"/>
  <c r="K85"/>
  <c r="I85"/>
  <c r="G85"/>
  <c r="K87"/>
  <c r="I87"/>
  <c r="G87"/>
  <c r="K89"/>
  <c r="I89"/>
  <c r="G89"/>
  <c r="M91"/>
  <c r="K91"/>
  <c r="I91"/>
  <c r="G91"/>
  <c r="K93"/>
  <c r="I93"/>
  <c r="G93"/>
  <c r="K95"/>
  <c r="I95"/>
  <c r="G95"/>
  <c r="M97"/>
  <c r="K97"/>
  <c r="I97"/>
  <c r="G97"/>
  <c r="K99"/>
  <c r="I99"/>
  <c r="G99"/>
  <c r="K101"/>
  <c r="I101"/>
  <c r="G101"/>
  <c r="H11"/>
  <c r="H13"/>
  <c r="H15"/>
  <c r="J19"/>
  <c r="H21"/>
  <c r="J21"/>
  <c r="H23"/>
  <c r="H25"/>
  <c r="J31"/>
  <c r="H33"/>
  <c r="J35"/>
  <c r="H37"/>
  <c r="J37"/>
  <c r="H39"/>
  <c r="J43"/>
  <c r="J45"/>
  <c r="G11"/>
  <c r="I11"/>
  <c r="K11"/>
  <c r="H12"/>
  <c r="G13"/>
  <c r="I13"/>
  <c r="K13"/>
  <c r="M13"/>
  <c r="H14"/>
  <c r="G15"/>
  <c r="I15"/>
  <c r="K15"/>
  <c r="G17"/>
  <c r="I17"/>
  <c r="K17"/>
  <c r="H18"/>
  <c r="G19"/>
  <c r="I19"/>
  <c r="K19"/>
  <c r="H20"/>
  <c r="G21"/>
  <c r="I21"/>
  <c r="K21"/>
  <c r="H22"/>
  <c r="L22" s="1"/>
  <c r="G23"/>
  <c r="I23"/>
  <c r="K23"/>
  <c r="M23"/>
  <c r="H24"/>
  <c r="G25"/>
  <c r="I25"/>
  <c r="K25"/>
  <c r="H26"/>
  <c r="L26" s="1"/>
  <c r="G27"/>
  <c r="I27"/>
  <c r="K27"/>
  <c r="H28"/>
  <c r="L28" s="1"/>
  <c r="G29"/>
  <c r="I29"/>
  <c r="K29"/>
  <c r="H30"/>
  <c r="L30" s="1"/>
  <c r="G31"/>
  <c r="I31"/>
  <c r="K31"/>
  <c r="M31"/>
  <c r="H32"/>
  <c r="G33"/>
  <c r="I33"/>
  <c r="K33"/>
  <c r="M33"/>
  <c r="H34"/>
  <c r="G35"/>
  <c r="I35"/>
  <c r="K35"/>
  <c r="H36"/>
  <c r="L36" s="1"/>
  <c r="G37"/>
  <c r="I37"/>
  <c r="K37"/>
  <c r="H38"/>
  <c r="G39"/>
  <c r="I39"/>
  <c r="K39"/>
  <c r="M39"/>
  <c r="H40"/>
  <c r="G41"/>
  <c r="I41"/>
  <c r="K41"/>
  <c r="H42"/>
  <c r="L42" s="1"/>
  <c r="G43"/>
  <c r="I43"/>
  <c r="K43"/>
  <c r="H44"/>
  <c r="G45"/>
  <c r="I45"/>
  <c r="K45"/>
  <c r="H46"/>
  <c r="G47"/>
  <c r="I47"/>
  <c r="K47"/>
  <c r="H48"/>
  <c r="L48" s="1"/>
  <c r="G49"/>
  <c r="I49"/>
  <c r="K49"/>
  <c r="M49"/>
  <c r="H50"/>
  <c r="L50" s="1"/>
  <c r="N50" s="1"/>
  <c r="G51"/>
  <c r="I51"/>
  <c r="K51"/>
  <c r="M51"/>
  <c r="H52"/>
  <c r="L52" s="1"/>
  <c r="G53"/>
  <c r="I53"/>
  <c r="K53"/>
  <c r="H54"/>
  <c r="G55"/>
  <c r="I55"/>
  <c r="K55"/>
  <c r="M55"/>
  <c r="H56"/>
  <c r="L56" s="1"/>
  <c r="N56" s="1"/>
  <c r="G57"/>
  <c r="I57"/>
  <c r="K57"/>
  <c r="M57"/>
  <c r="H58"/>
  <c r="G59"/>
  <c r="I59"/>
  <c r="K59"/>
  <c r="H60"/>
  <c r="G61"/>
  <c r="I61"/>
  <c r="K61"/>
  <c r="M61"/>
  <c r="H62"/>
  <c r="G63"/>
  <c r="I63"/>
  <c r="K63"/>
  <c r="H64"/>
  <c r="G65"/>
  <c r="I65"/>
  <c r="K65"/>
  <c r="M65"/>
  <c r="H66"/>
  <c r="G67"/>
  <c r="I67"/>
  <c r="K67"/>
  <c r="H68"/>
  <c r="L68" s="1"/>
  <c r="N68" s="1"/>
  <c r="G69"/>
  <c r="I69"/>
  <c r="K69"/>
  <c r="M69"/>
  <c r="H70"/>
  <c r="G71"/>
  <c r="I71"/>
  <c r="K71"/>
  <c r="H72"/>
  <c r="L72" s="1"/>
  <c r="G73"/>
  <c r="I73"/>
  <c r="K73"/>
  <c r="J75"/>
  <c r="J77"/>
  <c r="J79"/>
  <c r="J81"/>
  <c r="J83"/>
  <c r="J85"/>
  <c r="J87"/>
  <c r="J89"/>
  <c r="J91"/>
  <c r="J93"/>
  <c r="J95"/>
  <c r="J97"/>
  <c r="J99"/>
  <c r="J101"/>
  <c r="N6"/>
  <c r="N4"/>
  <c r="M67" s="1"/>
  <c r="N7"/>
  <c r="J11"/>
  <c r="J144" s="1"/>
  <c r="H17"/>
  <c r="H27"/>
  <c r="H29"/>
  <c r="H41"/>
  <c r="H47"/>
  <c r="H49"/>
  <c r="H51"/>
  <c r="H53"/>
  <c r="H55"/>
  <c r="H57"/>
  <c r="H59"/>
  <c r="H61"/>
  <c r="H63"/>
  <c r="H65"/>
  <c r="H67"/>
  <c r="H69"/>
  <c r="H71"/>
  <c r="H73"/>
  <c r="J73"/>
  <c r="H101"/>
  <c r="H74"/>
  <c r="L74" s="1"/>
  <c r="H76"/>
  <c r="L76" s="1"/>
  <c r="H78"/>
  <c r="L78" s="1"/>
  <c r="H80"/>
  <c r="H82"/>
  <c r="L82" s="1"/>
  <c r="H84"/>
  <c r="L84" s="1"/>
  <c r="H86"/>
  <c r="L86" s="1"/>
  <c r="H88"/>
  <c r="L88" s="1"/>
  <c r="H90"/>
  <c r="H92"/>
  <c r="L92" s="1"/>
  <c r="H94"/>
  <c r="L94" s="1"/>
  <c r="H96"/>
  <c r="L96" s="1"/>
  <c r="H98"/>
  <c r="H100"/>
  <c r="L100" s="1"/>
  <c r="H102"/>
  <c r="L102" s="1"/>
  <c r="G103"/>
  <c r="I103"/>
  <c r="K103"/>
  <c r="M103"/>
  <c r="H104"/>
  <c r="G105"/>
  <c r="I105"/>
  <c r="K105"/>
  <c r="M105"/>
  <c r="H106"/>
  <c r="L106" s="1"/>
  <c r="G107"/>
  <c r="I107"/>
  <c r="K107"/>
  <c r="M107"/>
  <c r="H108"/>
  <c r="L108" s="1"/>
  <c r="N108" s="1"/>
  <c r="G109"/>
  <c r="I109"/>
  <c r="K109"/>
  <c r="M109"/>
  <c r="H110"/>
  <c r="L110" s="1"/>
  <c r="G111"/>
  <c r="I111"/>
  <c r="K111"/>
  <c r="M111"/>
  <c r="H112"/>
  <c r="L112" s="1"/>
  <c r="N112" s="1"/>
  <c r="G113"/>
  <c r="I113"/>
  <c r="K113"/>
  <c r="H114"/>
  <c r="L114" s="1"/>
  <c r="N114" s="1"/>
  <c r="G115"/>
  <c r="I115"/>
  <c r="K115"/>
  <c r="H116"/>
  <c r="G117"/>
  <c r="I117"/>
  <c r="K117"/>
  <c r="M117"/>
  <c r="H118"/>
  <c r="L118" s="1"/>
  <c r="G119"/>
  <c r="I119"/>
  <c r="K119"/>
  <c r="M119"/>
  <c r="H120"/>
  <c r="G121"/>
  <c r="I121"/>
  <c r="K121"/>
  <c r="H122"/>
  <c r="G123"/>
  <c r="I123"/>
  <c r="K123"/>
  <c r="H124"/>
  <c r="L124" s="1"/>
  <c r="G125"/>
  <c r="I125"/>
  <c r="K125"/>
  <c r="M125"/>
  <c r="H126"/>
  <c r="L126" s="1"/>
  <c r="G127"/>
  <c r="I127"/>
  <c r="K127"/>
  <c r="M127"/>
  <c r="H128"/>
  <c r="G129"/>
  <c r="I129"/>
  <c r="K129"/>
  <c r="H130"/>
  <c r="G131"/>
  <c r="I131"/>
  <c r="K131"/>
  <c r="M131"/>
  <c r="H132"/>
  <c r="L132" s="1"/>
  <c r="G133"/>
  <c r="I133"/>
  <c r="K133"/>
  <c r="M133"/>
  <c r="H134"/>
  <c r="G135"/>
  <c r="I135"/>
  <c r="K135"/>
  <c r="M135"/>
  <c r="H136"/>
  <c r="H103"/>
  <c r="H105"/>
  <c r="H107"/>
  <c r="H109"/>
  <c r="H111"/>
  <c r="H113"/>
  <c r="H115"/>
  <c r="H117"/>
  <c r="H119"/>
  <c r="H121"/>
  <c r="H123"/>
  <c r="H125"/>
  <c r="H127"/>
  <c r="H129"/>
  <c r="H131"/>
  <c r="H133"/>
  <c r="H135"/>
  <c r="L134" l="1"/>
  <c r="N134" s="1"/>
  <c r="N84"/>
  <c r="J145"/>
  <c r="J143" s="1"/>
  <c r="J152" s="1"/>
  <c r="L54"/>
  <c r="L32"/>
  <c r="I144"/>
  <c r="K146"/>
  <c r="L64"/>
  <c r="L62"/>
  <c r="L116"/>
  <c r="L80"/>
  <c r="L40"/>
  <c r="N40" s="1"/>
  <c r="J148"/>
  <c r="I153"/>
  <c r="BA20" i="20" s="1"/>
  <c r="AZ20"/>
  <c r="L70" i="17"/>
  <c r="N70" s="1"/>
  <c r="M63"/>
  <c r="L24"/>
  <c r="G144"/>
  <c r="J153"/>
  <c r="BA21" i="20" s="1"/>
  <c r="AZ21"/>
  <c r="H146" i="17"/>
  <c r="H145"/>
  <c r="H143" s="1"/>
  <c r="I146"/>
  <c r="L122"/>
  <c r="L90"/>
  <c r="H144"/>
  <c r="L60"/>
  <c r="L58"/>
  <c r="L46"/>
  <c r="L44"/>
  <c r="L20"/>
  <c r="L18"/>
  <c r="L12"/>
  <c r="I140"/>
  <c r="L131"/>
  <c r="N131" s="1"/>
  <c r="L123"/>
  <c r="K145"/>
  <c r="K143" s="1"/>
  <c r="L115"/>
  <c r="M71"/>
  <c r="L14"/>
  <c r="G140"/>
  <c r="H140"/>
  <c r="L130"/>
  <c r="M123"/>
  <c r="I145"/>
  <c r="I143" s="1"/>
  <c r="M115"/>
  <c r="L98"/>
  <c r="L136"/>
  <c r="L135"/>
  <c r="G146"/>
  <c r="L146" s="1"/>
  <c r="AZ17" i="20" s="1"/>
  <c r="M129" i="17"/>
  <c r="L128"/>
  <c r="L127"/>
  <c r="N127" s="1"/>
  <c r="M121"/>
  <c r="L120"/>
  <c r="L119"/>
  <c r="N119" s="1"/>
  <c r="G145"/>
  <c r="M113"/>
  <c r="L111"/>
  <c r="L104"/>
  <c r="N104" s="1"/>
  <c r="J140"/>
  <c r="L66"/>
  <c r="L38"/>
  <c r="L34"/>
  <c r="N34" s="1"/>
  <c r="K144"/>
  <c r="K140"/>
  <c r="L16"/>
  <c r="H147"/>
  <c r="AB46" i="20"/>
  <c r="AB47" s="1"/>
  <c r="AC24"/>
  <c r="AC32"/>
  <c r="E155" i="18"/>
  <c r="AC9" i="20"/>
  <c r="L152" i="18"/>
  <c r="G155"/>
  <c r="AC53" i="20"/>
  <c r="N135" i="17"/>
  <c r="N123"/>
  <c r="N115"/>
  <c r="N111"/>
  <c r="M136"/>
  <c r="N136" s="1"/>
  <c r="M132"/>
  <c r="N132" s="1"/>
  <c r="M130"/>
  <c r="M128"/>
  <c r="N128" s="1"/>
  <c r="M126"/>
  <c r="N126" s="1"/>
  <c r="M124"/>
  <c r="N124" s="1"/>
  <c r="M122"/>
  <c r="M120"/>
  <c r="N120" s="1"/>
  <c r="M118"/>
  <c r="N118" s="1"/>
  <c r="M116"/>
  <c r="N116" s="1"/>
  <c r="M110"/>
  <c r="N110" s="1"/>
  <c r="M106"/>
  <c r="N106" s="1"/>
  <c r="M102"/>
  <c r="N102" s="1"/>
  <c r="N5"/>
  <c r="M100"/>
  <c r="N100" s="1"/>
  <c r="M98"/>
  <c r="N98" s="1"/>
  <c r="M96"/>
  <c r="N96" s="1"/>
  <c r="M94"/>
  <c r="N94" s="1"/>
  <c r="M92"/>
  <c r="N92" s="1"/>
  <c r="M90"/>
  <c r="N90" s="1"/>
  <c r="M88"/>
  <c r="N88" s="1"/>
  <c r="M86"/>
  <c r="N86" s="1"/>
  <c r="M82"/>
  <c r="N82" s="1"/>
  <c r="M80"/>
  <c r="N80" s="1"/>
  <c r="M78"/>
  <c r="N78" s="1"/>
  <c r="M76"/>
  <c r="N76" s="1"/>
  <c r="M74"/>
  <c r="N74" s="1"/>
  <c r="M72"/>
  <c r="N72" s="1"/>
  <c r="M66"/>
  <c r="N66" s="1"/>
  <c r="M64"/>
  <c r="N64" s="1"/>
  <c r="M62"/>
  <c r="N62" s="1"/>
  <c r="M60"/>
  <c r="N60" s="1"/>
  <c r="M58"/>
  <c r="M54"/>
  <c r="N54" s="1"/>
  <c r="M52"/>
  <c r="N52" s="1"/>
  <c r="M48"/>
  <c r="N48" s="1"/>
  <c r="M46"/>
  <c r="N46" s="1"/>
  <c r="M44"/>
  <c r="N44" s="1"/>
  <c r="M42"/>
  <c r="N42" s="1"/>
  <c r="M30"/>
  <c r="N30" s="1"/>
  <c r="M28"/>
  <c r="N28" s="1"/>
  <c r="M26"/>
  <c r="N26" s="1"/>
  <c r="M24"/>
  <c r="M18"/>
  <c r="M16"/>
  <c r="M38"/>
  <c r="N38" s="1"/>
  <c r="M36"/>
  <c r="N36" s="1"/>
  <c r="M32"/>
  <c r="N32" s="1"/>
  <c r="M22"/>
  <c r="N22" s="1"/>
  <c r="M20"/>
  <c r="N20" s="1"/>
  <c r="M14"/>
  <c r="N14" s="1"/>
  <c r="M12"/>
  <c r="N12" s="1"/>
  <c r="L107"/>
  <c r="N107" s="1"/>
  <c r="L103"/>
  <c r="N103" s="1"/>
  <c r="L133"/>
  <c r="N133" s="1"/>
  <c r="L129"/>
  <c r="N129" s="1"/>
  <c r="L125"/>
  <c r="N125" s="1"/>
  <c r="L121"/>
  <c r="N121" s="1"/>
  <c r="L117"/>
  <c r="N117" s="1"/>
  <c r="L113"/>
  <c r="N113" s="1"/>
  <c r="L109"/>
  <c r="N109" s="1"/>
  <c r="L105"/>
  <c r="N105" s="1"/>
  <c r="L71"/>
  <c r="L67"/>
  <c r="N67" s="1"/>
  <c r="L63"/>
  <c r="N63" s="1"/>
  <c r="L59"/>
  <c r="L55"/>
  <c r="N55" s="1"/>
  <c r="M53"/>
  <c r="L51"/>
  <c r="N51" s="1"/>
  <c r="L47"/>
  <c r="M45"/>
  <c r="L43"/>
  <c r="M41"/>
  <c r="L39"/>
  <c r="N39" s="1"/>
  <c r="L37"/>
  <c r="M35"/>
  <c r="L33"/>
  <c r="N33" s="1"/>
  <c r="L29"/>
  <c r="M27"/>
  <c r="L25"/>
  <c r="L19"/>
  <c r="M17"/>
  <c r="M15"/>
  <c r="L13"/>
  <c r="N13" s="1"/>
  <c r="L11"/>
  <c r="M101"/>
  <c r="M99"/>
  <c r="M95"/>
  <c r="M93"/>
  <c r="M89"/>
  <c r="M87"/>
  <c r="M85"/>
  <c r="M83"/>
  <c r="M79"/>
  <c r="M75"/>
  <c r="M37"/>
  <c r="M21"/>
  <c r="M11"/>
  <c r="L73"/>
  <c r="N73" s="1"/>
  <c r="L69"/>
  <c r="N69" s="1"/>
  <c r="L65"/>
  <c r="N65" s="1"/>
  <c r="L61"/>
  <c r="N61" s="1"/>
  <c r="M59"/>
  <c r="L57"/>
  <c r="N57" s="1"/>
  <c r="L53"/>
  <c r="L49"/>
  <c r="N49" s="1"/>
  <c r="M47"/>
  <c r="L45"/>
  <c r="N45" s="1"/>
  <c r="M43"/>
  <c r="L41"/>
  <c r="L35"/>
  <c r="L31"/>
  <c r="N31" s="1"/>
  <c r="M29"/>
  <c r="L27"/>
  <c r="N27" s="1"/>
  <c r="M25"/>
  <c r="L23"/>
  <c r="N23" s="1"/>
  <c r="L21"/>
  <c r="N21" s="1"/>
  <c r="M19"/>
  <c r="L17"/>
  <c r="L15"/>
  <c r="N15" s="1"/>
  <c r="L101"/>
  <c r="L99"/>
  <c r="N99" s="1"/>
  <c r="L97"/>
  <c r="N97" s="1"/>
  <c r="L95"/>
  <c r="N95" s="1"/>
  <c r="L93"/>
  <c r="N93" s="1"/>
  <c r="L91"/>
  <c r="N91" s="1"/>
  <c r="L89"/>
  <c r="L87"/>
  <c r="N87" s="1"/>
  <c r="L85"/>
  <c r="L83"/>
  <c r="L81"/>
  <c r="N81" s="1"/>
  <c r="L79"/>
  <c r="L77"/>
  <c r="N77" s="1"/>
  <c r="L75"/>
  <c r="N75" s="1"/>
  <c r="N83" l="1"/>
  <c r="N41"/>
  <c r="AZ12" i="20"/>
  <c r="AZ30" s="1"/>
  <c r="N79" i="17"/>
  <c r="N89"/>
  <c r="N17"/>
  <c r="N35"/>
  <c r="N71"/>
  <c r="N24"/>
  <c r="N122"/>
  <c r="N130"/>
  <c r="K153"/>
  <c r="BA22" i="20" s="1"/>
  <c r="AZ22"/>
  <c r="L145" i="17"/>
  <c r="AZ8" i="20" s="1"/>
  <c r="AZ26" s="1"/>
  <c r="G143" i="17"/>
  <c r="I152"/>
  <c r="AZ11" i="20"/>
  <c r="AZ29" s="1"/>
  <c r="I148" i="17"/>
  <c r="K152"/>
  <c r="AZ13" i="20"/>
  <c r="AZ31" s="1"/>
  <c r="K148" i="17"/>
  <c r="H153"/>
  <c r="AZ19" i="20"/>
  <c r="AZ10"/>
  <c r="H148" i="17"/>
  <c r="H152"/>
  <c r="N85"/>
  <c r="N101"/>
  <c r="N53"/>
  <c r="L140"/>
  <c r="N58"/>
  <c r="H154"/>
  <c r="AZ39" i="20"/>
  <c r="AZ40" s="1"/>
  <c r="AZ41" s="1"/>
  <c r="L147" i="17"/>
  <c r="AZ18" i="20"/>
  <c r="L144" i="17"/>
  <c r="J155"/>
  <c r="BA12" i="20"/>
  <c r="BA30" s="1"/>
  <c r="D152" i="17"/>
  <c r="L155" i="18"/>
  <c r="N16" i="17"/>
  <c r="E147"/>
  <c r="N18"/>
  <c r="E143"/>
  <c r="E144"/>
  <c r="AC27" i="20"/>
  <c r="AC45" s="1"/>
  <c r="AC15"/>
  <c r="AC46"/>
  <c r="N11" i="17"/>
  <c r="N19"/>
  <c r="N37"/>
  <c r="M138"/>
  <c r="N25"/>
  <c r="N29"/>
  <c r="N43"/>
  <c r="N47"/>
  <c r="N59"/>
  <c r="AZ23" i="20" l="1"/>
  <c r="AZ24" s="1"/>
  <c r="AZ28"/>
  <c r="AZ32" s="1"/>
  <c r="AZ14"/>
  <c r="I155" i="17"/>
  <c r="BA11" i="20"/>
  <c r="BA29" s="1"/>
  <c r="K155" i="17"/>
  <c r="BA13" i="20"/>
  <c r="BA31" s="1"/>
  <c r="G148" i="17"/>
  <c r="AZ9" i="20"/>
  <c r="AZ27" s="1"/>
  <c r="AZ45" s="1"/>
  <c r="L143" i="17"/>
  <c r="L148" s="1"/>
  <c r="H155"/>
  <c r="BA10" i="20"/>
  <c r="G153" i="17"/>
  <c r="BA19" i="20"/>
  <c r="BA23" s="1"/>
  <c r="BA39"/>
  <c r="BA40" s="1"/>
  <c r="BA41" s="1"/>
  <c r="L154" i="17"/>
  <c r="AZ52" i="20"/>
  <c r="AC47"/>
  <c r="C11" i="25" s="1"/>
  <c r="AC33" i="20"/>
  <c r="AZ50"/>
  <c r="E148" i="17"/>
  <c r="AZ51" i="20"/>
  <c r="N138" i="17"/>
  <c r="AZ15" i="20" l="1"/>
  <c r="AC43"/>
  <c r="AC58"/>
  <c r="AC60" s="1"/>
  <c r="BA14"/>
  <c r="BA28"/>
  <c r="BA32" s="1"/>
  <c r="L153" i="17"/>
  <c r="BA18" i="20"/>
  <c r="BA24" s="1"/>
  <c r="G152" i="17"/>
  <c r="AZ33" i="20"/>
  <c r="AZ43" s="1"/>
  <c r="AZ46"/>
  <c r="AZ47" s="1"/>
  <c r="E153" i="17"/>
  <c r="BA51" i="20" s="1"/>
  <c r="E152" i="17"/>
  <c r="E154"/>
  <c r="BA52" i="20" s="1"/>
  <c r="AZ53"/>
  <c r="F136" i="16"/>
  <c r="G136" s="1"/>
  <c r="F135"/>
  <c r="J135" s="1"/>
  <c r="F134"/>
  <c r="J134" s="1"/>
  <c r="F133"/>
  <c r="J133" s="1"/>
  <c r="K132"/>
  <c r="F132"/>
  <c r="J132" s="1"/>
  <c r="F131"/>
  <c r="J131" s="1"/>
  <c r="F130"/>
  <c r="J130" s="1"/>
  <c r="F129"/>
  <c r="J129" s="1"/>
  <c r="K128"/>
  <c r="G128"/>
  <c r="F128"/>
  <c r="J128" s="1"/>
  <c r="F127"/>
  <c r="J127" s="1"/>
  <c r="F126"/>
  <c r="J126" s="1"/>
  <c r="F125"/>
  <c r="J125" s="1"/>
  <c r="K124"/>
  <c r="I124"/>
  <c r="G124"/>
  <c r="F124"/>
  <c r="J124" s="1"/>
  <c r="F123"/>
  <c r="J123" s="1"/>
  <c r="F122"/>
  <c r="J122" s="1"/>
  <c r="F121"/>
  <c r="J121" s="1"/>
  <c r="G120"/>
  <c r="F120"/>
  <c r="J120" s="1"/>
  <c r="F119"/>
  <c r="J119" s="1"/>
  <c r="F118"/>
  <c r="J118" s="1"/>
  <c r="F117"/>
  <c r="J117" s="1"/>
  <c r="K116"/>
  <c r="G116"/>
  <c r="F116"/>
  <c r="J116" s="1"/>
  <c r="F115"/>
  <c r="J115" s="1"/>
  <c r="G114"/>
  <c r="F114"/>
  <c r="J114" s="1"/>
  <c r="F113"/>
  <c r="J113" s="1"/>
  <c r="F112"/>
  <c r="J112" s="1"/>
  <c r="F111"/>
  <c r="J111" s="1"/>
  <c r="F110"/>
  <c r="J110" s="1"/>
  <c r="F109"/>
  <c r="J109" s="1"/>
  <c r="I108"/>
  <c r="F108"/>
  <c r="J108" s="1"/>
  <c r="F107"/>
  <c r="J107" s="1"/>
  <c r="I106"/>
  <c r="F106"/>
  <c r="J106" s="1"/>
  <c r="F105"/>
  <c r="J105" s="1"/>
  <c r="K104"/>
  <c r="F104"/>
  <c r="J104" s="1"/>
  <c r="F103"/>
  <c r="H103" s="1"/>
  <c r="I102"/>
  <c r="F102"/>
  <c r="J102" s="1"/>
  <c r="F101"/>
  <c r="H101" s="1"/>
  <c r="K100"/>
  <c r="G100"/>
  <c r="F100"/>
  <c r="J100" s="1"/>
  <c r="F99"/>
  <c r="H99" s="1"/>
  <c r="K98"/>
  <c r="G98"/>
  <c r="F98"/>
  <c r="J98" s="1"/>
  <c r="F97"/>
  <c r="H97" s="1"/>
  <c r="F96"/>
  <c r="J96" s="1"/>
  <c r="F95"/>
  <c r="H95" s="1"/>
  <c r="F94"/>
  <c r="J94" s="1"/>
  <c r="F93"/>
  <c r="H93" s="1"/>
  <c r="F92"/>
  <c r="J92" s="1"/>
  <c r="F91"/>
  <c r="H91" s="1"/>
  <c r="K90"/>
  <c r="I90"/>
  <c r="G90"/>
  <c r="F90"/>
  <c r="J90" s="1"/>
  <c r="F89"/>
  <c r="H89" s="1"/>
  <c r="F88"/>
  <c r="J88" s="1"/>
  <c r="F87"/>
  <c r="H87" s="1"/>
  <c r="K86"/>
  <c r="F86"/>
  <c r="J86" s="1"/>
  <c r="F85"/>
  <c r="H85" s="1"/>
  <c r="F84"/>
  <c r="J84" s="1"/>
  <c r="F83"/>
  <c r="H83" s="1"/>
  <c r="F82"/>
  <c r="J82" s="1"/>
  <c r="F81"/>
  <c r="H81" s="1"/>
  <c r="I80"/>
  <c r="F80"/>
  <c r="J80" s="1"/>
  <c r="F79"/>
  <c r="H79" s="1"/>
  <c r="F78"/>
  <c r="J78" s="1"/>
  <c r="F77"/>
  <c r="H77" s="1"/>
  <c r="F76"/>
  <c r="J76" s="1"/>
  <c r="F75"/>
  <c r="H75" s="1"/>
  <c r="F74"/>
  <c r="J74" s="1"/>
  <c r="F73"/>
  <c r="M73" s="1"/>
  <c r="K72"/>
  <c r="G72"/>
  <c r="F72"/>
  <c r="J72" s="1"/>
  <c r="F71"/>
  <c r="G70"/>
  <c r="F70"/>
  <c r="J70" s="1"/>
  <c r="F69"/>
  <c r="M69" s="1"/>
  <c r="F68"/>
  <c r="J68" s="1"/>
  <c r="F67"/>
  <c r="M67" s="1"/>
  <c r="I66"/>
  <c r="F66"/>
  <c r="J66" s="1"/>
  <c r="F65"/>
  <c r="M65" s="1"/>
  <c r="G64"/>
  <c r="F64"/>
  <c r="J64" s="1"/>
  <c r="F63"/>
  <c r="F62"/>
  <c r="J62" s="1"/>
  <c r="F61"/>
  <c r="M61" s="1"/>
  <c r="I60"/>
  <c r="F60"/>
  <c r="J60" s="1"/>
  <c r="F59"/>
  <c r="I58"/>
  <c r="F58"/>
  <c r="J58" s="1"/>
  <c r="F57"/>
  <c r="M57" s="1"/>
  <c r="F56"/>
  <c r="J56" s="1"/>
  <c r="F55"/>
  <c r="M55" s="1"/>
  <c r="F54"/>
  <c r="J54" s="1"/>
  <c r="F53"/>
  <c r="I52"/>
  <c r="F52"/>
  <c r="J52" s="1"/>
  <c r="F51"/>
  <c r="M51" s="1"/>
  <c r="F50"/>
  <c r="J50" s="1"/>
  <c r="F49"/>
  <c r="K48"/>
  <c r="G48"/>
  <c r="F48"/>
  <c r="J48" s="1"/>
  <c r="H47"/>
  <c r="F47"/>
  <c r="K46"/>
  <c r="G46"/>
  <c r="F46"/>
  <c r="J46" s="1"/>
  <c r="H45"/>
  <c r="F45"/>
  <c r="F44"/>
  <c r="J44" s="1"/>
  <c r="F43"/>
  <c r="H43" s="1"/>
  <c r="I42"/>
  <c r="F42"/>
  <c r="J42" s="1"/>
  <c r="F41"/>
  <c r="H41" s="1"/>
  <c r="F40"/>
  <c r="J40" s="1"/>
  <c r="F39"/>
  <c r="H39" s="1"/>
  <c r="F38"/>
  <c r="J38" s="1"/>
  <c r="F37"/>
  <c r="H37" s="1"/>
  <c r="I36"/>
  <c r="F36"/>
  <c r="J36" s="1"/>
  <c r="F35"/>
  <c r="H35" s="1"/>
  <c r="G34"/>
  <c r="F34"/>
  <c r="J34" s="1"/>
  <c r="H33"/>
  <c r="F33"/>
  <c r="K32"/>
  <c r="I32"/>
  <c r="G32"/>
  <c r="F32"/>
  <c r="J32" s="1"/>
  <c r="H31"/>
  <c r="F31"/>
  <c r="K30"/>
  <c r="F30"/>
  <c r="J30" s="1"/>
  <c r="F29"/>
  <c r="H29" s="1"/>
  <c r="F28"/>
  <c r="J28" s="1"/>
  <c r="F27"/>
  <c r="H27" s="1"/>
  <c r="K26"/>
  <c r="G26"/>
  <c r="F26"/>
  <c r="J26" s="1"/>
  <c r="H25"/>
  <c r="F25"/>
  <c r="K24"/>
  <c r="G24"/>
  <c r="F24"/>
  <c r="J24" s="1"/>
  <c r="I23"/>
  <c r="F23"/>
  <c r="G23" s="1"/>
  <c r="F22"/>
  <c r="J22" s="1"/>
  <c r="G21"/>
  <c r="F21"/>
  <c r="J21" s="1"/>
  <c r="F20"/>
  <c r="H20" s="1"/>
  <c r="F19"/>
  <c r="J19" s="1"/>
  <c r="F18"/>
  <c r="F17"/>
  <c r="K17" s="1"/>
  <c r="G16"/>
  <c r="G147" s="1"/>
  <c r="F16"/>
  <c r="G152" s="1"/>
  <c r="F15"/>
  <c r="J15" s="1"/>
  <c r="F14"/>
  <c r="J14" s="1"/>
  <c r="F13"/>
  <c r="H13" s="1"/>
  <c r="K12"/>
  <c r="G12"/>
  <c r="F12"/>
  <c r="J12" s="1"/>
  <c r="F11"/>
  <c r="E7"/>
  <c r="I12" l="1"/>
  <c r="G17"/>
  <c r="K21"/>
  <c r="G28"/>
  <c r="K42"/>
  <c r="G44"/>
  <c r="G54"/>
  <c r="K60"/>
  <c r="G68"/>
  <c r="I76"/>
  <c r="G94"/>
  <c r="I96"/>
  <c r="K106"/>
  <c r="G112"/>
  <c r="I126"/>
  <c r="I17"/>
  <c r="I28"/>
  <c r="K44"/>
  <c r="I54"/>
  <c r="I68"/>
  <c r="K94"/>
  <c r="I112"/>
  <c r="G132"/>
  <c r="I24"/>
  <c r="K28"/>
  <c r="G30"/>
  <c r="K34"/>
  <c r="I40"/>
  <c r="G42"/>
  <c r="I46"/>
  <c r="K54"/>
  <c r="G60"/>
  <c r="K64"/>
  <c r="K68"/>
  <c r="K70"/>
  <c r="I72"/>
  <c r="I84"/>
  <c r="G86"/>
  <c r="I88"/>
  <c r="G104"/>
  <c r="G106"/>
  <c r="K112"/>
  <c r="K114"/>
  <c r="I116"/>
  <c r="I118"/>
  <c r="K120"/>
  <c r="I132"/>
  <c r="I134"/>
  <c r="M50"/>
  <c r="M56"/>
  <c r="BA46" i="20"/>
  <c r="G14" i="16"/>
  <c r="AM38" i="20"/>
  <c r="G19" i="16"/>
  <c r="I26"/>
  <c r="I30"/>
  <c r="I34"/>
  <c r="K36"/>
  <c r="G38"/>
  <c r="K40"/>
  <c r="I44"/>
  <c r="I48"/>
  <c r="G50"/>
  <c r="K52"/>
  <c r="G56"/>
  <c r="K58"/>
  <c r="G62"/>
  <c r="K66"/>
  <c r="M70"/>
  <c r="G74"/>
  <c r="K76"/>
  <c r="G78"/>
  <c r="K80"/>
  <c r="G82"/>
  <c r="K84"/>
  <c r="K88"/>
  <c r="G92"/>
  <c r="K96"/>
  <c r="I98"/>
  <c r="K102"/>
  <c r="I104"/>
  <c r="K108"/>
  <c r="G110"/>
  <c r="M112"/>
  <c r="I114"/>
  <c r="K118"/>
  <c r="I120"/>
  <c r="G122"/>
  <c r="K126"/>
  <c r="I128"/>
  <c r="G130"/>
  <c r="K134"/>
  <c r="F140"/>
  <c r="I14"/>
  <c r="AL38" i="20"/>
  <c r="I19" i="16"/>
  <c r="I38"/>
  <c r="M40"/>
  <c r="I50"/>
  <c r="I56"/>
  <c r="I62"/>
  <c r="I74"/>
  <c r="I78"/>
  <c r="I82"/>
  <c r="M84"/>
  <c r="I92"/>
  <c r="M108"/>
  <c r="I110"/>
  <c r="I122"/>
  <c r="I130"/>
  <c r="M134"/>
  <c r="K14"/>
  <c r="J17"/>
  <c r="K19"/>
  <c r="I21"/>
  <c r="M34"/>
  <c r="G36"/>
  <c r="K38"/>
  <c r="G40"/>
  <c r="K50"/>
  <c r="G52"/>
  <c r="K56"/>
  <c r="G58"/>
  <c r="K62"/>
  <c r="I64"/>
  <c r="G66"/>
  <c r="M68"/>
  <c r="I70"/>
  <c r="K74"/>
  <c r="G76"/>
  <c r="K78"/>
  <c r="G80"/>
  <c r="K82"/>
  <c r="G84"/>
  <c r="I86"/>
  <c r="G88"/>
  <c r="K92"/>
  <c r="I94"/>
  <c r="G96"/>
  <c r="L96" s="1"/>
  <c r="M98"/>
  <c r="I100"/>
  <c r="G102"/>
  <c r="M104"/>
  <c r="G108"/>
  <c r="K110"/>
  <c r="M114"/>
  <c r="G118"/>
  <c r="K122"/>
  <c r="G126"/>
  <c r="K130"/>
  <c r="G134"/>
  <c r="J146"/>
  <c r="BA9" i="20"/>
  <c r="BA27" s="1"/>
  <c r="BA45" s="1"/>
  <c r="G155" i="17"/>
  <c r="L152"/>
  <c r="L155" s="1"/>
  <c r="BA50" i="20"/>
  <c r="E155" i="17"/>
  <c r="P6" i="16"/>
  <c r="P4"/>
  <c r="M53" s="1"/>
  <c r="P7"/>
  <c r="M23"/>
  <c r="K23"/>
  <c r="K25"/>
  <c r="I25"/>
  <c r="G25"/>
  <c r="K27"/>
  <c r="I27"/>
  <c r="G27"/>
  <c r="K29"/>
  <c r="I29"/>
  <c r="G29"/>
  <c r="M31"/>
  <c r="K31"/>
  <c r="I31"/>
  <c r="G31"/>
  <c r="M33"/>
  <c r="K33"/>
  <c r="I33"/>
  <c r="G33"/>
  <c r="M35"/>
  <c r="K35"/>
  <c r="I35"/>
  <c r="G35"/>
  <c r="M37"/>
  <c r="K37"/>
  <c r="I37"/>
  <c r="G37"/>
  <c r="M39"/>
  <c r="K39"/>
  <c r="I39"/>
  <c r="G39"/>
  <c r="M41"/>
  <c r="K41"/>
  <c r="I41"/>
  <c r="G41"/>
  <c r="M43"/>
  <c r="K43"/>
  <c r="I43"/>
  <c r="G43"/>
  <c r="M45"/>
  <c r="K45"/>
  <c r="I45"/>
  <c r="G45"/>
  <c r="M47"/>
  <c r="K47"/>
  <c r="I47"/>
  <c r="G47"/>
  <c r="M49"/>
  <c r="K49"/>
  <c r="I49"/>
  <c r="G49"/>
  <c r="J11"/>
  <c r="J13"/>
  <c r="H15"/>
  <c r="H18"/>
  <c r="J18"/>
  <c r="J20"/>
  <c r="H22"/>
  <c r="G11"/>
  <c r="I11"/>
  <c r="K11"/>
  <c r="H12"/>
  <c r="L12" s="1"/>
  <c r="G13"/>
  <c r="I13"/>
  <c r="K13"/>
  <c r="M13"/>
  <c r="H14"/>
  <c r="G15"/>
  <c r="I15"/>
  <c r="K15"/>
  <c r="M15"/>
  <c r="H16"/>
  <c r="H17"/>
  <c r="G18"/>
  <c r="I18"/>
  <c r="K18"/>
  <c r="H19"/>
  <c r="L19" s="1"/>
  <c r="G20"/>
  <c r="I20"/>
  <c r="K20"/>
  <c r="H21"/>
  <c r="G22"/>
  <c r="I22"/>
  <c r="K22"/>
  <c r="H23"/>
  <c r="J23"/>
  <c r="J25"/>
  <c r="J27"/>
  <c r="J29"/>
  <c r="J31"/>
  <c r="J33"/>
  <c r="J35"/>
  <c r="J37"/>
  <c r="J39"/>
  <c r="J41"/>
  <c r="J43"/>
  <c r="J45"/>
  <c r="J47"/>
  <c r="J49"/>
  <c r="H11"/>
  <c r="H49"/>
  <c r="M71"/>
  <c r="H51"/>
  <c r="J51"/>
  <c r="H53"/>
  <c r="J53"/>
  <c r="H55"/>
  <c r="J55"/>
  <c r="H57"/>
  <c r="J57"/>
  <c r="H59"/>
  <c r="J59"/>
  <c r="H61"/>
  <c r="J61"/>
  <c r="H63"/>
  <c r="J63"/>
  <c r="H65"/>
  <c r="J65"/>
  <c r="H67"/>
  <c r="J67"/>
  <c r="H69"/>
  <c r="J69"/>
  <c r="H71"/>
  <c r="J71"/>
  <c r="H73"/>
  <c r="J73"/>
  <c r="K75"/>
  <c r="I75"/>
  <c r="G75"/>
  <c r="M77"/>
  <c r="K77"/>
  <c r="I77"/>
  <c r="G77"/>
  <c r="K79"/>
  <c r="I79"/>
  <c r="G79"/>
  <c r="M81"/>
  <c r="K81"/>
  <c r="I81"/>
  <c r="G81"/>
  <c r="K83"/>
  <c r="I83"/>
  <c r="G83"/>
  <c r="K85"/>
  <c r="I85"/>
  <c r="G85"/>
  <c r="K87"/>
  <c r="I87"/>
  <c r="G87"/>
  <c r="K89"/>
  <c r="I89"/>
  <c r="G89"/>
  <c r="M91"/>
  <c r="K91"/>
  <c r="I91"/>
  <c r="G91"/>
  <c r="K93"/>
  <c r="I93"/>
  <c r="G93"/>
  <c r="K95"/>
  <c r="I95"/>
  <c r="G95"/>
  <c r="M97"/>
  <c r="K97"/>
  <c r="I97"/>
  <c r="G97"/>
  <c r="K99"/>
  <c r="I99"/>
  <c r="G99"/>
  <c r="K101"/>
  <c r="I101"/>
  <c r="G101"/>
  <c r="M103"/>
  <c r="K103"/>
  <c r="I103"/>
  <c r="G103"/>
  <c r="H24"/>
  <c r="H26"/>
  <c r="H28"/>
  <c r="H30"/>
  <c r="H32"/>
  <c r="L32" s="1"/>
  <c r="H34"/>
  <c r="L34" s="1"/>
  <c r="N34" s="1"/>
  <c r="H36"/>
  <c r="L36" s="1"/>
  <c r="H38"/>
  <c r="H40"/>
  <c r="H42"/>
  <c r="L42" s="1"/>
  <c r="H44"/>
  <c r="L44" s="1"/>
  <c r="H46"/>
  <c r="L46" s="1"/>
  <c r="H48"/>
  <c r="L48" s="1"/>
  <c r="H50"/>
  <c r="G51"/>
  <c r="I51"/>
  <c r="K51"/>
  <c r="H52"/>
  <c r="L52" s="1"/>
  <c r="G53"/>
  <c r="I53"/>
  <c r="K53"/>
  <c r="H54"/>
  <c r="L54" s="1"/>
  <c r="G55"/>
  <c r="I55"/>
  <c r="K55"/>
  <c r="H56"/>
  <c r="L56" s="1"/>
  <c r="N56" s="1"/>
  <c r="G57"/>
  <c r="I57"/>
  <c r="K57"/>
  <c r="H58"/>
  <c r="G59"/>
  <c r="I59"/>
  <c r="K59"/>
  <c r="H60"/>
  <c r="G61"/>
  <c r="I61"/>
  <c r="K61"/>
  <c r="H62"/>
  <c r="G63"/>
  <c r="I63"/>
  <c r="K63"/>
  <c r="H64"/>
  <c r="L64" s="1"/>
  <c r="G65"/>
  <c r="I65"/>
  <c r="K65"/>
  <c r="H66"/>
  <c r="L66" s="1"/>
  <c r="G67"/>
  <c r="I67"/>
  <c r="K67"/>
  <c r="H68"/>
  <c r="G69"/>
  <c r="I69"/>
  <c r="K69"/>
  <c r="H70"/>
  <c r="L70" s="1"/>
  <c r="N70" s="1"/>
  <c r="G71"/>
  <c r="I71"/>
  <c r="K71"/>
  <c r="H72"/>
  <c r="G73"/>
  <c r="I73"/>
  <c r="K73"/>
  <c r="J75"/>
  <c r="J77"/>
  <c r="J79"/>
  <c r="J81"/>
  <c r="J83"/>
  <c r="J85"/>
  <c r="J87"/>
  <c r="J89"/>
  <c r="J91"/>
  <c r="J145" s="1"/>
  <c r="J143" s="1"/>
  <c r="J93"/>
  <c r="J95"/>
  <c r="J97"/>
  <c r="J99"/>
  <c r="J101"/>
  <c r="J103"/>
  <c r="H74"/>
  <c r="L74" s="1"/>
  <c r="H76"/>
  <c r="H78"/>
  <c r="H80"/>
  <c r="L80" s="1"/>
  <c r="H82"/>
  <c r="L82" s="1"/>
  <c r="H84"/>
  <c r="L84" s="1"/>
  <c r="H86"/>
  <c r="H88"/>
  <c r="L88" s="1"/>
  <c r="H90"/>
  <c r="L90" s="1"/>
  <c r="H92"/>
  <c r="L92" s="1"/>
  <c r="H94"/>
  <c r="H96"/>
  <c r="H98"/>
  <c r="H100"/>
  <c r="L100" s="1"/>
  <c r="H102"/>
  <c r="H104"/>
  <c r="G105"/>
  <c r="I105"/>
  <c r="K105"/>
  <c r="M105"/>
  <c r="H106"/>
  <c r="L106" s="1"/>
  <c r="G107"/>
  <c r="I107"/>
  <c r="K107"/>
  <c r="M107"/>
  <c r="H108"/>
  <c r="L108" s="1"/>
  <c r="N108" s="1"/>
  <c r="G109"/>
  <c r="I109"/>
  <c r="K109"/>
  <c r="M109"/>
  <c r="H110"/>
  <c r="G111"/>
  <c r="I111"/>
  <c r="K111"/>
  <c r="H112"/>
  <c r="L112" s="1"/>
  <c r="N112" s="1"/>
  <c r="G113"/>
  <c r="I113"/>
  <c r="K113"/>
  <c r="H114"/>
  <c r="L114" s="1"/>
  <c r="N114" s="1"/>
  <c r="G115"/>
  <c r="I115"/>
  <c r="K115"/>
  <c r="H116"/>
  <c r="L116" s="1"/>
  <c r="G117"/>
  <c r="I117"/>
  <c r="K117"/>
  <c r="M117"/>
  <c r="H118"/>
  <c r="G119"/>
  <c r="I119"/>
  <c r="K119"/>
  <c r="M119"/>
  <c r="H120"/>
  <c r="G121"/>
  <c r="I121"/>
  <c r="K121"/>
  <c r="H122"/>
  <c r="L122" s="1"/>
  <c r="G123"/>
  <c r="I123"/>
  <c r="K123"/>
  <c r="H124"/>
  <c r="L124" s="1"/>
  <c r="G125"/>
  <c r="I125"/>
  <c r="K125"/>
  <c r="M125"/>
  <c r="H126"/>
  <c r="L126" s="1"/>
  <c r="G127"/>
  <c r="I127"/>
  <c r="K127"/>
  <c r="H128"/>
  <c r="L128" s="1"/>
  <c r="G129"/>
  <c r="I129"/>
  <c r="K129"/>
  <c r="H130"/>
  <c r="G131"/>
  <c r="I131"/>
  <c r="K131"/>
  <c r="M131"/>
  <c r="H132"/>
  <c r="L132" s="1"/>
  <c r="G133"/>
  <c r="I133"/>
  <c r="K133"/>
  <c r="M133"/>
  <c r="H134"/>
  <c r="G135"/>
  <c r="I135"/>
  <c r="K135"/>
  <c r="M135"/>
  <c r="H136"/>
  <c r="J136"/>
  <c r="H105"/>
  <c r="H107"/>
  <c r="H109"/>
  <c r="H111"/>
  <c r="H113"/>
  <c r="H115"/>
  <c r="H117"/>
  <c r="H119"/>
  <c r="H121"/>
  <c r="H123"/>
  <c r="H125"/>
  <c r="H127"/>
  <c r="H129"/>
  <c r="H131"/>
  <c r="H133"/>
  <c r="H135"/>
  <c r="H146" s="1"/>
  <c r="I136"/>
  <c r="I144" s="1"/>
  <c r="K136"/>
  <c r="K144" s="1"/>
  <c r="M29" l="1"/>
  <c r="M25"/>
  <c r="L130"/>
  <c r="M123"/>
  <c r="L121"/>
  <c r="I145"/>
  <c r="I143" s="1"/>
  <c r="M115"/>
  <c r="L113"/>
  <c r="L105"/>
  <c r="L98"/>
  <c r="N98" s="1"/>
  <c r="L28"/>
  <c r="M63"/>
  <c r="M22"/>
  <c r="L76"/>
  <c r="BA33" i="20"/>
  <c r="BA43" s="1"/>
  <c r="H145" i="16"/>
  <c r="H143" s="1"/>
  <c r="H148" s="1"/>
  <c r="I146"/>
  <c r="L129"/>
  <c r="N129" s="1"/>
  <c r="M129"/>
  <c r="M121"/>
  <c r="L120"/>
  <c r="M113"/>
  <c r="L104"/>
  <c r="N104" s="1"/>
  <c r="M136"/>
  <c r="L72"/>
  <c r="L68"/>
  <c r="N68" s="1"/>
  <c r="L62"/>
  <c r="L60"/>
  <c r="L58"/>
  <c r="L50"/>
  <c r="N50" s="1"/>
  <c r="L26"/>
  <c r="M59"/>
  <c r="M20"/>
  <c r="M11"/>
  <c r="M27"/>
  <c r="M127"/>
  <c r="M111"/>
  <c r="L24"/>
  <c r="M101"/>
  <c r="M99"/>
  <c r="M95"/>
  <c r="M93"/>
  <c r="M89"/>
  <c r="M87"/>
  <c r="M85"/>
  <c r="M83"/>
  <c r="M79"/>
  <c r="M75"/>
  <c r="N75" s="1"/>
  <c r="J150"/>
  <c r="AL12" i="20"/>
  <c r="I151" i="16"/>
  <c r="AM20" i="20" s="1"/>
  <c r="AL20"/>
  <c r="K151" i="16"/>
  <c r="AM22" i="20" s="1"/>
  <c r="AL22"/>
  <c r="I150" i="16"/>
  <c r="AL11" i="20"/>
  <c r="I148" i="16"/>
  <c r="L17"/>
  <c r="H144"/>
  <c r="G146"/>
  <c r="L40"/>
  <c r="N40" s="1"/>
  <c r="L16"/>
  <c r="H147"/>
  <c r="K140"/>
  <c r="L134"/>
  <c r="N134" s="1"/>
  <c r="L125"/>
  <c r="N125" s="1"/>
  <c r="L118"/>
  <c r="L117"/>
  <c r="N117" s="1"/>
  <c r="L110"/>
  <c r="L109"/>
  <c r="N109" s="1"/>
  <c r="L102"/>
  <c r="L94"/>
  <c r="L86"/>
  <c r="L78"/>
  <c r="L38"/>
  <c r="L30"/>
  <c r="L103"/>
  <c r="N103" s="1"/>
  <c r="L101"/>
  <c r="L99"/>
  <c r="L97"/>
  <c r="L95"/>
  <c r="N95" s="1"/>
  <c r="L93"/>
  <c r="L91"/>
  <c r="L89"/>
  <c r="L87"/>
  <c r="N87" s="1"/>
  <c r="L85"/>
  <c r="N85" s="1"/>
  <c r="L83"/>
  <c r="N83" s="1"/>
  <c r="L81"/>
  <c r="N81" s="1"/>
  <c r="L79"/>
  <c r="N79" s="1"/>
  <c r="L77"/>
  <c r="N77" s="1"/>
  <c r="L75"/>
  <c r="L23"/>
  <c r="N23" s="1"/>
  <c r="L14"/>
  <c r="I140"/>
  <c r="J140"/>
  <c r="L136"/>
  <c r="G145"/>
  <c r="N84"/>
  <c r="K146"/>
  <c r="K145"/>
  <c r="K143" s="1"/>
  <c r="H140"/>
  <c r="L21"/>
  <c r="G140"/>
  <c r="J144"/>
  <c r="J148" s="1"/>
  <c r="BA15" i="20"/>
  <c r="BA47"/>
  <c r="B11" i="25" s="1"/>
  <c r="D11" s="1"/>
  <c r="G144" i="16"/>
  <c r="BA53" i="20"/>
  <c r="N113" i="16"/>
  <c r="N105"/>
  <c r="N101"/>
  <c r="N99"/>
  <c r="N97"/>
  <c r="N93"/>
  <c r="N91"/>
  <c r="N89"/>
  <c r="M132"/>
  <c r="M130"/>
  <c r="N130" s="1"/>
  <c r="M128"/>
  <c r="N128" s="1"/>
  <c r="M126"/>
  <c r="N126" s="1"/>
  <c r="M124"/>
  <c r="M122"/>
  <c r="N122" s="1"/>
  <c r="M120"/>
  <c r="N120" s="1"/>
  <c r="M118"/>
  <c r="N118" s="1"/>
  <c r="M116"/>
  <c r="N116" s="1"/>
  <c r="M110"/>
  <c r="N110" s="1"/>
  <c r="M106"/>
  <c r="N106" s="1"/>
  <c r="P5"/>
  <c r="M102"/>
  <c r="N102" s="1"/>
  <c r="M100"/>
  <c r="N100" s="1"/>
  <c r="M96"/>
  <c r="N96" s="1"/>
  <c r="M94"/>
  <c r="M92"/>
  <c r="M90"/>
  <c r="N90" s="1"/>
  <c r="M88"/>
  <c r="N88" s="1"/>
  <c r="M86"/>
  <c r="M82"/>
  <c r="N82" s="1"/>
  <c r="M80"/>
  <c r="N80" s="1"/>
  <c r="M78"/>
  <c r="N78" s="1"/>
  <c r="M76"/>
  <c r="M74"/>
  <c r="N74" s="1"/>
  <c r="M72"/>
  <c r="N72" s="1"/>
  <c r="M66"/>
  <c r="N66" s="1"/>
  <c r="M64"/>
  <c r="N64" s="1"/>
  <c r="M62"/>
  <c r="N62" s="1"/>
  <c r="M60"/>
  <c r="N60" s="1"/>
  <c r="M58"/>
  <c r="N58" s="1"/>
  <c r="M54"/>
  <c r="N54" s="1"/>
  <c r="M52"/>
  <c r="N52" s="1"/>
  <c r="M48"/>
  <c r="N48" s="1"/>
  <c r="M46"/>
  <c r="N46" s="1"/>
  <c r="M44"/>
  <c r="N44" s="1"/>
  <c r="M42"/>
  <c r="N42" s="1"/>
  <c r="M38"/>
  <c r="N38" s="1"/>
  <c r="M36"/>
  <c r="N36" s="1"/>
  <c r="M32"/>
  <c r="N32" s="1"/>
  <c r="M30"/>
  <c r="N30" s="1"/>
  <c r="M28"/>
  <c r="N28" s="1"/>
  <c r="M26"/>
  <c r="N26" s="1"/>
  <c r="M24"/>
  <c r="N24" s="1"/>
  <c r="M21"/>
  <c r="N21" s="1"/>
  <c r="M19"/>
  <c r="N19" s="1"/>
  <c r="M12"/>
  <c r="N12" s="1"/>
  <c r="M17"/>
  <c r="M14"/>
  <c r="L133"/>
  <c r="N133" s="1"/>
  <c r="N132"/>
  <c r="L135"/>
  <c r="N135" s="1"/>
  <c r="L131"/>
  <c r="N131" s="1"/>
  <c r="L127"/>
  <c r="L123"/>
  <c r="L119"/>
  <c r="N119" s="1"/>
  <c r="L115"/>
  <c r="N115" s="1"/>
  <c r="L111"/>
  <c r="N111" s="1"/>
  <c r="L107"/>
  <c r="N107" s="1"/>
  <c r="L73"/>
  <c r="N73" s="1"/>
  <c r="L71"/>
  <c r="N71" s="1"/>
  <c r="L69"/>
  <c r="N69" s="1"/>
  <c r="L67"/>
  <c r="N67" s="1"/>
  <c r="L65"/>
  <c r="N65" s="1"/>
  <c r="L63"/>
  <c r="N63" s="1"/>
  <c r="L61"/>
  <c r="N61" s="1"/>
  <c r="L59"/>
  <c r="L57"/>
  <c r="N57" s="1"/>
  <c r="L55"/>
  <c r="N55" s="1"/>
  <c r="L53"/>
  <c r="N53" s="1"/>
  <c r="L51"/>
  <c r="N51" s="1"/>
  <c r="L22"/>
  <c r="N22" s="1"/>
  <c r="L13"/>
  <c r="N13" s="1"/>
  <c r="M18"/>
  <c r="N124"/>
  <c r="N92"/>
  <c r="N76"/>
  <c r="L20"/>
  <c r="N20" s="1"/>
  <c r="L18"/>
  <c r="L15"/>
  <c r="N15" s="1"/>
  <c r="L11"/>
  <c r="L49"/>
  <c r="N49" s="1"/>
  <c r="L47"/>
  <c r="N47" s="1"/>
  <c r="L45"/>
  <c r="N45" s="1"/>
  <c r="L43"/>
  <c r="N43" s="1"/>
  <c r="L41"/>
  <c r="N41" s="1"/>
  <c r="L39"/>
  <c r="N39" s="1"/>
  <c r="L37"/>
  <c r="N37" s="1"/>
  <c r="L35"/>
  <c r="N35" s="1"/>
  <c r="L33"/>
  <c r="N33" s="1"/>
  <c r="L31"/>
  <c r="N31" s="1"/>
  <c r="L29"/>
  <c r="N29" s="1"/>
  <c r="L27"/>
  <c r="N27" s="1"/>
  <c r="L25"/>
  <c r="N25" s="1"/>
  <c r="M16"/>
  <c r="N14" l="1"/>
  <c r="N136"/>
  <c r="AL29" i="20"/>
  <c r="H150" i="16"/>
  <c r="AM10" i="20" s="1"/>
  <c r="AL10"/>
  <c r="N59" i="16"/>
  <c r="N123"/>
  <c r="N86"/>
  <c r="N138" s="1"/>
  <c r="N127"/>
  <c r="N121"/>
  <c r="AL18" i="20"/>
  <c r="L144" i="16"/>
  <c r="L146"/>
  <c r="AL17" i="20" s="1"/>
  <c r="N16" i="16"/>
  <c r="E147"/>
  <c r="AL52" i="20" s="1"/>
  <c r="N18" i="16"/>
  <c r="H152"/>
  <c r="AL39" i="20"/>
  <c r="AL40" s="1"/>
  <c r="AL41" s="1"/>
  <c r="L147" i="16"/>
  <c r="H151"/>
  <c r="AL19" i="20"/>
  <c r="I153" i="16"/>
  <c r="AM11" i="20"/>
  <c r="AM29" s="1"/>
  <c r="L145" i="16"/>
  <c r="AL8" i="20" s="1"/>
  <c r="G143" i="16"/>
  <c r="N11"/>
  <c r="L140"/>
  <c r="E143"/>
  <c r="N17"/>
  <c r="E144"/>
  <c r="AL51" i="20" s="1"/>
  <c r="N94" i="16"/>
  <c r="J151"/>
  <c r="AM21" i="20" s="1"/>
  <c r="AL21"/>
  <c r="AL30" s="1"/>
  <c r="K150" i="16"/>
  <c r="AL13" i="20"/>
  <c r="AL31" s="1"/>
  <c r="K148" i="16"/>
  <c r="AL28" i="20"/>
  <c r="J153" i="16"/>
  <c r="AM12" i="20"/>
  <c r="AM30" s="1"/>
  <c r="M138" i="16"/>
  <c r="AL26" i="20" l="1"/>
  <c r="AL32"/>
  <c r="AL46" s="1"/>
  <c r="AM19"/>
  <c r="AM23" s="1"/>
  <c r="G151" i="16"/>
  <c r="H153"/>
  <c r="AL14" i="20"/>
  <c r="K153" i="16"/>
  <c r="AM13" i="20"/>
  <c r="AM31" s="1"/>
  <c r="E148" i="16"/>
  <c r="AL50" i="20"/>
  <c r="AL53" s="1"/>
  <c r="G148" i="16"/>
  <c r="L143"/>
  <c r="L148" s="1"/>
  <c r="AL9" i="20"/>
  <c r="AL27" s="1"/>
  <c r="AL23"/>
  <c r="AL24" s="1"/>
  <c r="AM39"/>
  <c r="AM40" s="1"/>
  <c r="AM41" s="1"/>
  <c r="AM59" s="1"/>
  <c r="L152" i="16"/>
  <c r="F136" i="15"/>
  <c r="Q136" s="1"/>
  <c r="F135"/>
  <c r="I134"/>
  <c r="F134"/>
  <c r="F133"/>
  <c r="K132"/>
  <c r="G132"/>
  <c r="F132"/>
  <c r="I132" s="1"/>
  <c r="F131"/>
  <c r="F130"/>
  <c r="K130" s="1"/>
  <c r="F129"/>
  <c r="F128"/>
  <c r="K128" s="1"/>
  <c r="F127"/>
  <c r="F126"/>
  <c r="I126" s="1"/>
  <c r="F125"/>
  <c r="F124"/>
  <c r="I124" s="1"/>
  <c r="F123"/>
  <c r="F122"/>
  <c r="K122" s="1"/>
  <c r="F121"/>
  <c r="K120"/>
  <c r="I120"/>
  <c r="G120"/>
  <c r="F120"/>
  <c r="F119"/>
  <c r="I118"/>
  <c r="F118"/>
  <c r="F117"/>
  <c r="K116"/>
  <c r="G116"/>
  <c r="F116"/>
  <c r="I116" s="1"/>
  <c r="F115"/>
  <c r="K114"/>
  <c r="I114"/>
  <c r="G114"/>
  <c r="F114"/>
  <c r="F113"/>
  <c r="K112"/>
  <c r="G112"/>
  <c r="F112"/>
  <c r="I112" s="1"/>
  <c r="F111"/>
  <c r="F110"/>
  <c r="K110" s="1"/>
  <c r="F109"/>
  <c r="F108"/>
  <c r="I108" s="1"/>
  <c r="F107"/>
  <c r="K106"/>
  <c r="F106"/>
  <c r="I106" s="1"/>
  <c r="F105"/>
  <c r="F104"/>
  <c r="K104" s="1"/>
  <c r="F103"/>
  <c r="F102"/>
  <c r="I102" s="1"/>
  <c r="F101"/>
  <c r="F100"/>
  <c r="I100" s="1"/>
  <c r="F99"/>
  <c r="F98"/>
  <c r="K98" s="1"/>
  <c r="F97"/>
  <c r="F96"/>
  <c r="I96" s="1"/>
  <c r="F95"/>
  <c r="F94"/>
  <c r="I94" s="1"/>
  <c r="F93"/>
  <c r="F92"/>
  <c r="K92" s="1"/>
  <c r="F91"/>
  <c r="K90"/>
  <c r="I90"/>
  <c r="G90"/>
  <c r="F90"/>
  <c r="F89"/>
  <c r="I88"/>
  <c r="F88"/>
  <c r="F87"/>
  <c r="K86"/>
  <c r="G86"/>
  <c r="F86"/>
  <c r="I86" s="1"/>
  <c r="F85"/>
  <c r="K84"/>
  <c r="I84"/>
  <c r="G84"/>
  <c r="F84"/>
  <c r="F83"/>
  <c r="I82"/>
  <c r="F82"/>
  <c r="F81"/>
  <c r="G80"/>
  <c r="F80"/>
  <c r="I80" s="1"/>
  <c r="F79"/>
  <c r="F78"/>
  <c r="K78" s="1"/>
  <c r="F77"/>
  <c r="F76"/>
  <c r="K76" s="1"/>
  <c r="F75"/>
  <c r="F74"/>
  <c r="I74" s="1"/>
  <c r="F73"/>
  <c r="K72"/>
  <c r="F72"/>
  <c r="I72" s="1"/>
  <c r="F71"/>
  <c r="Q71" s="1"/>
  <c r="F70"/>
  <c r="K70" s="1"/>
  <c r="F69"/>
  <c r="F68"/>
  <c r="I68" s="1"/>
  <c r="F67"/>
  <c r="Q67" s="1"/>
  <c r="F66"/>
  <c r="K66" s="1"/>
  <c r="F65"/>
  <c r="K64"/>
  <c r="F64"/>
  <c r="I64" s="1"/>
  <c r="F63"/>
  <c r="Q63" s="1"/>
  <c r="I62"/>
  <c r="F62"/>
  <c r="F61"/>
  <c r="K60"/>
  <c r="G60"/>
  <c r="F60"/>
  <c r="I60" s="1"/>
  <c r="F59"/>
  <c r="Q59" s="1"/>
  <c r="F58"/>
  <c r="K58" s="1"/>
  <c r="F57"/>
  <c r="F56"/>
  <c r="I56" s="1"/>
  <c r="F55"/>
  <c r="K54"/>
  <c r="F54"/>
  <c r="I54" s="1"/>
  <c r="F53"/>
  <c r="Q53" s="1"/>
  <c r="F52"/>
  <c r="K52" s="1"/>
  <c r="F51"/>
  <c r="F50"/>
  <c r="I50" s="1"/>
  <c r="F49"/>
  <c r="F48"/>
  <c r="F47"/>
  <c r="Q47" s="1"/>
  <c r="K46"/>
  <c r="F46"/>
  <c r="I46" s="1"/>
  <c r="F45"/>
  <c r="Q45" s="1"/>
  <c r="I44"/>
  <c r="F44"/>
  <c r="F43"/>
  <c r="Q43" s="1"/>
  <c r="F42"/>
  <c r="F41"/>
  <c r="Q41" s="1"/>
  <c r="F40"/>
  <c r="I40" s="1"/>
  <c r="H39"/>
  <c r="F39"/>
  <c r="Q39" s="1"/>
  <c r="K38"/>
  <c r="I38"/>
  <c r="G38"/>
  <c r="F38"/>
  <c r="F37"/>
  <c r="Q37" s="1"/>
  <c r="K36"/>
  <c r="F36"/>
  <c r="I36" s="1"/>
  <c r="H35"/>
  <c r="F35"/>
  <c r="Q35" s="1"/>
  <c r="F34"/>
  <c r="I34" s="1"/>
  <c r="F33"/>
  <c r="Q33" s="1"/>
  <c r="F32"/>
  <c r="F31"/>
  <c r="Q31" s="1"/>
  <c r="F30"/>
  <c r="I30" s="1"/>
  <c r="F29"/>
  <c r="Q29" s="1"/>
  <c r="F28"/>
  <c r="K28" s="1"/>
  <c r="F27"/>
  <c r="Q27" s="1"/>
  <c r="I26"/>
  <c r="F26"/>
  <c r="F25"/>
  <c r="Q25" s="1"/>
  <c r="F24"/>
  <c r="K24" s="1"/>
  <c r="F23"/>
  <c r="Q23" s="1"/>
  <c r="I22"/>
  <c r="F22"/>
  <c r="F21"/>
  <c r="K20"/>
  <c r="G20"/>
  <c r="F20"/>
  <c r="I20" s="1"/>
  <c r="F19"/>
  <c r="Q19" s="1"/>
  <c r="F18"/>
  <c r="K18" s="1"/>
  <c r="F17"/>
  <c r="F16"/>
  <c r="H16" s="1"/>
  <c r="F15"/>
  <c r="Q15" s="1"/>
  <c r="F14"/>
  <c r="K14" s="1"/>
  <c r="F13"/>
  <c r="K12"/>
  <c r="I12"/>
  <c r="G12"/>
  <c r="F12"/>
  <c r="F11"/>
  <c r="E7"/>
  <c r="AL33" i="20" l="1"/>
  <c r="AL43" s="1"/>
  <c r="H37" i="15"/>
  <c r="G40"/>
  <c r="G50"/>
  <c r="G52"/>
  <c r="G68"/>
  <c r="G70"/>
  <c r="G76"/>
  <c r="K80"/>
  <c r="G98"/>
  <c r="G104"/>
  <c r="G128"/>
  <c r="G36"/>
  <c r="K40"/>
  <c r="G46"/>
  <c r="K50"/>
  <c r="I52"/>
  <c r="G54"/>
  <c r="G64"/>
  <c r="K68"/>
  <c r="I70"/>
  <c r="G72"/>
  <c r="I76"/>
  <c r="G94"/>
  <c r="I98"/>
  <c r="G100"/>
  <c r="I104"/>
  <c r="G106"/>
  <c r="G124"/>
  <c r="I128"/>
  <c r="K94"/>
  <c r="K100"/>
  <c r="K124"/>
  <c r="AM14" i="20"/>
  <c r="J32" i="15"/>
  <c r="Q32"/>
  <c r="J42"/>
  <c r="Q42"/>
  <c r="J48"/>
  <c r="Q48"/>
  <c r="Q11"/>
  <c r="F140"/>
  <c r="I14"/>
  <c r="L16"/>
  <c r="H147"/>
  <c r="I18"/>
  <c r="J22"/>
  <c r="Q22"/>
  <c r="I24"/>
  <c r="J26"/>
  <c r="Q26"/>
  <c r="I28"/>
  <c r="J30"/>
  <c r="Q30"/>
  <c r="I32"/>
  <c r="J34"/>
  <c r="Q34"/>
  <c r="M34"/>
  <c r="I42"/>
  <c r="J44"/>
  <c r="Q44"/>
  <c r="I48"/>
  <c r="M51"/>
  <c r="Q51"/>
  <c r="J56"/>
  <c r="Q56"/>
  <c r="M56"/>
  <c r="I58"/>
  <c r="J62"/>
  <c r="Q62"/>
  <c r="I66"/>
  <c r="M69"/>
  <c r="Q69"/>
  <c r="J74"/>
  <c r="Q74"/>
  <c r="H75"/>
  <c r="Q75"/>
  <c r="I78"/>
  <c r="J82"/>
  <c r="Q82"/>
  <c r="H83"/>
  <c r="Q83"/>
  <c r="J88"/>
  <c r="Q88"/>
  <c r="H89"/>
  <c r="Q89"/>
  <c r="I92"/>
  <c r="J96"/>
  <c r="Q96"/>
  <c r="H97"/>
  <c r="Q97"/>
  <c r="J102"/>
  <c r="Q102"/>
  <c r="J103"/>
  <c r="Q103"/>
  <c r="J108"/>
  <c r="Q108"/>
  <c r="M108"/>
  <c r="I110"/>
  <c r="J113"/>
  <c r="Q113"/>
  <c r="J118"/>
  <c r="Q118"/>
  <c r="J119"/>
  <c r="Q119"/>
  <c r="I122"/>
  <c r="J126"/>
  <c r="Q126"/>
  <c r="J127"/>
  <c r="Q127"/>
  <c r="I130"/>
  <c r="J134"/>
  <c r="Q134"/>
  <c r="M134"/>
  <c r="I136"/>
  <c r="J12"/>
  <c r="Q12"/>
  <c r="H13"/>
  <c r="Q13"/>
  <c r="J17"/>
  <c r="Q17"/>
  <c r="G22"/>
  <c r="H23"/>
  <c r="G26"/>
  <c r="H27"/>
  <c r="G30"/>
  <c r="H31"/>
  <c r="K32"/>
  <c r="G34"/>
  <c r="J38"/>
  <c r="Q38"/>
  <c r="H41"/>
  <c r="K42"/>
  <c r="G44"/>
  <c r="J46"/>
  <c r="Q46"/>
  <c r="K48"/>
  <c r="J52"/>
  <c r="Q52"/>
  <c r="M52"/>
  <c r="G56"/>
  <c r="L56" s="1"/>
  <c r="N56" s="1"/>
  <c r="M57"/>
  <c r="Q57"/>
  <c r="G62"/>
  <c r="J64"/>
  <c r="Q64"/>
  <c r="M65"/>
  <c r="Q65"/>
  <c r="J70"/>
  <c r="Q70"/>
  <c r="M70"/>
  <c r="G74"/>
  <c r="J76"/>
  <c r="Q76"/>
  <c r="H77"/>
  <c r="Q77"/>
  <c r="G82"/>
  <c r="J84"/>
  <c r="Q84"/>
  <c r="M84"/>
  <c r="G88"/>
  <c r="J90"/>
  <c r="Q90"/>
  <c r="H91"/>
  <c r="Q91"/>
  <c r="G96"/>
  <c r="J98"/>
  <c r="Q98"/>
  <c r="M98"/>
  <c r="G102"/>
  <c r="J104"/>
  <c r="Q104"/>
  <c r="M104"/>
  <c r="G108"/>
  <c r="J109"/>
  <c r="Q109"/>
  <c r="J114"/>
  <c r="Q114"/>
  <c r="M114"/>
  <c r="G118"/>
  <c r="J120"/>
  <c r="Q120"/>
  <c r="J121"/>
  <c r="Q121"/>
  <c r="G126"/>
  <c r="J128"/>
  <c r="Q128"/>
  <c r="J129"/>
  <c r="Q129"/>
  <c r="G134"/>
  <c r="J135"/>
  <c r="Q135"/>
  <c r="AM28" i="20"/>
  <c r="AM32" s="1"/>
  <c r="AL15"/>
  <c r="AL45"/>
  <c r="AL47" s="1"/>
  <c r="J14" i="15"/>
  <c r="Q14"/>
  <c r="J18"/>
  <c r="Q18"/>
  <c r="J24"/>
  <c r="Q24"/>
  <c r="J28"/>
  <c r="Q28"/>
  <c r="M49"/>
  <c r="Q49"/>
  <c r="J58"/>
  <c r="Q58"/>
  <c r="J66"/>
  <c r="Q66"/>
  <c r="J78"/>
  <c r="Q78"/>
  <c r="H79"/>
  <c r="Q79"/>
  <c r="H85"/>
  <c r="Q85"/>
  <c r="J92"/>
  <c r="Q92"/>
  <c r="H93"/>
  <c r="Q93"/>
  <c r="H99"/>
  <c r="Q99"/>
  <c r="J105"/>
  <c r="Q105"/>
  <c r="J110"/>
  <c r="Q110"/>
  <c r="J111"/>
  <c r="Q111"/>
  <c r="J115"/>
  <c r="Q115"/>
  <c r="J122"/>
  <c r="Q122"/>
  <c r="J123"/>
  <c r="Q123"/>
  <c r="J130"/>
  <c r="Q130"/>
  <c r="J131"/>
  <c r="Q131"/>
  <c r="G14"/>
  <c r="Q16"/>
  <c r="G152"/>
  <c r="G18"/>
  <c r="J20"/>
  <c r="Q20"/>
  <c r="H21"/>
  <c r="Q21"/>
  <c r="K22"/>
  <c r="G24"/>
  <c r="H25"/>
  <c r="K26"/>
  <c r="G28"/>
  <c r="H29"/>
  <c r="K30"/>
  <c r="G32"/>
  <c r="H33"/>
  <c r="K34"/>
  <c r="J36"/>
  <c r="Q36"/>
  <c r="J40"/>
  <c r="Q40"/>
  <c r="M40"/>
  <c r="G42"/>
  <c r="H43"/>
  <c r="K44"/>
  <c r="G48"/>
  <c r="J50"/>
  <c r="Q50"/>
  <c r="M50"/>
  <c r="J54"/>
  <c r="Q54"/>
  <c r="M55"/>
  <c r="Q55"/>
  <c r="K56"/>
  <c r="G58"/>
  <c r="J60"/>
  <c r="Q60"/>
  <c r="M61"/>
  <c r="Q61"/>
  <c r="K62"/>
  <c r="G66"/>
  <c r="J68"/>
  <c r="Q68"/>
  <c r="M68"/>
  <c r="J72"/>
  <c r="Q72"/>
  <c r="M73"/>
  <c r="Q73"/>
  <c r="K74"/>
  <c r="G78"/>
  <c r="J80"/>
  <c r="Q80"/>
  <c r="H81"/>
  <c r="Q81"/>
  <c r="K82"/>
  <c r="J86"/>
  <c r="Q86"/>
  <c r="H87"/>
  <c r="Q87"/>
  <c r="K88"/>
  <c r="G92"/>
  <c r="J94"/>
  <c r="Q94"/>
  <c r="H95"/>
  <c r="Q95"/>
  <c r="K96"/>
  <c r="J100"/>
  <c r="Q100"/>
  <c r="H101"/>
  <c r="Q101"/>
  <c r="K102"/>
  <c r="J106"/>
  <c r="Q106"/>
  <c r="J107"/>
  <c r="Q107"/>
  <c r="K108"/>
  <c r="G110"/>
  <c r="J112"/>
  <c r="Q112"/>
  <c r="M112"/>
  <c r="J116"/>
  <c r="Q116"/>
  <c r="J117"/>
  <c r="Q117"/>
  <c r="K118"/>
  <c r="G122"/>
  <c r="J124"/>
  <c r="Q124"/>
  <c r="J125"/>
  <c r="Q125"/>
  <c r="K126"/>
  <c r="G130"/>
  <c r="J132"/>
  <c r="Q132"/>
  <c r="J133"/>
  <c r="Q133"/>
  <c r="K134"/>
  <c r="G136"/>
  <c r="L151" i="16"/>
  <c r="AM18" i="20"/>
  <c r="AM24" s="1"/>
  <c r="G150" i="16"/>
  <c r="M23" i="15"/>
  <c r="K23"/>
  <c r="I23"/>
  <c r="G23"/>
  <c r="K25"/>
  <c r="I25"/>
  <c r="G25"/>
  <c r="K27"/>
  <c r="I27"/>
  <c r="G27"/>
  <c r="K29"/>
  <c r="I29"/>
  <c r="G29"/>
  <c r="M31"/>
  <c r="K31"/>
  <c r="I31"/>
  <c r="G31"/>
  <c r="M33"/>
  <c r="K33"/>
  <c r="I33"/>
  <c r="G33"/>
  <c r="K35"/>
  <c r="I35"/>
  <c r="G35"/>
  <c r="K37"/>
  <c r="I37"/>
  <c r="G37"/>
  <c r="M39"/>
  <c r="K39"/>
  <c r="I39"/>
  <c r="G39"/>
  <c r="K41"/>
  <c r="I41"/>
  <c r="G41"/>
  <c r="K43"/>
  <c r="I43"/>
  <c r="G43"/>
  <c r="H11"/>
  <c r="J11"/>
  <c r="J13"/>
  <c r="H15"/>
  <c r="J15"/>
  <c r="H17"/>
  <c r="H19"/>
  <c r="J19"/>
  <c r="J21"/>
  <c r="G11"/>
  <c r="I11"/>
  <c r="K11"/>
  <c r="H12"/>
  <c r="L12" s="1"/>
  <c r="G13"/>
  <c r="I13"/>
  <c r="K13"/>
  <c r="M13"/>
  <c r="H14"/>
  <c r="G15"/>
  <c r="I15"/>
  <c r="K15"/>
  <c r="G17"/>
  <c r="I17"/>
  <c r="K17"/>
  <c r="H18"/>
  <c r="L18" s="1"/>
  <c r="G19"/>
  <c r="I19"/>
  <c r="K19"/>
  <c r="H20"/>
  <c r="L20" s="1"/>
  <c r="G21"/>
  <c r="I21"/>
  <c r="K21"/>
  <c r="H22"/>
  <c r="L22" s="1"/>
  <c r="J23"/>
  <c r="J25"/>
  <c r="J27"/>
  <c r="J29"/>
  <c r="J31"/>
  <c r="J33"/>
  <c r="J35"/>
  <c r="J37"/>
  <c r="J39"/>
  <c r="J41"/>
  <c r="J43"/>
  <c r="N6"/>
  <c r="N4"/>
  <c r="M21" s="1"/>
  <c r="N7"/>
  <c r="H45"/>
  <c r="J45"/>
  <c r="H47"/>
  <c r="J47"/>
  <c r="H49"/>
  <c r="J49"/>
  <c r="H51"/>
  <c r="J51"/>
  <c r="H53"/>
  <c r="J53"/>
  <c r="H55"/>
  <c r="J55"/>
  <c r="H57"/>
  <c r="J57"/>
  <c r="H59"/>
  <c r="J59"/>
  <c r="H61"/>
  <c r="J61"/>
  <c r="H63"/>
  <c r="J63"/>
  <c r="H65"/>
  <c r="J65"/>
  <c r="H67"/>
  <c r="J67"/>
  <c r="H69"/>
  <c r="J69"/>
  <c r="H71"/>
  <c r="J71"/>
  <c r="M72"/>
  <c r="H73"/>
  <c r="J73"/>
  <c r="M136"/>
  <c r="M75"/>
  <c r="K75"/>
  <c r="I75"/>
  <c r="G75"/>
  <c r="M77"/>
  <c r="K77"/>
  <c r="I77"/>
  <c r="G77"/>
  <c r="M79"/>
  <c r="K79"/>
  <c r="I79"/>
  <c r="G79"/>
  <c r="M81"/>
  <c r="K81"/>
  <c r="I81"/>
  <c r="G81"/>
  <c r="M83"/>
  <c r="K83"/>
  <c r="I83"/>
  <c r="G83"/>
  <c r="M85"/>
  <c r="K85"/>
  <c r="I85"/>
  <c r="G85"/>
  <c r="M87"/>
  <c r="K87"/>
  <c r="I87"/>
  <c r="G87"/>
  <c r="M89"/>
  <c r="K89"/>
  <c r="I89"/>
  <c r="G89"/>
  <c r="M91"/>
  <c r="K91"/>
  <c r="I91"/>
  <c r="G91"/>
  <c r="M93"/>
  <c r="K93"/>
  <c r="I93"/>
  <c r="G93"/>
  <c r="M95"/>
  <c r="K95"/>
  <c r="I95"/>
  <c r="G95"/>
  <c r="M97"/>
  <c r="K97"/>
  <c r="I97"/>
  <c r="G97"/>
  <c r="M99"/>
  <c r="K99"/>
  <c r="I99"/>
  <c r="G99"/>
  <c r="M101"/>
  <c r="K101"/>
  <c r="I101"/>
  <c r="G101"/>
  <c r="H24"/>
  <c r="L24" s="1"/>
  <c r="H26"/>
  <c r="H28"/>
  <c r="H30"/>
  <c r="H32"/>
  <c r="L32" s="1"/>
  <c r="H34"/>
  <c r="H36"/>
  <c r="H38"/>
  <c r="L38" s="1"/>
  <c r="H40"/>
  <c r="H42"/>
  <c r="H44"/>
  <c r="G45"/>
  <c r="I45"/>
  <c r="K45"/>
  <c r="H46"/>
  <c r="G47"/>
  <c r="I47"/>
  <c r="K47"/>
  <c r="H48"/>
  <c r="G49"/>
  <c r="I49"/>
  <c r="K49"/>
  <c r="H50"/>
  <c r="G51"/>
  <c r="I51"/>
  <c r="K51"/>
  <c r="H52"/>
  <c r="G53"/>
  <c r="I53"/>
  <c r="K53"/>
  <c r="H54"/>
  <c r="G55"/>
  <c r="I55"/>
  <c r="K55"/>
  <c r="H56"/>
  <c r="G57"/>
  <c r="I57"/>
  <c r="K57"/>
  <c r="H58"/>
  <c r="G59"/>
  <c r="I59"/>
  <c r="K59"/>
  <c r="H60"/>
  <c r="G61"/>
  <c r="I61"/>
  <c r="K61"/>
  <c r="H62"/>
  <c r="G63"/>
  <c r="I63"/>
  <c r="K63"/>
  <c r="H64"/>
  <c r="G65"/>
  <c r="I65"/>
  <c r="K65"/>
  <c r="H66"/>
  <c r="L66" s="1"/>
  <c r="G67"/>
  <c r="I67"/>
  <c r="K67"/>
  <c r="H68"/>
  <c r="G69"/>
  <c r="I69"/>
  <c r="K69"/>
  <c r="H70"/>
  <c r="G71"/>
  <c r="I71"/>
  <c r="K71"/>
  <c r="H72"/>
  <c r="L72" s="1"/>
  <c r="G73"/>
  <c r="I73"/>
  <c r="K73"/>
  <c r="J75"/>
  <c r="J77"/>
  <c r="J79"/>
  <c r="J81"/>
  <c r="J83"/>
  <c r="J85"/>
  <c r="J87"/>
  <c r="J89"/>
  <c r="J91"/>
  <c r="J93"/>
  <c r="J95"/>
  <c r="J97"/>
  <c r="J99"/>
  <c r="J101"/>
  <c r="H74"/>
  <c r="L74" s="1"/>
  <c r="H76"/>
  <c r="H78"/>
  <c r="L78" s="1"/>
  <c r="H80"/>
  <c r="H82"/>
  <c r="L82" s="1"/>
  <c r="H84"/>
  <c r="L84" s="1"/>
  <c r="N84" s="1"/>
  <c r="H86"/>
  <c r="L86" s="1"/>
  <c r="H88"/>
  <c r="H90"/>
  <c r="L90" s="1"/>
  <c r="H92"/>
  <c r="L92" s="1"/>
  <c r="H94"/>
  <c r="L94" s="1"/>
  <c r="H96"/>
  <c r="H98"/>
  <c r="L98" s="1"/>
  <c r="N98" s="1"/>
  <c r="H100"/>
  <c r="H102"/>
  <c r="G103"/>
  <c r="I103"/>
  <c r="K103"/>
  <c r="M103"/>
  <c r="H104"/>
  <c r="G105"/>
  <c r="I105"/>
  <c r="K105"/>
  <c r="M105"/>
  <c r="H106"/>
  <c r="L106" s="1"/>
  <c r="G107"/>
  <c r="I107"/>
  <c r="K107"/>
  <c r="M107"/>
  <c r="H108"/>
  <c r="L108" s="1"/>
  <c r="N108" s="1"/>
  <c r="G109"/>
  <c r="I109"/>
  <c r="K109"/>
  <c r="M109"/>
  <c r="H110"/>
  <c r="L110" s="1"/>
  <c r="G111"/>
  <c r="I111"/>
  <c r="K111"/>
  <c r="M111"/>
  <c r="H112"/>
  <c r="G113"/>
  <c r="I113"/>
  <c r="K113"/>
  <c r="M113"/>
  <c r="H114"/>
  <c r="L114" s="1"/>
  <c r="N114" s="1"/>
  <c r="G115"/>
  <c r="I115"/>
  <c r="K115"/>
  <c r="M115"/>
  <c r="H116"/>
  <c r="L116" s="1"/>
  <c r="G117"/>
  <c r="I117"/>
  <c r="K117"/>
  <c r="M117"/>
  <c r="H118"/>
  <c r="L118" s="1"/>
  <c r="G119"/>
  <c r="I119"/>
  <c r="K119"/>
  <c r="M119"/>
  <c r="H120"/>
  <c r="G121"/>
  <c r="I121"/>
  <c r="K121"/>
  <c r="M121"/>
  <c r="H122"/>
  <c r="L122" s="1"/>
  <c r="G123"/>
  <c r="I123"/>
  <c r="K123"/>
  <c r="M123"/>
  <c r="H124"/>
  <c r="G125"/>
  <c r="I125"/>
  <c r="K125"/>
  <c r="M125"/>
  <c r="H126"/>
  <c r="G127"/>
  <c r="I127"/>
  <c r="K127"/>
  <c r="M127"/>
  <c r="H128"/>
  <c r="L128" s="1"/>
  <c r="G129"/>
  <c r="I129"/>
  <c r="K129"/>
  <c r="M129"/>
  <c r="H130"/>
  <c r="L130" s="1"/>
  <c r="G131"/>
  <c r="I131"/>
  <c r="K131"/>
  <c r="M131"/>
  <c r="H132"/>
  <c r="L132" s="1"/>
  <c r="G133"/>
  <c r="I133"/>
  <c r="K133"/>
  <c r="M133"/>
  <c r="H134"/>
  <c r="L134" s="1"/>
  <c r="N134" s="1"/>
  <c r="G135"/>
  <c r="I135"/>
  <c r="K135"/>
  <c r="M135"/>
  <c r="H136"/>
  <c r="J136"/>
  <c r="H103"/>
  <c r="H105"/>
  <c r="H107"/>
  <c r="H109"/>
  <c r="H111"/>
  <c r="H113"/>
  <c r="H115"/>
  <c r="H117"/>
  <c r="H119"/>
  <c r="H121"/>
  <c r="H123"/>
  <c r="H125"/>
  <c r="H127"/>
  <c r="H129"/>
  <c r="H131"/>
  <c r="H133"/>
  <c r="H135"/>
  <c r="K136"/>
  <c r="L80" l="1"/>
  <c r="L30"/>
  <c r="L126"/>
  <c r="L102"/>
  <c r="N72"/>
  <c r="L52"/>
  <c r="N52" s="1"/>
  <c r="L50"/>
  <c r="N50" s="1"/>
  <c r="I144"/>
  <c r="I151" s="1"/>
  <c r="J146"/>
  <c r="L124"/>
  <c r="L100"/>
  <c r="L42"/>
  <c r="L34"/>
  <c r="N34" s="1"/>
  <c r="L26"/>
  <c r="I146"/>
  <c r="I145"/>
  <c r="I143" s="1"/>
  <c r="I140"/>
  <c r="AM46" i="20"/>
  <c r="L136" i="15"/>
  <c r="N136" s="1"/>
  <c r="G146"/>
  <c r="L120"/>
  <c r="G145"/>
  <c r="L112"/>
  <c r="N112" s="1"/>
  <c r="L104"/>
  <c r="N104" s="1"/>
  <c r="L96"/>
  <c r="L88"/>
  <c r="L40"/>
  <c r="N40" s="1"/>
  <c r="G144"/>
  <c r="L14"/>
  <c r="G140"/>
  <c r="H144"/>
  <c r="H151" s="1"/>
  <c r="J140"/>
  <c r="AM9" i="20"/>
  <c r="L150" i="16"/>
  <c r="L153" s="1"/>
  <c r="G153"/>
  <c r="J144" i="15"/>
  <c r="J151" s="1"/>
  <c r="H152"/>
  <c r="L152" s="1"/>
  <c r="L147"/>
  <c r="H140"/>
  <c r="J145"/>
  <c r="J143" s="1"/>
  <c r="H146"/>
  <c r="H145"/>
  <c r="H143" s="1"/>
  <c r="K146"/>
  <c r="K145"/>
  <c r="K143" s="1"/>
  <c r="L76"/>
  <c r="L70"/>
  <c r="N70" s="1"/>
  <c r="L68"/>
  <c r="N68" s="1"/>
  <c r="L64"/>
  <c r="L62"/>
  <c r="L60"/>
  <c r="L58"/>
  <c r="L54"/>
  <c r="L48"/>
  <c r="L46"/>
  <c r="L44"/>
  <c r="L36"/>
  <c r="L28"/>
  <c r="M47"/>
  <c r="K144"/>
  <c r="K151" s="1"/>
  <c r="K140"/>
  <c r="L129"/>
  <c r="N129" s="1"/>
  <c r="L105"/>
  <c r="N105" s="1"/>
  <c r="L73"/>
  <c r="N73" s="1"/>
  <c r="L71"/>
  <c r="L69"/>
  <c r="N69" s="1"/>
  <c r="L67"/>
  <c r="L65"/>
  <c r="N65" s="1"/>
  <c r="L63"/>
  <c r="L61"/>
  <c r="N61" s="1"/>
  <c r="L59"/>
  <c r="L57"/>
  <c r="N57" s="1"/>
  <c r="L55"/>
  <c r="N55" s="1"/>
  <c r="L53"/>
  <c r="L51"/>
  <c r="N51" s="1"/>
  <c r="L49"/>
  <c r="N49" s="1"/>
  <c r="L47"/>
  <c r="N47" s="1"/>
  <c r="L45"/>
  <c r="L101"/>
  <c r="N101" s="1"/>
  <c r="L99"/>
  <c r="N99" s="1"/>
  <c r="L97"/>
  <c r="N97" s="1"/>
  <c r="L95"/>
  <c r="N95" s="1"/>
  <c r="L93"/>
  <c r="N93" s="1"/>
  <c r="L91"/>
  <c r="N91" s="1"/>
  <c r="L89"/>
  <c r="N89" s="1"/>
  <c r="L87"/>
  <c r="N87" s="1"/>
  <c r="L85"/>
  <c r="N85" s="1"/>
  <c r="L83"/>
  <c r="N83" s="1"/>
  <c r="L81"/>
  <c r="N81" s="1"/>
  <c r="L79"/>
  <c r="N79" s="1"/>
  <c r="L77"/>
  <c r="N77" s="1"/>
  <c r="L75"/>
  <c r="N75" s="1"/>
  <c r="M71"/>
  <c r="L17"/>
  <c r="L13"/>
  <c r="N13" s="1"/>
  <c r="L11"/>
  <c r="L43"/>
  <c r="L41"/>
  <c r="L39"/>
  <c r="N39" s="1"/>
  <c r="L37"/>
  <c r="L35"/>
  <c r="L33"/>
  <c r="N33" s="1"/>
  <c r="L31"/>
  <c r="N31" s="1"/>
  <c r="L29"/>
  <c r="L27"/>
  <c r="L25"/>
  <c r="L23"/>
  <c r="N23" s="1"/>
  <c r="M132"/>
  <c r="N132" s="1"/>
  <c r="M130"/>
  <c r="N130" s="1"/>
  <c r="M128"/>
  <c r="N128" s="1"/>
  <c r="M126"/>
  <c r="N126" s="1"/>
  <c r="M124"/>
  <c r="N124" s="1"/>
  <c r="M122"/>
  <c r="N122" s="1"/>
  <c r="M120"/>
  <c r="N120" s="1"/>
  <c r="M118"/>
  <c r="N118" s="1"/>
  <c r="M116"/>
  <c r="N116" s="1"/>
  <c r="M110"/>
  <c r="N110" s="1"/>
  <c r="M106"/>
  <c r="N106" s="1"/>
  <c r="M102"/>
  <c r="N5"/>
  <c r="M100"/>
  <c r="N100" s="1"/>
  <c r="M96"/>
  <c r="N96" s="1"/>
  <c r="M94"/>
  <c r="N94" s="1"/>
  <c r="M92"/>
  <c r="N92" s="1"/>
  <c r="M90"/>
  <c r="N90" s="1"/>
  <c r="M88"/>
  <c r="N88" s="1"/>
  <c r="M86"/>
  <c r="N86" s="1"/>
  <c r="M82"/>
  <c r="N82" s="1"/>
  <c r="M80"/>
  <c r="N80" s="1"/>
  <c r="M78"/>
  <c r="N78" s="1"/>
  <c r="M76"/>
  <c r="M74"/>
  <c r="N74" s="1"/>
  <c r="M66"/>
  <c r="N66" s="1"/>
  <c r="M64"/>
  <c r="M62"/>
  <c r="M60"/>
  <c r="N60" s="1"/>
  <c r="M58"/>
  <c r="M54"/>
  <c r="M48"/>
  <c r="M46"/>
  <c r="N46" s="1"/>
  <c r="M44"/>
  <c r="M42"/>
  <c r="M38"/>
  <c r="N38" s="1"/>
  <c r="M36"/>
  <c r="M32"/>
  <c r="N32" s="1"/>
  <c r="M30"/>
  <c r="N30" s="1"/>
  <c r="M28"/>
  <c r="M26"/>
  <c r="N26" s="1"/>
  <c r="M20"/>
  <c r="N20" s="1"/>
  <c r="M12"/>
  <c r="N12" s="1"/>
  <c r="M24"/>
  <c r="N24" s="1"/>
  <c r="M22"/>
  <c r="N22" s="1"/>
  <c r="M18"/>
  <c r="M16"/>
  <c r="M14"/>
  <c r="L133"/>
  <c r="N133" s="1"/>
  <c r="L125"/>
  <c r="N125" s="1"/>
  <c r="L121"/>
  <c r="N121" s="1"/>
  <c r="L117"/>
  <c r="N117" s="1"/>
  <c r="L113"/>
  <c r="N113" s="1"/>
  <c r="L109"/>
  <c r="N109" s="1"/>
  <c r="L135"/>
  <c r="N135" s="1"/>
  <c r="L131"/>
  <c r="N131" s="1"/>
  <c r="L127"/>
  <c r="N127" s="1"/>
  <c r="L123"/>
  <c r="N123" s="1"/>
  <c r="L119"/>
  <c r="N119" s="1"/>
  <c r="L115"/>
  <c r="N115" s="1"/>
  <c r="L111"/>
  <c r="N111" s="1"/>
  <c r="L107"/>
  <c r="N107" s="1"/>
  <c r="L103"/>
  <c r="N103" s="1"/>
  <c r="M67"/>
  <c r="M63"/>
  <c r="M59"/>
  <c r="M53"/>
  <c r="M45"/>
  <c r="L21"/>
  <c r="N21" s="1"/>
  <c r="L19"/>
  <c r="M17"/>
  <c r="L15"/>
  <c r="M43"/>
  <c r="M41"/>
  <c r="M37"/>
  <c r="M35"/>
  <c r="M29"/>
  <c r="M27"/>
  <c r="M25"/>
  <c r="M19"/>
  <c r="M15"/>
  <c r="M11"/>
  <c r="N36" l="1"/>
  <c r="N102"/>
  <c r="E144"/>
  <c r="N42"/>
  <c r="N54"/>
  <c r="N64"/>
  <c r="L140"/>
  <c r="G151"/>
  <c r="N15"/>
  <c r="N14"/>
  <c r="N28"/>
  <c r="N48"/>
  <c r="N62"/>
  <c r="N76"/>
  <c r="H150"/>
  <c r="H153" s="1"/>
  <c r="H148"/>
  <c r="L145"/>
  <c r="G143"/>
  <c r="N16"/>
  <c r="E147"/>
  <c r="AM27" i="20"/>
  <c r="AM15"/>
  <c r="I150" i="15"/>
  <c r="I153" s="1"/>
  <c r="I148"/>
  <c r="M138"/>
  <c r="N18"/>
  <c r="E143"/>
  <c r="N44"/>
  <c r="N58"/>
  <c r="K150"/>
  <c r="K153" s="1"/>
  <c r="K148"/>
  <c r="J150"/>
  <c r="J153" s="1"/>
  <c r="J148"/>
  <c r="L144"/>
  <c r="L146"/>
  <c r="N25"/>
  <c r="N29"/>
  <c r="N37"/>
  <c r="N41"/>
  <c r="N11"/>
  <c r="N17"/>
  <c r="N45"/>
  <c r="N53"/>
  <c r="N19"/>
  <c r="N27"/>
  <c r="N35"/>
  <c r="N43"/>
  <c r="N59"/>
  <c r="N63"/>
  <c r="N67"/>
  <c r="N71"/>
  <c r="G148" l="1"/>
  <c r="L143"/>
  <c r="L148" s="1"/>
  <c r="AM45" i="20"/>
  <c r="AM47" s="1"/>
  <c r="C6" i="25" s="1"/>
  <c r="AM33" i="20"/>
  <c r="L151" i="15"/>
  <c r="G150"/>
  <c r="E148"/>
  <c r="N138"/>
  <c r="AM43" i="20" l="1"/>
  <c r="AM58"/>
  <c r="AM60" s="1"/>
  <c r="L150" i="15"/>
  <c r="L153" s="1"/>
  <c r="D159" i="23" s="1"/>
  <c r="G153" i="15"/>
  <c r="F127" i="14"/>
  <c r="J127" s="1"/>
  <c r="F126"/>
  <c r="J126" s="1"/>
  <c r="F125"/>
  <c r="J125" s="1"/>
  <c r="F124"/>
  <c r="J124" s="1"/>
  <c r="F123"/>
  <c r="J123" s="1"/>
  <c r="F122"/>
  <c r="J122" s="1"/>
  <c r="F121"/>
  <c r="J121" s="1"/>
  <c r="F120"/>
  <c r="J120" s="1"/>
  <c r="F119"/>
  <c r="J119" s="1"/>
  <c r="K118"/>
  <c r="F118"/>
  <c r="J118" s="1"/>
  <c r="F117"/>
  <c r="J117" s="1"/>
  <c r="F116"/>
  <c r="J116" s="1"/>
  <c r="F115"/>
  <c r="J115" s="1"/>
  <c r="F114"/>
  <c r="J114" s="1"/>
  <c r="F113"/>
  <c r="J113" s="1"/>
  <c r="F112"/>
  <c r="J112" s="1"/>
  <c r="F111"/>
  <c r="J111" s="1"/>
  <c r="F110"/>
  <c r="J110" s="1"/>
  <c r="F109"/>
  <c r="J109" s="1"/>
  <c r="F108"/>
  <c r="J108" s="1"/>
  <c r="F107"/>
  <c r="J107" s="1"/>
  <c r="F106"/>
  <c r="J106" s="1"/>
  <c r="F105"/>
  <c r="J105" s="1"/>
  <c r="F104"/>
  <c r="J104" s="1"/>
  <c r="F103"/>
  <c r="J103" s="1"/>
  <c r="K102"/>
  <c r="F102"/>
  <c r="J102" s="1"/>
  <c r="F101"/>
  <c r="J101" s="1"/>
  <c r="F100"/>
  <c r="J100" s="1"/>
  <c r="F99"/>
  <c r="J99" s="1"/>
  <c r="F98"/>
  <c r="J98" s="1"/>
  <c r="F97"/>
  <c r="J97" s="1"/>
  <c r="F96"/>
  <c r="J96" s="1"/>
  <c r="F95"/>
  <c r="J95" s="1"/>
  <c r="F94"/>
  <c r="J94" s="1"/>
  <c r="F93"/>
  <c r="J93" s="1"/>
  <c r="F92"/>
  <c r="J92" s="1"/>
  <c r="F91"/>
  <c r="J91" s="1"/>
  <c r="F90"/>
  <c r="J90" s="1"/>
  <c r="F89"/>
  <c r="J89" s="1"/>
  <c r="F88"/>
  <c r="J88" s="1"/>
  <c r="F87"/>
  <c r="J87" s="1"/>
  <c r="K86"/>
  <c r="F86"/>
  <c r="J86" s="1"/>
  <c r="F85"/>
  <c r="H85" s="1"/>
  <c r="K84"/>
  <c r="F84"/>
  <c r="J84" s="1"/>
  <c r="F83"/>
  <c r="H83" s="1"/>
  <c r="F82"/>
  <c r="J82" s="1"/>
  <c r="F81"/>
  <c r="H81" s="1"/>
  <c r="F80"/>
  <c r="J80" s="1"/>
  <c r="H79"/>
  <c r="F79"/>
  <c r="F78"/>
  <c r="J78" s="1"/>
  <c r="F77"/>
  <c r="H77" s="1"/>
  <c r="F76"/>
  <c r="J76" s="1"/>
  <c r="F75"/>
  <c r="H75" s="1"/>
  <c r="F74"/>
  <c r="J74" s="1"/>
  <c r="F73"/>
  <c r="H73" s="1"/>
  <c r="F72"/>
  <c r="J72" s="1"/>
  <c r="F71"/>
  <c r="H71" s="1"/>
  <c r="K70"/>
  <c r="G70"/>
  <c r="F70"/>
  <c r="J70" s="1"/>
  <c r="F69"/>
  <c r="H69" s="1"/>
  <c r="K68"/>
  <c r="F68"/>
  <c r="J68" s="1"/>
  <c r="F67"/>
  <c r="H67" s="1"/>
  <c r="F66"/>
  <c r="J66" s="1"/>
  <c r="F65"/>
  <c r="H65" s="1"/>
  <c r="F64"/>
  <c r="J64" s="1"/>
  <c r="H63"/>
  <c r="F63"/>
  <c r="F62"/>
  <c r="J62" s="1"/>
  <c r="F61"/>
  <c r="H61" s="1"/>
  <c r="F60"/>
  <c r="J60" s="1"/>
  <c r="F59"/>
  <c r="H59" s="1"/>
  <c r="F58"/>
  <c r="J58" s="1"/>
  <c r="F57"/>
  <c r="H57" s="1"/>
  <c r="F56"/>
  <c r="J56" s="1"/>
  <c r="F55"/>
  <c r="H55" s="1"/>
  <c r="K54"/>
  <c r="G54"/>
  <c r="F54"/>
  <c r="J54" s="1"/>
  <c r="F53"/>
  <c r="H53" s="1"/>
  <c r="K52"/>
  <c r="F52"/>
  <c r="J52" s="1"/>
  <c r="F51"/>
  <c r="H51" s="1"/>
  <c r="F50"/>
  <c r="J50" s="1"/>
  <c r="F49"/>
  <c r="H49" s="1"/>
  <c r="F48"/>
  <c r="J48" s="1"/>
  <c r="H47"/>
  <c r="F47"/>
  <c r="F46"/>
  <c r="J46" s="1"/>
  <c r="F45"/>
  <c r="H45" s="1"/>
  <c r="F44"/>
  <c r="J44" s="1"/>
  <c r="F43"/>
  <c r="H43" s="1"/>
  <c r="F42"/>
  <c r="J42" s="1"/>
  <c r="F41"/>
  <c r="J41" s="1"/>
  <c r="F40"/>
  <c r="J40" s="1"/>
  <c r="F39"/>
  <c r="J39" s="1"/>
  <c r="F38"/>
  <c r="J38" s="1"/>
  <c r="F37"/>
  <c r="J37" s="1"/>
  <c r="F36"/>
  <c r="J36" s="1"/>
  <c r="F35"/>
  <c r="J35" s="1"/>
  <c r="F34"/>
  <c r="J34" s="1"/>
  <c r="F33"/>
  <c r="J33" s="1"/>
  <c r="F32"/>
  <c r="J32" s="1"/>
  <c r="G31"/>
  <c r="F31"/>
  <c r="J31" s="1"/>
  <c r="F30"/>
  <c r="J30" s="1"/>
  <c r="F29"/>
  <c r="J29" s="1"/>
  <c r="F28"/>
  <c r="J28" s="1"/>
  <c r="F27"/>
  <c r="J27" s="1"/>
  <c r="F26"/>
  <c r="J26" s="1"/>
  <c r="F25"/>
  <c r="J25" s="1"/>
  <c r="F24"/>
  <c r="J24" s="1"/>
  <c r="F23"/>
  <c r="J23" s="1"/>
  <c r="F22"/>
  <c r="H22" s="1"/>
  <c r="F21"/>
  <c r="J21" s="1"/>
  <c r="F20"/>
  <c r="H20" s="1"/>
  <c r="F19"/>
  <c r="J19" s="1"/>
  <c r="F18"/>
  <c r="J18" s="1"/>
  <c r="F17"/>
  <c r="J17" s="1"/>
  <c r="F16"/>
  <c r="J16" s="1"/>
  <c r="G15"/>
  <c r="F15"/>
  <c r="J15" s="1"/>
  <c r="F14"/>
  <c r="J14" s="1"/>
  <c r="F13"/>
  <c r="J13" s="1"/>
  <c r="F12"/>
  <c r="K12" s="1"/>
  <c r="F11"/>
  <c r="J11" s="1"/>
  <c r="F10"/>
  <c r="J10" s="1"/>
  <c r="F9"/>
  <c r="J9" s="1"/>
  <c r="F8"/>
  <c r="H8" s="1"/>
  <c r="F7"/>
  <c r="G143" s="1"/>
  <c r="F6"/>
  <c r="H6" s="1"/>
  <c r="F5"/>
  <c r="J5" s="1"/>
  <c r="F4"/>
  <c r="J4" s="1"/>
  <c r="F3"/>
  <c r="J3" s="1"/>
  <c r="F2"/>
  <c r="K15" l="1"/>
  <c r="K31"/>
  <c r="G44"/>
  <c r="G46"/>
  <c r="G60"/>
  <c r="G62"/>
  <c r="G76"/>
  <c r="G78"/>
  <c r="G94"/>
  <c r="G110"/>
  <c r="G126"/>
  <c r="G23"/>
  <c r="G39"/>
  <c r="K44"/>
  <c r="K46"/>
  <c r="K60"/>
  <c r="K62"/>
  <c r="K76"/>
  <c r="K78"/>
  <c r="K94"/>
  <c r="K110"/>
  <c r="K126"/>
  <c r="H7"/>
  <c r="K23"/>
  <c r="K39"/>
  <c r="G52"/>
  <c r="G68"/>
  <c r="G84"/>
  <c r="G86"/>
  <c r="G102"/>
  <c r="G118"/>
  <c r="G27"/>
  <c r="G48"/>
  <c r="G72"/>
  <c r="G3"/>
  <c r="K11"/>
  <c r="K19"/>
  <c r="K27"/>
  <c r="K35"/>
  <c r="K48"/>
  <c r="G50"/>
  <c r="K56"/>
  <c r="G58"/>
  <c r="K64"/>
  <c r="G66"/>
  <c r="K72"/>
  <c r="G74"/>
  <c r="K80"/>
  <c r="G82"/>
  <c r="G90"/>
  <c r="G98"/>
  <c r="G106"/>
  <c r="G114"/>
  <c r="G122"/>
  <c r="G11"/>
  <c r="G19"/>
  <c r="G35"/>
  <c r="G56"/>
  <c r="G64"/>
  <c r="G80"/>
  <c r="K3"/>
  <c r="K50"/>
  <c r="K58"/>
  <c r="K66"/>
  <c r="K74"/>
  <c r="K82"/>
  <c r="K90"/>
  <c r="K98"/>
  <c r="K106"/>
  <c r="K114"/>
  <c r="K122"/>
  <c r="H2"/>
  <c r="F131"/>
  <c r="L7"/>
  <c r="H138"/>
  <c r="BI38" i="20"/>
  <c r="I5" i="14"/>
  <c r="I9"/>
  <c r="I13"/>
  <c r="I17"/>
  <c r="I21"/>
  <c r="I25"/>
  <c r="I29"/>
  <c r="I33"/>
  <c r="I37"/>
  <c r="I41"/>
  <c r="I88"/>
  <c r="I92"/>
  <c r="I96"/>
  <c r="I100"/>
  <c r="I104"/>
  <c r="I108"/>
  <c r="I112"/>
  <c r="I116"/>
  <c r="I120"/>
  <c r="I124"/>
  <c r="I3"/>
  <c r="G5"/>
  <c r="K5"/>
  <c r="G9"/>
  <c r="K9"/>
  <c r="I11"/>
  <c r="G13"/>
  <c r="K13"/>
  <c r="I15"/>
  <c r="G17"/>
  <c r="K17"/>
  <c r="I19"/>
  <c r="G21"/>
  <c r="K21"/>
  <c r="I23"/>
  <c r="G25"/>
  <c r="K25"/>
  <c r="I27"/>
  <c r="G29"/>
  <c r="K29"/>
  <c r="I31"/>
  <c r="G33"/>
  <c r="K33"/>
  <c r="I35"/>
  <c r="G37"/>
  <c r="K37"/>
  <c r="I39"/>
  <c r="G41"/>
  <c r="K41"/>
  <c r="I44"/>
  <c r="I46"/>
  <c r="I48"/>
  <c r="I50"/>
  <c r="I52"/>
  <c r="I54"/>
  <c r="I56"/>
  <c r="I58"/>
  <c r="I60"/>
  <c r="I62"/>
  <c r="I64"/>
  <c r="I66"/>
  <c r="I68"/>
  <c r="I70"/>
  <c r="I72"/>
  <c r="I74"/>
  <c r="I76"/>
  <c r="I78"/>
  <c r="I80"/>
  <c r="I82"/>
  <c r="I84"/>
  <c r="I86"/>
  <c r="G88"/>
  <c r="K88"/>
  <c r="I90"/>
  <c r="G92"/>
  <c r="K92"/>
  <c r="I94"/>
  <c r="G96"/>
  <c r="K96"/>
  <c r="I98"/>
  <c r="G100"/>
  <c r="K100"/>
  <c r="I102"/>
  <c r="G104"/>
  <c r="K104"/>
  <c r="I106"/>
  <c r="G108"/>
  <c r="K108"/>
  <c r="I110"/>
  <c r="G112"/>
  <c r="K112"/>
  <c r="I114"/>
  <c r="G116"/>
  <c r="K116"/>
  <c r="I118"/>
  <c r="G120"/>
  <c r="K120"/>
  <c r="I122"/>
  <c r="G124"/>
  <c r="K124"/>
  <c r="J137"/>
  <c r="I126"/>
  <c r="K43"/>
  <c r="I43"/>
  <c r="G43"/>
  <c r="K45"/>
  <c r="I45"/>
  <c r="G45"/>
  <c r="K47"/>
  <c r="I47"/>
  <c r="G47"/>
  <c r="K49"/>
  <c r="I49"/>
  <c r="G49"/>
  <c r="K51"/>
  <c r="I51"/>
  <c r="G51"/>
  <c r="K53"/>
  <c r="I53"/>
  <c r="G53"/>
  <c r="K55"/>
  <c r="I55"/>
  <c r="G55"/>
  <c r="K57"/>
  <c r="I57"/>
  <c r="G57"/>
  <c r="K59"/>
  <c r="I59"/>
  <c r="G59"/>
  <c r="K61"/>
  <c r="I61"/>
  <c r="G61"/>
  <c r="K63"/>
  <c r="I63"/>
  <c r="G63"/>
  <c r="K65"/>
  <c r="I65"/>
  <c r="G65"/>
  <c r="K67"/>
  <c r="I67"/>
  <c r="G67"/>
  <c r="K69"/>
  <c r="I69"/>
  <c r="G69"/>
  <c r="K71"/>
  <c r="I71"/>
  <c r="G71"/>
  <c r="K73"/>
  <c r="I73"/>
  <c r="G73"/>
  <c r="K75"/>
  <c r="I75"/>
  <c r="G75"/>
  <c r="K77"/>
  <c r="I77"/>
  <c r="G77"/>
  <c r="K79"/>
  <c r="I79"/>
  <c r="G79"/>
  <c r="K81"/>
  <c r="I81"/>
  <c r="G81"/>
  <c r="K83"/>
  <c r="I83"/>
  <c r="G83"/>
  <c r="K85"/>
  <c r="I85"/>
  <c r="G85"/>
  <c r="J2"/>
  <c r="H4"/>
  <c r="J6"/>
  <c r="J8"/>
  <c r="H10"/>
  <c r="H12"/>
  <c r="J12"/>
  <c r="H14"/>
  <c r="H16"/>
  <c r="H18"/>
  <c r="J20"/>
  <c r="J22"/>
  <c r="G2"/>
  <c r="I2"/>
  <c r="K2"/>
  <c r="H3"/>
  <c r="G4"/>
  <c r="I4"/>
  <c r="K4"/>
  <c r="H5"/>
  <c r="G6"/>
  <c r="I6"/>
  <c r="K6"/>
  <c r="G8"/>
  <c r="I8"/>
  <c r="K8"/>
  <c r="H9"/>
  <c r="G10"/>
  <c r="I10"/>
  <c r="K10"/>
  <c r="H11"/>
  <c r="G12"/>
  <c r="I12"/>
  <c r="H13"/>
  <c r="G14"/>
  <c r="I14"/>
  <c r="K14"/>
  <c r="H15"/>
  <c r="L15" s="1"/>
  <c r="G16"/>
  <c r="I16"/>
  <c r="K16"/>
  <c r="H17"/>
  <c r="G18"/>
  <c r="I18"/>
  <c r="K18"/>
  <c r="H19"/>
  <c r="G20"/>
  <c r="I20"/>
  <c r="K20"/>
  <c r="H21"/>
  <c r="L21" s="1"/>
  <c r="G22"/>
  <c r="I22"/>
  <c r="K22"/>
  <c r="H23"/>
  <c r="G24"/>
  <c r="I24"/>
  <c r="K24"/>
  <c r="H25"/>
  <c r="G26"/>
  <c r="I26"/>
  <c r="K26"/>
  <c r="H27"/>
  <c r="G28"/>
  <c r="I28"/>
  <c r="K28"/>
  <c r="H29"/>
  <c r="G30"/>
  <c r="I30"/>
  <c r="K30"/>
  <c r="H31"/>
  <c r="L31" s="1"/>
  <c r="G32"/>
  <c r="I32"/>
  <c r="K32"/>
  <c r="H33"/>
  <c r="G34"/>
  <c r="I34"/>
  <c r="K34"/>
  <c r="H35"/>
  <c r="G36"/>
  <c r="I36"/>
  <c r="K36"/>
  <c r="H37"/>
  <c r="L37" s="1"/>
  <c r="G38"/>
  <c r="I38"/>
  <c r="K38"/>
  <c r="H39"/>
  <c r="G40"/>
  <c r="I40"/>
  <c r="K40"/>
  <c r="H41"/>
  <c r="G42"/>
  <c r="I42"/>
  <c r="K42"/>
  <c r="J43"/>
  <c r="J45"/>
  <c r="J47"/>
  <c r="J49"/>
  <c r="J51"/>
  <c r="J53"/>
  <c r="J55"/>
  <c r="J57"/>
  <c r="J59"/>
  <c r="J61"/>
  <c r="J63"/>
  <c r="J65"/>
  <c r="J67"/>
  <c r="J69"/>
  <c r="J71"/>
  <c r="J73"/>
  <c r="J75"/>
  <c r="J77"/>
  <c r="J79"/>
  <c r="J81"/>
  <c r="J83"/>
  <c r="J85"/>
  <c r="H24"/>
  <c r="H26"/>
  <c r="H28"/>
  <c r="H30"/>
  <c r="H32"/>
  <c r="H34"/>
  <c r="H36"/>
  <c r="H38"/>
  <c r="H40"/>
  <c r="H42"/>
  <c r="H44"/>
  <c r="L44" s="1"/>
  <c r="H46"/>
  <c r="H48"/>
  <c r="L48" s="1"/>
  <c r="H50"/>
  <c r="H52"/>
  <c r="L52" s="1"/>
  <c r="H54"/>
  <c r="H56"/>
  <c r="H58"/>
  <c r="H60"/>
  <c r="H62"/>
  <c r="H64"/>
  <c r="H66"/>
  <c r="H68"/>
  <c r="L68" s="1"/>
  <c r="H70"/>
  <c r="H72"/>
  <c r="H74"/>
  <c r="H76"/>
  <c r="L76" s="1"/>
  <c r="H78"/>
  <c r="H80"/>
  <c r="L80" s="1"/>
  <c r="H82"/>
  <c r="H84"/>
  <c r="H86"/>
  <c r="G87"/>
  <c r="I87"/>
  <c r="K87"/>
  <c r="H88"/>
  <c r="G89"/>
  <c r="I89"/>
  <c r="K89"/>
  <c r="H90"/>
  <c r="L90" s="1"/>
  <c r="G91"/>
  <c r="I91"/>
  <c r="K91"/>
  <c r="H92"/>
  <c r="G93"/>
  <c r="I93"/>
  <c r="K93"/>
  <c r="H94"/>
  <c r="G95"/>
  <c r="I95"/>
  <c r="K95"/>
  <c r="H96"/>
  <c r="G97"/>
  <c r="I97"/>
  <c r="K97"/>
  <c r="H98"/>
  <c r="G99"/>
  <c r="I99"/>
  <c r="K99"/>
  <c r="H100"/>
  <c r="G101"/>
  <c r="I101"/>
  <c r="K101"/>
  <c r="H102"/>
  <c r="G103"/>
  <c r="I103"/>
  <c r="K103"/>
  <c r="H104"/>
  <c r="G105"/>
  <c r="I105"/>
  <c r="K105"/>
  <c r="H106"/>
  <c r="G107"/>
  <c r="I107"/>
  <c r="K107"/>
  <c r="H108"/>
  <c r="G109"/>
  <c r="I109"/>
  <c r="K109"/>
  <c r="H110"/>
  <c r="G111"/>
  <c r="I111"/>
  <c r="K111"/>
  <c r="H112"/>
  <c r="G113"/>
  <c r="I113"/>
  <c r="K113"/>
  <c r="H114"/>
  <c r="G115"/>
  <c r="I115"/>
  <c r="K115"/>
  <c r="H116"/>
  <c r="G117"/>
  <c r="I117"/>
  <c r="K117"/>
  <c r="H118"/>
  <c r="L118" s="1"/>
  <c r="G119"/>
  <c r="I119"/>
  <c r="K119"/>
  <c r="H120"/>
  <c r="G121"/>
  <c r="I121"/>
  <c r="K121"/>
  <c r="H122"/>
  <c r="G123"/>
  <c r="I123"/>
  <c r="K123"/>
  <c r="H124"/>
  <c r="G125"/>
  <c r="I125"/>
  <c r="K125"/>
  <c r="H126"/>
  <c r="G127"/>
  <c r="I127"/>
  <c r="K127"/>
  <c r="H87"/>
  <c r="H89"/>
  <c r="H91"/>
  <c r="H93"/>
  <c r="H95"/>
  <c r="H97"/>
  <c r="H99"/>
  <c r="H101"/>
  <c r="H103"/>
  <c r="H105"/>
  <c r="H107"/>
  <c r="H109"/>
  <c r="H111"/>
  <c r="H113"/>
  <c r="H115"/>
  <c r="H117"/>
  <c r="H119"/>
  <c r="H121"/>
  <c r="H123"/>
  <c r="H125"/>
  <c r="H127"/>
  <c r="L106" l="1"/>
  <c r="L98"/>
  <c r="L11"/>
  <c r="L84"/>
  <c r="L60"/>
  <c r="L41"/>
  <c r="L27"/>
  <c r="L25"/>
  <c r="L19"/>
  <c r="I137"/>
  <c r="K137"/>
  <c r="L33"/>
  <c r="L29"/>
  <c r="L17"/>
  <c r="L13"/>
  <c r="K136"/>
  <c r="K134" s="1"/>
  <c r="J136"/>
  <c r="L39"/>
  <c r="L35"/>
  <c r="L23"/>
  <c r="G137"/>
  <c r="G136"/>
  <c r="L72"/>
  <c r="L64"/>
  <c r="L56"/>
  <c r="L5"/>
  <c r="L3"/>
  <c r="J134"/>
  <c r="I131"/>
  <c r="I135"/>
  <c r="H143"/>
  <c r="BH39" i="20"/>
  <c r="L138" i="14"/>
  <c r="L126"/>
  <c r="H137"/>
  <c r="L137" s="1"/>
  <c r="BH17" i="20" s="1"/>
  <c r="L110" i="14"/>
  <c r="H136"/>
  <c r="L9"/>
  <c r="K131"/>
  <c r="K135"/>
  <c r="G131"/>
  <c r="G135"/>
  <c r="J131"/>
  <c r="J135"/>
  <c r="H131"/>
  <c r="H135"/>
  <c r="L124"/>
  <c r="L122"/>
  <c r="L120"/>
  <c r="L116"/>
  <c r="L114"/>
  <c r="L112"/>
  <c r="L108"/>
  <c r="L104"/>
  <c r="L102"/>
  <c r="L100"/>
  <c r="L96"/>
  <c r="L94"/>
  <c r="L92"/>
  <c r="L88"/>
  <c r="L86"/>
  <c r="L82"/>
  <c r="L78"/>
  <c r="L74"/>
  <c r="L70"/>
  <c r="L66"/>
  <c r="L62"/>
  <c r="L58"/>
  <c r="L54"/>
  <c r="L50"/>
  <c r="L46"/>
  <c r="I136"/>
  <c r="I134" s="1"/>
  <c r="G134"/>
  <c r="L127"/>
  <c r="L125"/>
  <c r="L123"/>
  <c r="L121"/>
  <c r="L119"/>
  <c r="L117"/>
  <c r="L115"/>
  <c r="L113"/>
  <c r="L111"/>
  <c r="L109"/>
  <c r="L107"/>
  <c r="L105"/>
  <c r="L103"/>
  <c r="L101"/>
  <c r="L99"/>
  <c r="L97"/>
  <c r="L95"/>
  <c r="L93"/>
  <c r="L91"/>
  <c r="L89"/>
  <c r="L87"/>
  <c r="L12"/>
  <c r="L10"/>
  <c r="L8"/>
  <c r="L85"/>
  <c r="L81"/>
  <c r="L77"/>
  <c r="L73"/>
  <c r="L69"/>
  <c r="L65"/>
  <c r="L61"/>
  <c r="L57"/>
  <c r="L53"/>
  <c r="L49"/>
  <c r="L45"/>
  <c r="L42"/>
  <c r="L40"/>
  <c r="L38"/>
  <c r="L36"/>
  <c r="L34"/>
  <c r="L32"/>
  <c r="L30"/>
  <c r="L28"/>
  <c r="L26"/>
  <c r="L24"/>
  <c r="L22"/>
  <c r="L20"/>
  <c r="L18"/>
  <c r="L16"/>
  <c r="L14"/>
  <c r="L6"/>
  <c r="L4"/>
  <c r="L2"/>
  <c r="L83"/>
  <c r="L79"/>
  <c r="L75"/>
  <c r="L71"/>
  <c r="L67"/>
  <c r="L63"/>
  <c r="L59"/>
  <c r="L55"/>
  <c r="L51"/>
  <c r="L47"/>
  <c r="L43"/>
  <c r="L136" l="1"/>
  <c r="BH8" i="20" s="1"/>
  <c r="BH26" s="1"/>
  <c r="H134" i="14"/>
  <c r="L134" s="1"/>
  <c r="BH40" i="20"/>
  <c r="BH41" s="1"/>
  <c r="I141" i="14"/>
  <c r="BH11" i="20"/>
  <c r="I139" i="14"/>
  <c r="K141"/>
  <c r="BH13" i="20"/>
  <c r="K139" i="14"/>
  <c r="I142"/>
  <c r="BI20" i="20" s="1"/>
  <c r="BH20"/>
  <c r="J141" i="14"/>
  <c r="BH12" i="20"/>
  <c r="J139" i="14"/>
  <c r="G139"/>
  <c r="BH9" i="20"/>
  <c r="H142" i="14"/>
  <c r="BH19" i="20"/>
  <c r="J142" i="14"/>
  <c r="BI21" i="20" s="1"/>
  <c r="BH21"/>
  <c r="BH18"/>
  <c r="L135" i="14"/>
  <c r="K142"/>
  <c r="BI22" i="20" s="1"/>
  <c r="BH22"/>
  <c r="H139" i="14"/>
  <c r="BI39" i="20"/>
  <c r="L143" i="14"/>
  <c r="L131"/>
  <c r="L129"/>
  <c r="H141" l="1"/>
  <c r="BH10" i="20"/>
  <c r="BH14" s="1"/>
  <c r="BH15" s="1"/>
  <c r="BI40"/>
  <c r="BI41" s="1"/>
  <c r="BH28"/>
  <c r="K144" i="14"/>
  <c r="BI13" i="20"/>
  <c r="BI10"/>
  <c r="H144" i="14"/>
  <c r="G142"/>
  <c r="BI19" i="20"/>
  <c r="BI12"/>
  <c r="J144" i="14"/>
  <c r="I144"/>
  <c r="BI11" i="20"/>
  <c r="BH23"/>
  <c r="BH24" s="1"/>
  <c r="L139" i="14"/>
  <c r="BH30" i="20"/>
  <c r="BH29"/>
  <c r="BH27"/>
  <c r="BH31"/>
  <c r="F136" i="13"/>
  <c r="F135"/>
  <c r="J135" s="1"/>
  <c r="F134"/>
  <c r="F133"/>
  <c r="J133" s="1"/>
  <c r="F132"/>
  <c r="K131"/>
  <c r="G131"/>
  <c r="F131"/>
  <c r="J131" s="1"/>
  <c r="F130"/>
  <c r="F129"/>
  <c r="J129" s="1"/>
  <c r="F128"/>
  <c r="K127"/>
  <c r="F127"/>
  <c r="J127" s="1"/>
  <c r="F126"/>
  <c r="F125"/>
  <c r="J125" s="1"/>
  <c r="F124"/>
  <c r="K123"/>
  <c r="I123"/>
  <c r="G123"/>
  <c r="F123"/>
  <c r="J123" s="1"/>
  <c r="F122"/>
  <c r="F121"/>
  <c r="J121" s="1"/>
  <c r="F120"/>
  <c r="F119"/>
  <c r="J119" s="1"/>
  <c r="F118"/>
  <c r="F117"/>
  <c r="J117" s="1"/>
  <c r="F116"/>
  <c r="K115"/>
  <c r="G115"/>
  <c r="F115"/>
  <c r="J115" s="1"/>
  <c r="F114"/>
  <c r="F113"/>
  <c r="J113" s="1"/>
  <c r="F112"/>
  <c r="K111"/>
  <c r="F111"/>
  <c r="J111" s="1"/>
  <c r="F110"/>
  <c r="F109"/>
  <c r="J109" s="1"/>
  <c r="F108"/>
  <c r="K107"/>
  <c r="I107"/>
  <c r="G107"/>
  <c r="F107"/>
  <c r="J107" s="1"/>
  <c r="F106"/>
  <c r="F105"/>
  <c r="J105" s="1"/>
  <c r="F104"/>
  <c r="F103"/>
  <c r="J103" s="1"/>
  <c r="F102"/>
  <c r="F101"/>
  <c r="J101" s="1"/>
  <c r="F100"/>
  <c r="K99"/>
  <c r="G99"/>
  <c r="F99"/>
  <c r="J99" s="1"/>
  <c r="F98"/>
  <c r="F97"/>
  <c r="J97" s="1"/>
  <c r="F96"/>
  <c r="K95"/>
  <c r="F95"/>
  <c r="J95" s="1"/>
  <c r="F94"/>
  <c r="F93"/>
  <c r="J93" s="1"/>
  <c r="F92"/>
  <c r="K91"/>
  <c r="I91"/>
  <c r="G91"/>
  <c r="F91"/>
  <c r="J91" s="1"/>
  <c r="F90"/>
  <c r="F89"/>
  <c r="J89" s="1"/>
  <c r="F88"/>
  <c r="F87"/>
  <c r="J87" s="1"/>
  <c r="F86"/>
  <c r="F85"/>
  <c r="J85" s="1"/>
  <c r="F84"/>
  <c r="K83"/>
  <c r="G83"/>
  <c r="F83"/>
  <c r="J83" s="1"/>
  <c r="F82"/>
  <c r="F81"/>
  <c r="J81" s="1"/>
  <c r="F80"/>
  <c r="K79"/>
  <c r="F79"/>
  <c r="J79" s="1"/>
  <c r="F78"/>
  <c r="F77"/>
  <c r="J77" s="1"/>
  <c r="F76"/>
  <c r="K75"/>
  <c r="I75"/>
  <c r="G75"/>
  <c r="F75"/>
  <c r="J75" s="1"/>
  <c r="F74"/>
  <c r="F73"/>
  <c r="J73" s="1"/>
  <c r="F72"/>
  <c r="F71"/>
  <c r="J71" s="1"/>
  <c r="F70"/>
  <c r="F69"/>
  <c r="J69" s="1"/>
  <c r="F68"/>
  <c r="K67"/>
  <c r="G67"/>
  <c r="F67"/>
  <c r="J67" s="1"/>
  <c r="F66"/>
  <c r="F65"/>
  <c r="J65" s="1"/>
  <c r="F64"/>
  <c r="K63"/>
  <c r="F63"/>
  <c r="J63" s="1"/>
  <c r="F62"/>
  <c r="F61"/>
  <c r="J61" s="1"/>
  <c r="F60"/>
  <c r="K59"/>
  <c r="I59"/>
  <c r="G59"/>
  <c r="F59"/>
  <c r="J59" s="1"/>
  <c r="F58"/>
  <c r="F57"/>
  <c r="J57" s="1"/>
  <c r="F56"/>
  <c r="F55"/>
  <c r="J55" s="1"/>
  <c r="F54"/>
  <c r="F53"/>
  <c r="J53" s="1"/>
  <c r="F52"/>
  <c r="K51"/>
  <c r="G51"/>
  <c r="F51"/>
  <c r="J51" s="1"/>
  <c r="F50"/>
  <c r="K50" s="1"/>
  <c r="F49"/>
  <c r="J49" s="1"/>
  <c r="F48"/>
  <c r="K48" s="1"/>
  <c r="K47"/>
  <c r="F47"/>
  <c r="J47" s="1"/>
  <c r="F46"/>
  <c r="K46" s="1"/>
  <c r="F45"/>
  <c r="J45" s="1"/>
  <c r="F44"/>
  <c r="K44" s="1"/>
  <c r="K43"/>
  <c r="I43"/>
  <c r="G43"/>
  <c r="F43"/>
  <c r="J43" s="1"/>
  <c r="J42"/>
  <c r="F42"/>
  <c r="K42" s="1"/>
  <c r="K41"/>
  <c r="F41"/>
  <c r="J41" s="1"/>
  <c r="F40"/>
  <c r="K40" s="1"/>
  <c r="F39"/>
  <c r="J39" s="1"/>
  <c r="F38"/>
  <c r="K38" s="1"/>
  <c r="K37"/>
  <c r="I37"/>
  <c r="G37"/>
  <c r="F37"/>
  <c r="J37" s="1"/>
  <c r="F36"/>
  <c r="K36" s="1"/>
  <c r="F35"/>
  <c r="J35" s="1"/>
  <c r="F34"/>
  <c r="K34" s="1"/>
  <c r="F33"/>
  <c r="J33" s="1"/>
  <c r="F32"/>
  <c r="K32" s="1"/>
  <c r="F31"/>
  <c r="J31" s="1"/>
  <c r="F30"/>
  <c r="K30" s="1"/>
  <c r="K29"/>
  <c r="G29"/>
  <c r="F29"/>
  <c r="J29" s="1"/>
  <c r="F28"/>
  <c r="K28" s="1"/>
  <c r="F27"/>
  <c r="J27" s="1"/>
  <c r="F26"/>
  <c r="K26" s="1"/>
  <c r="K25"/>
  <c r="F25"/>
  <c r="J25" s="1"/>
  <c r="F24"/>
  <c r="K24" s="1"/>
  <c r="F23"/>
  <c r="J23" s="1"/>
  <c r="F22"/>
  <c r="K22" s="1"/>
  <c r="K21"/>
  <c r="I21"/>
  <c r="G21"/>
  <c r="F21"/>
  <c r="J21" s="1"/>
  <c r="F20"/>
  <c r="K20" s="1"/>
  <c r="F19"/>
  <c r="J19" s="1"/>
  <c r="F18"/>
  <c r="K18" s="1"/>
  <c r="F17"/>
  <c r="I17" s="1"/>
  <c r="F16"/>
  <c r="F15"/>
  <c r="J15" s="1"/>
  <c r="F14"/>
  <c r="K14" s="1"/>
  <c r="K13"/>
  <c r="G13"/>
  <c r="F13"/>
  <c r="J13" s="1"/>
  <c r="F12"/>
  <c r="K12" s="1"/>
  <c r="F11"/>
  <c r="I11" s="1"/>
  <c r="H8"/>
  <c r="E8"/>
  <c r="G17" l="1"/>
  <c r="I19"/>
  <c r="G33"/>
  <c r="I35"/>
  <c r="G55"/>
  <c r="I57"/>
  <c r="G71"/>
  <c r="I73"/>
  <c r="G87"/>
  <c r="I89"/>
  <c r="G103"/>
  <c r="I105"/>
  <c r="G119"/>
  <c r="I121"/>
  <c r="G135"/>
  <c r="K17"/>
  <c r="K55"/>
  <c r="K71"/>
  <c r="K87"/>
  <c r="K103"/>
  <c r="K119"/>
  <c r="K135"/>
  <c r="K33"/>
  <c r="I13"/>
  <c r="G25"/>
  <c r="I27"/>
  <c r="I29"/>
  <c r="G41"/>
  <c r="G47"/>
  <c r="I49"/>
  <c r="I51"/>
  <c r="G63"/>
  <c r="I65"/>
  <c r="I67"/>
  <c r="G79"/>
  <c r="I81"/>
  <c r="I83"/>
  <c r="G95"/>
  <c r="I97"/>
  <c r="I99"/>
  <c r="G111"/>
  <c r="I113"/>
  <c r="I115"/>
  <c r="G127"/>
  <c r="I129"/>
  <c r="I131"/>
  <c r="H16"/>
  <c r="G152"/>
  <c r="F140"/>
  <c r="I15"/>
  <c r="I23"/>
  <c r="I31"/>
  <c r="I39"/>
  <c r="I45"/>
  <c r="I53"/>
  <c r="I61"/>
  <c r="I69"/>
  <c r="I77"/>
  <c r="I85"/>
  <c r="I93"/>
  <c r="I101"/>
  <c r="I109"/>
  <c r="I117"/>
  <c r="I125"/>
  <c r="I133"/>
  <c r="G11"/>
  <c r="K15"/>
  <c r="G19"/>
  <c r="K23"/>
  <c r="I25"/>
  <c r="G27"/>
  <c r="K31"/>
  <c r="I33"/>
  <c r="G35"/>
  <c r="K39"/>
  <c r="I41"/>
  <c r="K45"/>
  <c r="I47"/>
  <c r="G49"/>
  <c r="K53"/>
  <c r="I55"/>
  <c r="G57"/>
  <c r="K61"/>
  <c r="I63"/>
  <c r="G65"/>
  <c r="K69"/>
  <c r="I71"/>
  <c r="G73"/>
  <c r="K77"/>
  <c r="I79"/>
  <c r="G81"/>
  <c r="K85"/>
  <c r="I87"/>
  <c r="G89"/>
  <c r="K93"/>
  <c r="I95"/>
  <c r="G97"/>
  <c r="K101"/>
  <c r="I103"/>
  <c r="G105"/>
  <c r="K109"/>
  <c r="I111"/>
  <c r="G113"/>
  <c r="K117"/>
  <c r="I119"/>
  <c r="G121"/>
  <c r="K125"/>
  <c r="I127"/>
  <c r="G129"/>
  <c r="K133"/>
  <c r="I135"/>
  <c r="K11"/>
  <c r="G15"/>
  <c r="J17"/>
  <c r="K19"/>
  <c r="G23"/>
  <c r="K27"/>
  <c r="G31"/>
  <c r="K35"/>
  <c r="G39"/>
  <c r="G45"/>
  <c r="K49"/>
  <c r="G53"/>
  <c r="K57"/>
  <c r="G61"/>
  <c r="K65"/>
  <c r="G69"/>
  <c r="K73"/>
  <c r="G77"/>
  <c r="K81"/>
  <c r="G85"/>
  <c r="K89"/>
  <c r="G93"/>
  <c r="K97"/>
  <c r="G101"/>
  <c r="K105"/>
  <c r="G109"/>
  <c r="K113"/>
  <c r="G117"/>
  <c r="K121"/>
  <c r="G125"/>
  <c r="K129"/>
  <c r="G133"/>
  <c r="BI29" i="20"/>
  <c r="BI23"/>
  <c r="BI31"/>
  <c r="BI30"/>
  <c r="BH45"/>
  <c r="L142" i="14"/>
  <c r="BI18" i="20"/>
  <c r="BI14"/>
  <c r="BI28"/>
  <c r="G141" i="14"/>
  <c r="BH32" i="20"/>
  <c r="BH46" s="1"/>
  <c r="K52" i="13"/>
  <c r="I52"/>
  <c r="G52"/>
  <c r="K54"/>
  <c r="I54"/>
  <c r="G54"/>
  <c r="K56"/>
  <c r="I56"/>
  <c r="G56"/>
  <c r="K58"/>
  <c r="I58"/>
  <c r="G58"/>
  <c r="K60"/>
  <c r="I60"/>
  <c r="G60"/>
  <c r="K62"/>
  <c r="I62"/>
  <c r="G62"/>
  <c r="K64"/>
  <c r="I64"/>
  <c r="G64"/>
  <c r="K66"/>
  <c r="I66"/>
  <c r="G66"/>
  <c r="K68"/>
  <c r="I68"/>
  <c r="G68"/>
  <c r="K70"/>
  <c r="I70"/>
  <c r="G70"/>
  <c r="K72"/>
  <c r="I72"/>
  <c r="G72"/>
  <c r="K74"/>
  <c r="I74"/>
  <c r="G74"/>
  <c r="K76"/>
  <c r="I76"/>
  <c r="G76"/>
  <c r="K78"/>
  <c r="I78"/>
  <c r="G78"/>
  <c r="K80"/>
  <c r="I80"/>
  <c r="G80"/>
  <c r="K82"/>
  <c r="I82"/>
  <c r="G82"/>
  <c r="K84"/>
  <c r="I84"/>
  <c r="G84"/>
  <c r="K86"/>
  <c r="I86"/>
  <c r="G86"/>
  <c r="K88"/>
  <c r="I88"/>
  <c r="G88"/>
  <c r="K90"/>
  <c r="I90"/>
  <c r="G90"/>
  <c r="K92"/>
  <c r="I92"/>
  <c r="G92"/>
  <c r="K94"/>
  <c r="I94"/>
  <c r="G94"/>
  <c r="K96"/>
  <c r="I96"/>
  <c r="G96"/>
  <c r="K98"/>
  <c r="I98"/>
  <c r="G98"/>
  <c r="K100"/>
  <c r="I100"/>
  <c r="G100"/>
  <c r="K102"/>
  <c r="I102"/>
  <c r="G102"/>
  <c r="K104"/>
  <c r="I104"/>
  <c r="G104"/>
  <c r="K106"/>
  <c r="I106"/>
  <c r="G106"/>
  <c r="K108"/>
  <c r="K145" s="1"/>
  <c r="I108"/>
  <c r="G108"/>
  <c r="K110"/>
  <c r="I110"/>
  <c r="G110"/>
  <c r="K112"/>
  <c r="I112"/>
  <c r="G112"/>
  <c r="K114"/>
  <c r="I114"/>
  <c r="G114"/>
  <c r="K116"/>
  <c r="I116"/>
  <c r="G116"/>
  <c r="K118"/>
  <c r="I118"/>
  <c r="G118"/>
  <c r="K120"/>
  <c r="I120"/>
  <c r="G120"/>
  <c r="K122"/>
  <c r="I122"/>
  <c r="G122"/>
  <c r="K124"/>
  <c r="I124"/>
  <c r="G124"/>
  <c r="K126"/>
  <c r="I126"/>
  <c r="G126"/>
  <c r="K128"/>
  <c r="I128"/>
  <c r="G128"/>
  <c r="K130"/>
  <c r="I130"/>
  <c r="G130"/>
  <c r="K132"/>
  <c r="K144" s="1"/>
  <c r="I132"/>
  <c r="G132"/>
  <c r="K134"/>
  <c r="K146" s="1"/>
  <c r="I134"/>
  <c r="G134"/>
  <c r="K136"/>
  <c r="I136"/>
  <c r="G136"/>
  <c r="H12"/>
  <c r="H14"/>
  <c r="J24"/>
  <c r="J26"/>
  <c r="H28"/>
  <c r="H30"/>
  <c r="H32"/>
  <c r="H34"/>
  <c r="J34"/>
  <c r="H36"/>
  <c r="H38"/>
  <c r="H40"/>
  <c r="H42"/>
  <c r="H44"/>
  <c r="J44"/>
  <c r="H46"/>
  <c r="J46"/>
  <c r="H48"/>
  <c r="J48"/>
  <c r="H50"/>
  <c r="J50"/>
  <c r="J52"/>
  <c r="J54"/>
  <c r="J56"/>
  <c r="J58"/>
  <c r="J60"/>
  <c r="J62"/>
  <c r="J64"/>
  <c r="J66"/>
  <c r="J68"/>
  <c r="J70"/>
  <c r="J72"/>
  <c r="J74"/>
  <c r="J76"/>
  <c r="J78"/>
  <c r="J80"/>
  <c r="J82"/>
  <c r="J84"/>
  <c r="J86"/>
  <c r="J88"/>
  <c r="J90"/>
  <c r="J92"/>
  <c r="J94"/>
  <c r="J96"/>
  <c r="J98"/>
  <c r="J100"/>
  <c r="J102"/>
  <c r="J104"/>
  <c r="J106"/>
  <c r="J108"/>
  <c r="J110"/>
  <c r="J112"/>
  <c r="J114"/>
  <c r="J116"/>
  <c r="J118"/>
  <c r="J120"/>
  <c r="J122"/>
  <c r="J124"/>
  <c r="J126"/>
  <c r="J128"/>
  <c r="J130"/>
  <c r="J132"/>
  <c r="J134"/>
  <c r="J146" s="1"/>
  <c r="J136"/>
  <c r="J12"/>
  <c r="J14"/>
  <c r="H18"/>
  <c r="J18"/>
  <c r="H20"/>
  <c r="J20"/>
  <c r="H22"/>
  <c r="J22"/>
  <c r="H24"/>
  <c r="H26"/>
  <c r="J28"/>
  <c r="J30"/>
  <c r="J32"/>
  <c r="J36"/>
  <c r="J38"/>
  <c r="J40"/>
  <c r="F138"/>
  <c r="H11"/>
  <c r="J11"/>
  <c r="G12"/>
  <c r="I12"/>
  <c r="H13"/>
  <c r="G14"/>
  <c r="I14"/>
  <c r="H15"/>
  <c r="H17"/>
  <c r="G18"/>
  <c r="I18"/>
  <c r="H19"/>
  <c r="G20"/>
  <c r="I20"/>
  <c r="H21"/>
  <c r="M21" s="1"/>
  <c r="G22"/>
  <c r="I22"/>
  <c r="H23"/>
  <c r="M23" s="1"/>
  <c r="G24"/>
  <c r="I24"/>
  <c r="H25"/>
  <c r="M25" s="1"/>
  <c r="G26"/>
  <c r="I26"/>
  <c r="H27"/>
  <c r="G28"/>
  <c r="I28"/>
  <c r="H29"/>
  <c r="G30"/>
  <c r="I30"/>
  <c r="H31"/>
  <c r="G32"/>
  <c r="I32"/>
  <c r="H33"/>
  <c r="M33" s="1"/>
  <c r="G34"/>
  <c r="I34"/>
  <c r="H35"/>
  <c r="G36"/>
  <c r="I36"/>
  <c r="H37"/>
  <c r="M37" s="1"/>
  <c r="G38"/>
  <c r="I38"/>
  <c r="H39"/>
  <c r="M39" s="1"/>
  <c r="G40"/>
  <c r="I40"/>
  <c r="H41"/>
  <c r="G42"/>
  <c r="I42"/>
  <c r="H43"/>
  <c r="M43" s="1"/>
  <c r="G44"/>
  <c r="I44"/>
  <c r="H45"/>
  <c r="M45" s="1"/>
  <c r="G46"/>
  <c r="I46"/>
  <c r="H47"/>
  <c r="M47" s="1"/>
  <c r="G48"/>
  <c r="I48"/>
  <c r="H49"/>
  <c r="G50"/>
  <c r="I50"/>
  <c r="H51"/>
  <c r="H52"/>
  <c r="H54"/>
  <c r="H56"/>
  <c r="H58"/>
  <c r="H60"/>
  <c r="H62"/>
  <c r="H64"/>
  <c r="H66"/>
  <c r="H68"/>
  <c r="H70"/>
  <c r="H72"/>
  <c r="H74"/>
  <c r="H76"/>
  <c r="H78"/>
  <c r="H80"/>
  <c r="H82"/>
  <c r="H84"/>
  <c r="H86"/>
  <c r="H88"/>
  <c r="H90"/>
  <c r="H92"/>
  <c r="H94"/>
  <c r="H96"/>
  <c r="H98"/>
  <c r="H100"/>
  <c r="H102"/>
  <c r="H104"/>
  <c r="H106"/>
  <c r="H108"/>
  <c r="H110"/>
  <c r="H112"/>
  <c r="H114"/>
  <c r="H116"/>
  <c r="H118"/>
  <c r="H120"/>
  <c r="H122"/>
  <c r="H124"/>
  <c r="H126"/>
  <c r="H128"/>
  <c r="H130"/>
  <c r="H132"/>
  <c r="H134"/>
  <c r="H136"/>
  <c r="H53"/>
  <c r="H55"/>
  <c r="M55" s="1"/>
  <c r="H57"/>
  <c r="M57" s="1"/>
  <c r="H59"/>
  <c r="M59" s="1"/>
  <c r="H61"/>
  <c r="H63"/>
  <c r="H65"/>
  <c r="M65" s="1"/>
  <c r="H67"/>
  <c r="M67" s="1"/>
  <c r="H69"/>
  <c r="H71"/>
  <c r="H73"/>
  <c r="H75"/>
  <c r="M75" s="1"/>
  <c r="H77"/>
  <c r="H79"/>
  <c r="H81"/>
  <c r="M81" s="1"/>
  <c r="H83"/>
  <c r="M83" s="1"/>
  <c r="H85"/>
  <c r="H87"/>
  <c r="M87" s="1"/>
  <c r="H89"/>
  <c r="M89" s="1"/>
  <c r="H91"/>
  <c r="M91" s="1"/>
  <c r="H93"/>
  <c r="H95"/>
  <c r="H97"/>
  <c r="M97" s="1"/>
  <c r="H99"/>
  <c r="M99" s="1"/>
  <c r="H101"/>
  <c r="H103"/>
  <c r="H105"/>
  <c r="H107"/>
  <c r="M107" s="1"/>
  <c r="H109"/>
  <c r="H111"/>
  <c r="M111" s="1"/>
  <c r="H113"/>
  <c r="M113" s="1"/>
  <c r="H115"/>
  <c r="M115" s="1"/>
  <c r="H117"/>
  <c r="H119"/>
  <c r="H121"/>
  <c r="H123"/>
  <c r="M123" s="1"/>
  <c r="H125"/>
  <c r="H127"/>
  <c r="H129"/>
  <c r="M129" s="1"/>
  <c r="H131"/>
  <c r="M131" s="1"/>
  <c r="H133"/>
  <c r="H135"/>
  <c r="BH47" i="20" l="1"/>
  <c r="J145" i="13"/>
  <c r="J143" s="1"/>
  <c r="G144"/>
  <c r="K143"/>
  <c r="M79"/>
  <c r="M13"/>
  <c r="M29"/>
  <c r="G145"/>
  <c r="M51"/>
  <c r="M35"/>
  <c r="I140"/>
  <c r="G146"/>
  <c r="I144"/>
  <c r="I151" s="1"/>
  <c r="BG20" i="20" s="1"/>
  <c r="BF18"/>
  <c r="BF12"/>
  <c r="J150" i="13"/>
  <c r="K151"/>
  <c r="BG22" i="20" s="1"/>
  <c r="BF22"/>
  <c r="K150" i="13"/>
  <c r="BF13" i="20"/>
  <c r="K148" i="13"/>
  <c r="G143"/>
  <c r="BG38" i="20"/>
  <c r="M121" i="13"/>
  <c r="M105"/>
  <c r="M73"/>
  <c r="M50"/>
  <c r="M42"/>
  <c r="M31"/>
  <c r="M26"/>
  <c r="J140"/>
  <c r="I146"/>
  <c r="M127"/>
  <c r="M41"/>
  <c r="M17"/>
  <c r="H144"/>
  <c r="M11"/>
  <c r="H140"/>
  <c r="K140"/>
  <c r="G140"/>
  <c r="J144"/>
  <c r="J148" s="1"/>
  <c r="M34"/>
  <c r="M18"/>
  <c r="M14"/>
  <c r="M16"/>
  <c r="H147"/>
  <c r="M135"/>
  <c r="H146"/>
  <c r="L146" s="1"/>
  <c r="BF17" i="20" s="1"/>
  <c r="M119" i="13"/>
  <c r="H145"/>
  <c r="H143" s="1"/>
  <c r="M103"/>
  <c r="M95"/>
  <c r="M71"/>
  <c r="M63"/>
  <c r="M49"/>
  <c r="M133"/>
  <c r="M125"/>
  <c r="M117"/>
  <c r="M109"/>
  <c r="M101"/>
  <c r="M93"/>
  <c r="M85"/>
  <c r="M77"/>
  <c r="M69"/>
  <c r="M61"/>
  <c r="M53"/>
  <c r="M46"/>
  <c r="M38"/>
  <c r="M30"/>
  <c r="M27"/>
  <c r="M22"/>
  <c r="M19"/>
  <c r="M15"/>
  <c r="I145"/>
  <c r="I143" s="1"/>
  <c r="BI32" i="20"/>
  <c r="BI46" s="1"/>
  <c r="BI24"/>
  <c r="BH33"/>
  <c r="BH43" s="1"/>
  <c r="BI9"/>
  <c r="G144" i="14"/>
  <c r="L141"/>
  <c r="L144" s="1"/>
  <c r="M134" i="13"/>
  <c r="M130"/>
  <c r="M126"/>
  <c r="M122"/>
  <c r="M118"/>
  <c r="M114"/>
  <c r="M110"/>
  <c r="M106"/>
  <c r="M102"/>
  <c r="M98"/>
  <c r="M94"/>
  <c r="M90"/>
  <c r="M86"/>
  <c r="M82"/>
  <c r="M78"/>
  <c r="M74"/>
  <c r="M70"/>
  <c r="M66"/>
  <c r="M62"/>
  <c r="M58"/>
  <c r="M54"/>
  <c r="M48"/>
  <c r="M44"/>
  <c r="M40"/>
  <c r="M36"/>
  <c r="M32"/>
  <c r="M28"/>
  <c r="M24"/>
  <c r="M20"/>
  <c r="M12"/>
  <c r="M136"/>
  <c r="M132"/>
  <c r="M128"/>
  <c r="M124"/>
  <c r="M120"/>
  <c r="M116"/>
  <c r="M112"/>
  <c r="M108"/>
  <c r="M104"/>
  <c r="M100"/>
  <c r="M96"/>
  <c r="M92"/>
  <c r="M88"/>
  <c r="M84"/>
  <c r="M80"/>
  <c r="M76"/>
  <c r="M72"/>
  <c r="M68"/>
  <c r="M64"/>
  <c r="M60"/>
  <c r="M56"/>
  <c r="M52"/>
  <c r="BF20" i="20" l="1"/>
  <c r="L140" i="13"/>
  <c r="I150"/>
  <c r="BF11" i="20"/>
  <c r="I148" i="13"/>
  <c r="BF10" i="20"/>
  <c r="H148" i="13"/>
  <c r="H150"/>
  <c r="H152"/>
  <c r="BF39" i="20"/>
  <c r="BF40" s="1"/>
  <c r="BF41" s="1"/>
  <c r="L147" i="13"/>
  <c r="BF31" i="20"/>
  <c r="M138" i="13"/>
  <c r="BF21" i="20"/>
  <c r="J151" i="13"/>
  <c r="BG21" i="20" s="1"/>
  <c r="G148" i="13"/>
  <c r="BF9" i="20"/>
  <c r="BF27" s="1"/>
  <c r="L143" i="13"/>
  <c r="L148" s="1"/>
  <c r="K153"/>
  <c r="BG13" i="20"/>
  <c r="BG31" s="1"/>
  <c r="J153" i="13"/>
  <c r="BG12" i="20"/>
  <c r="BG30" s="1"/>
  <c r="BF19"/>
  <c r="H151" i="13"/>
  <c r="L145"/>
  <c r="BF8" i="20" s="1"/>
  <c r="BF26" s="1"/>
  <c r="BF45" s="1"/>
  <c r="BF30"/>
  <c r="L144" i="13"/>
  <c r="BI27" i="20"/>
  <c r="BI15"/>
  <c r="F136" i="12"/>
  <c r="M136" s="1"/>
  <c r="F135"/>
  <c r="J135" s="1"/>
  <c r="F134"/>
  <c r="M134" s="1"/>
  <c r="F133"/>
  <c r="J133" s="1"/>
  <c r="F132"/>
  <c r="M132" s="1"/>
  <c r="F131"/>
  <c r="J131" s="1"/>
  <c r="F130"/>
  <c r="M130" s="1"/>
  <c r="F129"/>
  <c r="J129" s="1"/>
  <c r="F128"/>
  <c r="M128" s="1"/>
  <c r="F127"/>
  <c r="J127" s="1"/>
  <c r="F126"/>
  <c r="M126" s="1"/>
  <c r="F125"/>
  <c r="J125" s="1"/>
  <c r="F124"/>
  <c r="M124" s="1"/>
  <c r="K123"/>
  <c r="F123"/>
  <c r="J123" s="1"/>
  <c r="F122"/>
  <c r="M122" s="1"/>
  <c r="K121"/>
  <c r="G121"/>
  <c r="F121"/>
  <c r="J121" s="1"/>
  <c r="F120"/>
  <c r="M120" s="1"/>
  <c r="G119"/>
  <c r="F119"/>
  <c r="J119" s="1"/>
  <c r="F118"/>
  <c r="M118" s="1"/>
  <c r="F117"/>
  <c r="J117" s="1"/>
  <c r="F116"/>
  <c r="M116" s="1"/>
  <c r="F115"/>
  <c r="J115" s="1"/>
  <c r="F114"/>
  <c r="M114" s="1"/>
  <c r="K113"/>
  <c r="G113"/>
  <c r="F113"/>
  <c r="J113" s="1"/>
  <c r="F112"/>
  <c r="M112" s="1"/>
  <c r="G111"/>
  <c r="F111"/>
  <c r="J111" s="1"/>
  <c r="F110"/>
  <c r="M110" s="1"/>
  <c r="I109"/>
  <c r="F109"/>
  <c r="J109" s="1"/>
  <c r="F108"/>
  <c r="M108" s="1"/>
  <c r="K107"/>
  <c r="F107"/>
  <c r="J107" s="1"/>
  <c r="F106"/>
  <c r="M106" s="1"/>
  <c r="K105"/>
  <c r="I105"/>
  <c r="G105"/>
  <c r="F105"/>
  <c r="J105" s="1"/>
  <c r="F104"/>
  <c r="M104" s="1"/>
  <c r="G103"/>
  <c r="F103"/>
  <c r="J103" s="1"/>
  <c r="F102"/>
  <c r="M102" s="1"/>
  <c r="F101"/>
  <c r="J101" s="1"/>
  <c r="F100"/>
  <c r="M100" s="1"/>
  <c r="F99"/>
  <c r="J99" s="1"/>
  <c r="F98"/>
  <c r="M98" s="1"/>
  <c r="K97"/>
  <c r="G97"/>
  <c r="F97"/>
  <c r="J97" s="1"/>
  <c r="F96"/>
  <c r="M96" s="1"/>
  <c r="G95"/>
  <c r="F95"/>
  <c r="J95" s="1"/>
  <c r="H94"/>
  <c r="F94"/>
  <c r="F93"/>
  <c r="J93" s="1"/>
  <c r="F92"/>
  <c r="H92" s="1"/>
  <c r="K91"/>
  <c r="G91"/>
  <c r="F91"/>
  <c r="J91" s="1"/>
  <c r="H90"/>
  <c r="F90"/>
  <c r="I89"/>
  <c r="F89"/>
  <c r="J89" s="1"/>
  <c r="F88"/>
  <c r="H88" s="1"/>
  <c r="G87"/>
  <c r="F87"/>
  <c r="J87" s="1"/>
  <c r="H86"/>
  <c r="F86"/>
  <c r="F85"/>
  <c r="J85" s="1"/>
  <c r="F84"/>
  <c r="H84" s="1"/>
  <c r="K83"/>
  <c r="G83"/>
  <c r="F83"/>
  <c r="J83" s="1"/>
  <c r="H82"/>
  <c r="F82"/>
  <c r="I81"/>
  <c r="F81"/>
  <c r="J81" s="1"/>
  <c r="F80"/>
  <c r="H80" s="1"/>
  <c r="G79"/>
  <c r="F79"/>
  <c r="J79" s="1"/>
  <c r="H78"/>
  <c r="F78"/>
  <c r="F77"/>
  <c r="J77" s="1"/>
  <c r="F76"/>
  <c r="H76" s="1"/>
  <c r="K75"/>
  <c r="G75"/>
  <c r="F75"/>
  <c r="J75" s="1"/>
  <c r="H74"/>
  <c r="F74"/>
  <c r="I73"/>
  <c r="F73"/>
  <c r="J73" s="1"/>
  <c r="F72"/>
  <c r="J72" s="1"/>
  <c r="F71"/>
  <c r="J71" s="1"/>
  <c r="F70"/>
  <c r="J70" s="1"/>
  <c r="F69"/>
  <c r="J69" s="1"/>
  <c r="F68"/>
  <c r="J68" s="1"/>
  <c r="F67"/>
  <c r="J67" s="1"/>
  <c r="F66"/>
  <c r="J66" s="1"/>
  <c r="I65"/>
  <c r="F65"/>
  <c r="J65" s="1"/>
  <c r="F64"/>
  <c r="J64" s="1"/>
  <c r="F63"/>
  <c r="J63" s="1"/>
  <c r="F62"/>
  <c r="J62" s="1"/>
  <c r="F61"/>
  <c r="J61" s="1"/>
  <c r="F60"/>
  <c r="J60" s="1"/>
  <c r="F59"/>
  <c r="J59" s="1"/>
  <c r="F58"/>
  <c r="J58" s="1"/>
  <c r="I57"/>
  <c r="F57"/>
  <c r="J57" s="1"/>
  <c r="F56"/>
  <c r="J56" s="1"/>
  <c r="F55"/>
  <c r="J55" s="1"/>
  <c r="F54"/>
  <c r="H54" s="1"/>
  <c r="F53"/>
  <c r="J53" s="1"/>
  <c r="F52"/>
  <c r="H52" s="1"/>
  <c r="F51"/>
  <c r="J51" s="1"/>
  <c r="F50"/>
  <c r="H50" s="1"/>
  <c r="I49"/>
  <c r="F49"/>
  <c r="J49" s="1"/>
  <c r="F48"/>
  <c r="H48" s="1"/>
  <c r="F47"/>
  <c r="J47" s="1"/>
  <c r="F46"/>
  <c r="H46" s="1"/>
  <c r="F45"/>
  <c r="J45" s="1"/>
  <c r="F44"/>
  <c r="H44" s="1"/>
  <c r="F43"/>
  <c r="J43" s="1"/>
  <c r="F42"/>
  <c r="H42" s="1"/>
  <c r="I41"/>
  <c r="F41"/>
  <c r="J41" s="1"/>
  <c r="F40"/>
  <c r="H40" s="1"/>
  <c r="F39"/>
  <c r="J39" s="1"/>
  <c r="F38"/>
  <c r="H38" s="1"/>
  <c r="F37"/>
  <c r="J37" s="1"/>
  <c r="F36"/>
  <c r="H36" s="1"/>
  <c r="F35"/>
  <c r="J35" s="1"/>
  <c r="F34"/>
  <c r="H34" s="1"/>
  <c r="I33"/>
  <c r="F33"/>
  <c r="J33" s="1"/>
  <c r="F32"/>
  <c r="H32" s="1"/>
  <c r="F31"/>
  <c r="J31" s="1"/>
  <c r="F30"/>
  <c r="H30" s="1"/>
  <c r="F29"/>
  <c r="J29" s="1"/>
  <c r="F28"/>
  <c r="H28" s="1"/>
  <c r="F27"/>
  <c r="J27" s="1"/>
  <c r="F26"/>
  <c r="H26" s="1"/>
  <c r="I25"/>
  <c r="F25"/>
  <c r="J25" s="1"/>
  <c r="F24"/>
  <c r="H24" s="1"/>
  <c r="G23"/>
  <c r="F23"/>
  <c r="J23" s="1"/>
  <c r="H22"/>
  <c r="F22"/>
  <c r="F21"/>
  <c r="J21" s="1"/>
  <c r="F20"/>
  <c r="M20" s="1"/>
  <c r="I19"/>
  <c r="F19"/>
  <c r="J19" s="1"/>
  <c r="F18"/>
  <c r="M18" s="1"/>
  <c r="F17"/>
  <c r="K17" s="1"/>
  <c r="F16"/>
  <c r="F15"/>
  <c r="J15" s="1"/>
  <c r="F14"/>
  <c r="M14" s="1"/>
  <c r="F13"/>
  <c r="J13" s="1"/>
  <c r="F12"/>
  <c r="M12" s="1"/>
  <c r="I11"/>
  <c r="F11"/>
  <c r="E7"/>
  <c r="BF29" i="20" l="1"/>
  <c r="I15" i="12"/>
  <c r="K23"/>
  <c r="I29"/>
  <c r="I45"/>
  <c r="I61"/>
  <c r="I75"/>
  <c r="K79"/>
  <c r="I83"/>
  <c r="K87"/>
  <c r="I91"/>
  <c r="K95"/>
  <c r="I97"/>
  <c r="G99"/>
  <c r="G101"/>
  <c r="K109"/>
  <c r="K111"/>
  <c r="I113"/>
  <c r="G115"/>
  <c r="G117"/>
  <c r="K99"/>
  <c r="I101"/>
  <c r="K115"/>
  <c r="I117"/>
  <c r="I37"/>
  <c r="I53"/>
  <c r="I69"/>
  <c r="K101"/>
  <c r="K103"/>
  <c r="G107"/>
  <c r="G109"/>
  <c r="K117"/>
  <c r="K119"/>
  <c r="I121"/>
  <c r="G123"/>
  <c r="G125"/>
  <c r="M17"/>
  <c r="M21"/>
  <c r="M27"/>
  <c r="M31"/>
  <c r="F140"/>
  <c r="M11"/>
  <c r="I13"/>
  <c r="M15"/>
  <c r="I17"/>
  <c r="M19"/>
  <c r="I21"/>
  <c r="M25"/>
  <c r="I27"/>
  <c r="M29"/>
  <c r="I31"/>
  <c r="M33"/>
  <c r="I35"/>
  <c r="M37"/>
  <c r="I39"/>
  <c r="M41"/>
  <c r="I43"/>
  <c r="M45"/>
  <c r="I47"/>
  <c r="M49"/>
  <c r="I51"/>
  <c r="M53"/>
  <c r="I55"/>
  <c r="M57"/>
  <c r="I59"/>
  <c r="M61"/>
  <c r="I63"/>
  <c r="M65"/>
  <c r="I67"/>
  <c r="M69"/>
  <c r="I71"/>
  <c r="M73"/>
  <c r="I77"/>
  <c r="M81"/>
  <c r="I85"/>
  <c r="M89"/>
  <c r="I93"/>
  <c r="BF28" i="20"/>
  <c r="BF14"/>
  <c r="BF15" s="1"/>
  <c r="G11" i="12"/>
  <c r="K13"/>
  <c r="G15"/>
  <c r="M16"/>
  <c r="E147" s="1"/>
  <c r="G152"/>
  <c r="G19"/>
  <c r="K21"/>
  <c r="M23"/>
  <c r="G25"/>
  <c r="K27"/>
  <c r="G29"/>
  <c r="K31"/>
  <c r="G33"/>
  <c r="K35"/>
  <c r="G37"/>
  <c r="K39"/>
  <c r="G41"/>
  <c r="K43"/>
  <c r="G45"/>
  <c r="K47"/>
  <c r="G49"/>
  <c r="K51"/>
  <c r="G53"/>
  <c r="K55"/>
  <c r="G57"/>
  <c r="K59"/>
  <c r="G61"/>
  <c r="K63"/>
  <c r="G65"/>
  <c r="K67"/>
  <c r="G69"/>
  <c r="K71"/>
  <c r="G73"/>
  <c r="K77"/>
  <c r="M79"/>
  <c r="G81"/>
  <c r="K85"/>
  <c r="M87"/>
  <c r="G89"/>
  <c r="K93"/>
  <c r="M95"/>
  <c r="M99"/>
  <c r="M103"/>
  <c r="M107"/>
  <c r="M111"/>
  <c r="M115"/>
  <c r="M119"/>
  <c r="M123"/>
  <c r="I125"/>
  <c r="BG39" i="20"/>
  <c r="BG40" s="1"/>
  <c r="BG41" s="1"/>
  <c r="L152" i="13"/>
  <c r="M13" i="12"/>
  <c r="J17"/>
  <c r="M35"/>
  <c r="M39"/>
  <c r="M43"/>
  <c r="M47"/>
  <c r="M51"/>
  <c r="M55"/>
  <c r="M59"/>
  <c r="M63"/>
  <c r="M67"/>
  <c r="M71"/>
  <c r="M77"/>
  <c r="M85"/>
  <c r="M93"/>
  <c r="BG19" i="20"/>
  <c r="BG23" s="1"/>
  <c r="G151" i="13"/>
  <c r="H153"/>
  <c r="BG10" i="20"/>
  <c r="K11" i="12"/>
  <c r="G13"/>
  <c r="K15"/>
  <c r="G17"/>
  <c r="K19"/>
  <c r="G21"/>
  <c r="I23"/>
  <c r="K25"/>
  <c r="G27"/>
  <c r="K29"/>
  <c r="G31"/>
  <c r="K33"/>
  <c r="G35"/>
  <c r="K37"/>
  <c r="G39"/>
  <c r="K41"/>
  <c r="G43"/>
  <c r="K45"/>
  <c r="G47"/>
  <c r="K49"/>
  <c r="G51"/>
  <c r="K53"/>
  <c r="G55"/>
  <c r="K57"/>
  <c r="G59"/>
  <c r="K61"/>
  <c r="G63"/>
  <c r="K65"/>
  <c r="G67"/>
  <c r="K69"/>
  <c r="G71"/>
  <c r="K73"/>
  <c r="M75"/>
  <c r="G77"/>
  <c r="I79"/>
  <c r="K81"/>
  <c r="M83"/>
  <c r="G85"/>
  <c r="I87"/>
  <c r="K89"/>
  <c r="M91"/>
  <c r="G93"/>
  <c r="I95"/>
  <c r="M97"/>
  <c r="I99"/>
  <c r="M101"/>
  <c r="I103"/>
  <c r="M105"/>
  <c r="I107"/>
  <c r="M109"/>
  <c r="I111"/>
  <c r="M113"/>
  <c r="I115"/>
  <c r="M117"/>
  <c r="I119"/>
  <c r="M121"/>
  <c r="I123"/>
  <c r="BF23" i="20"/>
  <c r="BF24" s="1"/>
  <c r="I153" i="13"/>
  <c r="BG11" i="20"/>
  <c r="BG29" s="1"/>
  <c r="BI45"/>
  <c r="BI47" s="1"/>
  <c r="B7" i="25" s="1"/>
  <c r="BI33" i="20"/>
  <c r="BI43" s="1"/>
  <c r="J12" i="12"/>
  <c r="J14"/>
  <c r="H18"/>
  <c r="J18"/>
  <c r="H20"/>
  <c r="J20"/>
  <c r="N6"/>
  <c r="N4"/>
  <c r="N5" s="1"/>
  <c r="N7"/>
  <c r="M22"/>
  <c r="K22"/>
  <c r="I22"/>
  <c r="G22"/>
  <c r="M24"/>
  <c r="K24"/>
  <c r="I24"/>
  <c r="G24"/>
  <c r="M26"/>
  <c r="K26"/>
  <c r="I26"/>
  <c r="G26"/>
  <c r="M28"/>
  <c r="K28"/>
  <c r="I28"/>
  <c r="G28"/>
  <c r="M30"/>
  <c r="K30"/>
  <c r="I30"/>
  <c r="G30"/>
  <c r="M32"/>
  <c r="K32"/>
  <c r="I32"/>
  <c r="G32"/>
  <c r="M34"/>
  <c r="K34"/>
  <c r="I34"/>
  <c r="G34"/>
  <c r="M36"/>
  <c r="K36"/>
  <c r="I36"/>
  <c r="G36"/>
  <c r="M38"/>
  <c r="K38"/>
  <c r="I38"/>
  <c r="G38"/>
  <c r="M40"/>
  <c r="K40"/>
  <c r="I40"/>
  <c r="G40"/>
  <c r="M42"/>
  <c r="K42"/>
  <c r="I42"/>
  <c r="G42"/>
  <c r="M44"/>
  <c r="K44"/>
  <c r="I44"/>
  <c r="G44"/>
  <c r="M46"/>
  <c r="K46"/>
  <c r="I46"/>
  <c r="G46"/>
  <c r="M48"/>
  <c r="K48"/>
  <c r="I48"/>
  <c r="G48"/>
  <c r="M50"/>
  <c r="K50"/>
  <c r="I50"/>
  <c r="G50"/>
  <c r="M52"/>
  <c r="K52"/>
  <c r="I52"/>
  <c r="G52"/>
  <c r="M54"/>
  <c r="K54"/>
  <c r="I54"/>
  <c r="G54"/>
  <c r="H12"/>
  <c r="H14"/>
  <c r="H11"/>
  <c r="J11"/>
  <c r="G12"/>
  <c r="I12"/>
  <c r="K12"/>
  <c r="H13"/>
  <c r="G14"/>
  <c r="I14"/>
  <c r="K14"/>
  <c r="H15"/>
  <c r="H16"/>
  <c r="H17"/>
  <c r="G18"/>
  <c r="I18"/>
  <c r="K18"/>
  <c r="H19"/>
  <c r="G20"/>
  <c r="I20"/>
  <c r="K20"/>
  <c r="H21"/>
  <c r="J22"/>
  <c r="J24"/>
  <c r="J26"/>
  <c r="J28"/>
  <c r="J30"/>
  <c r="J32"/>
  <c r="J34"/>
  <c r="J36"/>
  <c r="J38"/>
  <c r="J40"/>
  <c r="J42"/>
  <c r="J44"/>
  <c r="J46"/>
  <c r="J48"/>
  <c r="J50"/>
  <c r="J52"/>
  <c r="J54"/>
  <c r="M74"/>
  <c r="K74"/>
  <c r="I74"/>
  <c r="G74"/>
  <c r="M76"/>
  <c r="K76"/>
  <c r="I76"/>
  <c r="G76"/>
  <c r="M78"/>
  <c r="K78"/>
  <c r="I78"/>
  <c r="G78"/>
  <c r="M80"/>
  <c r="K80"/>
  <c r="I80"/>
  <c r="G80"/>
  <c r="M82"/>
  <c r="K82"/>
  <c r="I82"/>
  <c r="G82"/>
  <c r="M84"/>
  <c r="K84"/>
  <c r="I84"/>
  <c r="G84"/>
  <c r="M86"/>
  <c r="K86"/>
  <c r="I86"/>
  <c r="G86"/>
  <c r="M88"/>
  <c r="K88"/>
  <c r="I88"/>
  <c r="G88"/>
  <c r="M90"/>
  <c r="K90"/>
  <c r="I90"/>
  <c r="G90"/>
  <c r="M92"/>
  <c r="K92"/>
  <c r="I92"/>
  <c r="G92"/>
  <c r="M94"/>
  <c r="K94"/>
  <c r="I94"/>
  <c r="G94"/>
  <c r="H23"/>
  <c r="L23" s="1"/>
  <c r="H25"/>
  <c r="L25" s="1"/>
  <c r="N25" s="1"/>
  <c r="H27"/>
  <c r="H29"/>
  <c r="L29" s="1"/>
  <c r="N29" s="1"/>
  <c r="H31"/>
  <c r="H33"/>
  <c r="L33" s="1"/>
  <c r="N33" s="1"/>
  <c r="H35"/>
  <c r="H37"/>
  <c r="H39"/>
  <c r="H41"/>
  <c r="L41" s="1"/>
  <c r="N41" s="1"/>
  <c r="H43"/>
  <c r="H45"/>
  <c r="H47"/>
  <c r="H49"/>
  <c r="L49" s="1"/>
  <c r="N49" s="1"/>
  <c r="H51"/>
  <c r="H53"/>
  <c r="L53" s="1"/>
  <c r="N53" s="1"/>
  <c r="H55"/>
  <c r="G56"/>
  <c r="I56"/>
  <c r="K56"/>
  <c r="M56"/>
  <c r="H57"/>
  <c r="L57" s="1"/>
  <c r="N57" s="1"/>
  <c r="G58"/>
  <c r="I58"/>
  <c r="K58"/>
  <c r="M58"/>
  <c r="H59"/>
  <c r="G60"/>
  <c r="I60"/>
  <c r="K60"/>
  <c r="M60"/>
  <c r="H61"/>
  <c r="L61" s="1"/>
  <c r="N61" s="1"/>
  <c r="G62"/>
  <c r="I62"/>
  <c r="K62"/>
  <c r="M62"/>
  <c r="H63"/>
  <c r="G64"/>
  <c r="I64"/>
  <c r="K64"/>
  <c r="M64"/>
  <c r="H65"/>
  <c r="L65" s="1"/>
  <c r="N65" s="1"/>
  <c r="G66"/>
  <c r="I66"/>
  <c r="K66"/>
  <c r="M66"/>
  <c r="H67"/>
  <c r="G68"/>
  <c r="I68"/>
  <c r="K68"/>
  <c r="M68"/>
  <c r="H69"/>
  <c r="L69" s="1"/>
  <c r="N69" s="1"/>
  <c r="G70"/>
  <c r="I70"/>
  <c r="K70"/>
  <c r="M70"/>
  <c r="H71"/>
  <c r="G72"/>
  <c r="I72"/>
  <c r="K72"/>
  <c r="M72"/>
  <c r="H73"/>
  <c r="L73" s="1"/>
  <c r="N73" s="1"/>
  <c r="J74"/>
  <c r="J76"/>
  <c r="J78"/>
  <c r="J80"/>
  <c r="J82"/>
  <c r="J84"/>
  <c r="J86"/>
  <c r="J88"/>
  <c r="J90"/>
  <c r="J92"/>
  <c r="J94"/>
  <c r="H56"/>
  <c r="H58"/>
  <c r="H60"/>
  <c r="H62"/>
  <c r="H64"/>
  <c r="H66"/>
  <c r="H68"/>
  <c r="H70"/>
  <c r="H72"/>
  <c r="H96"/>
  <c r="J96"/>
  <c r="H98"/>
  <c r="J98"/>
  <c r="H100"/>
  <c r="J100"/>
  <c r="H102"/>
  <c r="J102"/>
  <c r="H104"/>
  <c r="J104"/>
  <c r="H106"/>
  <c r="J106"/>
  <c r="H108"/>
  <c r="J108"/>
  <c r="H110"/>
  <c r="J110"/>
  <c r="H112"/>
  <c r="J112"/>
  <c r="H114"/>
  <c r="J114"/>
  <c r="J145" s="1"/>
  <c r="J143" s="1"/>
  <c r="H116"/>
  <c r="J116"/>
  <c r="H118"/>
  <c r="J118"/>
  <c r="H120"/>
  <c r="J120"/>
  <c r="H122"/>
  <c r="J122"/>
  <c r="H124"/>
  <c r="J124"/>
  <c r="K125"/>
  <c r="M125"/>
  <c r="H126"/>
  <c r="J126"/>
  <c r="G127"/>
  <c r="I127"/>
  <c r="K127"/>
  <c r="M127"/>
  <c r="H128"/>
  <c r="J128"/>
  <c r="G129"/>
  <c r="I129"/>
  <c r="K129"/>
  <c r="M129"/>
  <c r="H130"/>
  <c r="J130"/>
  <c r="G131"/>
  <c r="I131"/>
  <c r="K131"/>
  <c r="M131"/>
  <c r="H132"/>
  <c r="J132"/>
  <c r="G133"/>
  <c r="I133"/>
  <c r="K133"/>
  <c r="M133"/>
  <c r="H134"/>
  <c r="J134"/>
  <c r="J146" s="1"/>
  <c r="G135"/>
  <c r="I135"/>
  <c r="K135"/>
  <c r="M135"/>
  <c r="H136"/>
  <c r="J136"/>
  <c r="H75"/>
  <c r="L75" s="1"/>
  <c r="N75" s="1"/>
  <c r="H77"/>
  <c r="H79"/>
  <c r="L79" s="1"/>
  <c r="N79" s="1"/>
  <c r="H81"/>
  <c r="L81" s="1"/>
  <c r="N81" s="1"/>
  <c r="H83"/>
  <c r="H85"/>
  <c r="L85" s="1"/>
  <c r="N85" s="1"/>
  <c r="H87"/>
  <c r="L87" s="1"/>
  <c r="H89"/>
  <c r="L89" s="1"/>
  <c r="N89" s="1"/>
  <c r="H91"/>
  <c r="L91" s="1"/>
  <c r="N91" s="1"/>
  <c r="H93"/>
  <c r="H95"/>
  <c r="L95" s="1"/>
  <c r="N95" s="1"/>
  <c r="G96"/>
  <c r="I96"/>
  <c r="K96"/>
  <c r="H97"/>
  <c r="G98"/>
  <c r="I98"/>
  <c r="K98"/>
  <c r="H99"/>
  <c r="G100"/>
  <c r="I100"/>
  <c r="K100"/>
  <c r="H101"/>
  <c r="L101" s="1"/>
  <c r="G102"/>
  <c r="I102"/>
  <c r="K102"/>
  <c r="H103"/>
  <c r="G104"/>
  <c r="I104"/>
  <c r="K104"/>
  <c r="H105"/>
  <c r="L105" s="1"/>
  <c r="G106"/>
  <c r="I106"/>
  <c r="K106"/>
  <c r="H107"/>
  <c r="L107" s="1"/>
  <c r="G108"/>
  <c r="I108"/>
  <c r="K108"/>
  <c r="H109"/>
  <c r="L109" s="1"/>
  <c r="G110"/>
  <c r="I110"/>
  <c r="K110"/>
  <c r="H111"/>
  <c r="G112"/>
  <c r="I112"/>
  <c r="K112"/>
  <c r="H113"/>
  <c r="L113" s="1"/>
  <c r="G114"/>
  <c r="G145" s="1"/>
  <c r="I114"/>
  <c r="K114"/>
  <c r="H115"/>
  <c r="L115" s="1"/>
  <c r="G116"/>
  <c r="I116"/>
  <c r="K116"/>
  <c r="H117"/>
  <c r="L117" s="1"/>
  <c r="G118"/>
  <c r="I118"/>
  <c r="K118"/>
  <c r="H119"/>
  <c r="G120"/>
  <c r="I120"/>
  <c r="K120"/>
  <c r="H121"/>
  <c r="L121" s="1"/>
  <c r="G122"/>
  <c r="I122"/>
  <c r="K122"/>
  <c r="H123"/>
  <c r="L123" s="1"/>
  <c r="N123" s="1"/>
  <c r="G124"/>
  <c r="I124"/>
  <c r="K124"/>
  <c r="H125"/>
  <c r="G126"/>
  <c r="I126"/>
  <c r="K126"/>
  <c r="H127"/>
  <c r="G128"/>
  <c r="I128"/>
  <c r="K128"/>
  <c r="H129"/>
  <c r="G130"/>
  <c r="I130"/>
  <c r="K130"/>
  <c r="H131"/>
  <c r="G132"/>
  <c r="L132" s="1"/>
  <c r="N132" s="1"/>
  <c r="I132"/>
  <c r="K132"/>
  <c r="H133"/>
  <c r="G134"/>
  <c r="I134"/>
  <c r="K134"/>
  <c r="H135"/>
  <c r="H146" s="1"/>
  <c r="G136"/>
  <c r="L136" s="1"/>
  <c r="N136" s="1"/>
  <c r="I136"/>
  <c r="K136"/>
  <c r="BF32" i="20" l="1"/>
  <c r="BF46" s="1"/>
  <c r="BF47" s="1"/>
  <c r="E143" i="12"/>
  <c r="L103"/>
  <c r="N103" s="1"/>
  <c r="L99"/>
  <c r="L97"/>
  <c r="N97" s="1"/>
  <c r="G150" i="13"/>
  <c r="L150" s="1"/>
  <c r="L111" i="12"/>
  <c r="N111" s="1"/>
  <c r="K144"/>
  <c r="K151" s="1"/>
  <c r="K145"/>
  <c r="K143" s="1"/>
  <c r="K150" s="1"/>
  <c r="K153" s="1"/>
  <c r="L93"/>
  <c r="N93" s="1"/>
  <c r="L77"/>
  <c r="N77" s="1"/>
  <c r="L45"/>
  <c r="N45" s="1"/>
  <c r="L37"/>
  <c r="N37" s="1"/>
  <c r="I140"/>
  <c r="L83"/>
  <c r="N83" s="1"/>
  <c r="G143"/>
  <c r="J150"/>
  <c r="L11"/>
  <c r="H140"/>
  <c r="K140"/>
  <c r="J144"/>
  <c r="J151" s="1"/>
  <c r="K146"/>
  <c r="L67"/>
  <c r="N67" s="1"/>
  <c r="L59"/>
  <c r="N59" s="1"/>
  <c r="L51"/>
  <c r="N51" s="1"/>
  <c r="L43"/>
  <c r="N43" s="1"/>
  <c r="L35"/>
  <c r="N35" s="1"/>
  <c r="L27"/>
  <c r="N27" s="1"/>
  <c r="L21"/>
  <c r="N21" s="1"/>
  <c r="L19"/>
  <c r="N19" s="1"/>
  <c r="L17"/>
  <c r="N17" s="1"/>
  <c r="H144"/>
  <c r="H151" s="1"/>
  <c r="I145"/>
  <c r="I143" s="1"/>
  <c r="G144"/>
  <c r="BG28" i="20"/>
  <c r="BG32" s="1"/>
  <c r="BG14"/>
  <c r="G140" i="12"/>
  <c r="I144"/>
  <c r="I151" s="1"/>
  <c r="E144"/>
  <c r="E148" s="1"/>
  <c r="L128"/>
  <c r="N128" s="1"/>
  <c r="L126"/>
  <c r="N126" s="1"/>
  <c r="L122"/>
  <c r="N122" s="1"/>
  <c r="I146"/>
  <c r="L16"/>
  <c r="N16" s="1"/>
  <c r="H147"/>
  <c r="BG9" i="20"/>
  <c r="L125" i="12"/>
  <c r="N125" s="1"/>
  <c r="N121"/>
  <c r="L119"/>
  <c r="N119" s="1"/>
  <c r="H145"/>
  <c r="H143" s="1"/>
  <c r="N117"/>
  <c r="N115"/>
  <c r="N113"/>
  <c r="N109"/>
  <c r="N107"/>
  <c r="N105"/>
  <c r="N101"/>
  <c r="N99"/>
  <c r="N87"/>
  <c r="G146"/>
  <c r="L71"/>
  <c r="N71" s="1"/>
  <c r="L63"/>
  <c r="N63" s="1"/>
  <c r="L55"/>
  <c r="N55" s="1"/>
  <c r="L47"/>
  <c r="N47" s="1"/>
  <c r="L39"/>
  <c r="N39" s="1"/>
  <c r="L31"/>
  <c r="N31" s="1"/>
  <c r="N23"/>
  <c r="L15"/>
  <c r="N15" s="1"/>
  <c r="L13"/>
  <c r="N13" s="1"/>
  <c r="J140"/>
  <c r="L151" i="13"/>
  <c r="BG18" i="20"/>
  <c r="BG24" s="1"/>
  <c r="M138" i="12"/>
  <c r="L134"/>
  <c r="N134" s="1"/>
  <c r="L130"/>
  <c r="N130" s="1"/>
  <c r="L120"/>
  <c r="N120" s="1"/>
  <c r="L118"/>
  <c r="N118" s="1"/>
  <c r="L116"/>
  <c r="N116" s="1"/>
  <c r="L114"/>
  <c r="N114" s="1"/>
  <c r="L112"/>
  <c r="N112" s="1"/>
  <c r="L110"/>
  <c r="N110" s="1"/>
  <c r="L108"/>
  <c r="N108" s="1"/>
  <c r="L106"/>
  <c r="N106" s="1"/>
  <c r="L104"/>
  <c r="N104" s="1"/>
  <c r="L102"/>
  <c r="N102" s="1"/>
  <c r="L100"/>
  <c r="N100" s="1"/>
  <c r="L98"/>
  <c r="N98" s="1"/>
  <c r="L96"/>
  <c r="N96" s="1"/>
  <c r="L72"/>
  <c r="N72" s="1"/>
  <c r="L68"/>
  <c r="N68" s="1"/>
  <c r="L64"/>
  <c r="N64" s="1"/>
  <c r="L60"/>
  <c r="N60" s="1"/>
  <c r="L56"/>
  <c r="N56" s="1"/>
  <c r="L94"/>
  <c r="N94" s="1"/>
  <c r="L92"/>
  <c r="N92" s="1"/>
  <c r="L90"/>
  <c r="N90" s="1"/>
  <c r="L88"/>
  <c r="N88" s="1"/>
  <c r="L86"/>
  <c r="N86" s="1"/>
  <c r="L84"/>
  <c r="N84" s="1"/>
  <c r="L82"/>
  <c r="N82" s="1"/>
  <c r="L80"/>
  <c r="N80" s="1"/>
  <c r="L78"/>
  <c r="N78" s="1"/>
  <c r="L76"/>
  <c r="N76" s="1"/>
  <c r="L74"/>
  <c r="N74" s="1"/>
  <c r="L20"/>
  <c r="N20" s="1"/>
  <c r="L18"/>
  <c r="N18" s="1"/>
  <c r="L14"/>
  <c r="N14" s="1"/>
  <c r="L12"/>
  <c r="N12" s="1"/>
  <c r="L54"/>
  <c r="N54" s="1"/>
  <c r="L52"/>
  <c r="N52" s="1"/>
  <c r="L50"/>
  <c r="N50" s="1"/>
  <c r="L48"/>
  <c r="N48" s="1"/>
  <c r="L46"/>
  <c r="N46" s="1"/>
  <c r="L44"/>
  <c r="N44" s="1"/>
  <c r="L42"/>
  <c r="N42" s="1"/>
  <c r="L40"/>
  <c r="N40" s="1"/>
  <c r="L38"/>
  <c r="N38" s="1"/>
  <c r="L36"/>
  <c r="N36" s="1"/>
  <c r="L34"/>
  <c r="N34" s="1"/>
  <c r="L32"/>
  <c r="N32" s="1"/>
  <c r="L30"/>
  <c r="N30" s="1"/>
  <c r="L28"/>
  <c r="N28" s="1"/>
  <c r="L26"/>
  <c r="N26" s="1"/>
  <c r="L24"/>
  <c r="N24" s="1"/>
  <c r="L22"/>
  <c r="N22" s="1"/>
  <c r="L124"/>
  <c r="N124" s="1"/>
  <c r="L135"/>
  <c r="N135" s="1"/>
  <c r="L133"/>
  <c r="N133" s="1"/>
  <c r="L131"/>
  <c r="N131" s="1"/>
  <c r="L129"/>
  <c r="N129" s="1"/>
  <c r="L127"/>
  <c r="N127" s="1"/>
  <c r="L70"/>
  <c r="N70" s="1"/>
  <c r="L66"/>
  <c r="N66" s="1"/>
  <c r="L62"/>
  <c r="N62" s="1"/>
  <c r="L58"/>
  <c r="N58" s="1"/>
  <c r="BF33" i="20" l="1"/>
  <c r="BF43" s="1"/>
  <c r="G153" i="13"/>
  <c r="BG27" i="20"/>
  <c r="BG45" s="1"/>
  <c r="K148" i="12"/>
  <c r="I150"/>
  <c r="I153" s="1"/>
  <c r="I148"/>
  <c r="L145"/>
  <c r="G151"/>
  <c r="H150"/>
  <c r="H148"/>
  <c r="L153" i="13"/>
  <c r="H152" i="12"/>
  <c r="L152" s="1"/>
  <c r="L147"/>
  <c r="BG46" i="20"/>
  <c r="J148" i="12"/>
  <c r="N11"/>
  <c r="L140"/>
  <c r="BG15" i="20"/>
  <c r="G148" i="12"/>
  <c r="L143"/>
  <c r="L146"/>
  <c r="L144"/>
  <c r="J153"/>
  <c r="N138"/>
  <c r="F136" i="11"/>
  <c r="F135"/>
  <c r="J135" s="1"/>
  <c r="F134"/>
  <c r="M134" s="1"/>
  <c r="I133"/>
  <c r="F133"/>
  <c r="J133" s="1"/>
  <c r="F132"/>
  <c r="K131"/>
  <c r="F131"/>
  <c r="J131" s="1"/>
  <c r="F130"/>
  <c r="F129"/>
  <c r="J129" s="1"/>
  <c r="F128"/>
  <c r="M128" s="1"/>
  <c r="F127"/>
  <c r="J127" s="1"/>
  <c r="F126"/>
  <c r="M126" s="1"/>
  <c r="F125"/>
  <c r="J125" s="1"/>
  <c r="F124"/>
  <c r="F123"/>
  <c r="J123" s="1"/>
  <c r="F122"/>
  <c r="M122" s="1"/>
  <c r="I121"/>
  <c r="G121"/>
  <c r="F121"/>
  <c r="J121" s="1"/>
  <c r="F120"/>
  <c r="M120" s="1"/>
  <c r="F119"/>
  <c r="J119" s="1"/>
  <c r="F118"/>
  <c r="F117"/>
  <c r="J117" s="1"/>
  <c r="F116"/>
  <c r="M116" s="1"/>
  <c r="G115"/>
  <c r="F115"/>
  <c r="J115" s="1"/>
  <c r="F114"/>
  <c r="M114" s="1"/>
  <c r="F113"/>
  <c r="J113" s="1"/>
  <c r="F112"/>
  <c r="M112" s="1"/>
  <c r="F111"/>
  <c r="J111" s="1"/>
  <c r="F110"/>
  <c r="M110" s="1"/>
  <c r="K109"/>
  <c r="I109"/>
  <c r="F109"/>
  <c r="J109" s="1"/>
  <c r="F108"/>
  <c r="F107"/>
  <c r="J107" s="1"/>
  <c r="F106"/>
  <c r="I105"/>
  <c r="G105"/>
  <c r="F105"/>
  <c r="J105" s="1"/>
  <c r="F104"/>
  <c r="F103"/>
  <c r="J103" s="1"/>
  <c r="F102"/>
  <c r="F101"/>
  <c r="J101" s="1"/>
  <c r="F100"/>
  <c r="F99"/>
  <c r="J99" s="1"/>
  <c r="F98"/>
  <c r="F97"/>
  <c r="J97" s="1"/>
  <c r="F96"/>
  <c r="H96" s="1"/>
  <c r="F95"/>
  <c r="J95" s="1"/>
  <c r="H94"/>
  <c r="F94"/>
  <c r="F93"/>
  <c r="J93" s="1"/>
  <c r="F92"/>
  <c r="H92" s="1"/>
  <c r="F91"/>
  <c r="J91" s="1"/>
  <c r="F90"/>
  <c r="H90" s="1"/>
  <c r="K89"/>
  <c r="F89"/>
  <c r="J89" s="1"/>
  <c r="F88"/>
  <c r="H88" s="1"/>
  <c r="I87"/>
  <c r="F87"/>
  <c r="J87" s="1"/>
  <c r="F86"/>
  <c r="H86" s="1"/>
  <c r="F85"/>
  <c r="J85" s="1"/>
  <c r="F84"/>
  <c r="H84" s="1"/>
  <c r="K83"/>
  <c r="F83"/>
  <c r="J83" s="1"/>
  <c r="F82"/>
  <c r="H82" s="1"/>
  <c r="K81"/>
  <c r="I81"/>
  <c r="F81"/>
  <c r="J81" s="1"/>
  <c r="F80"/>
  <c r="H80" s="1"/>
  <c r="F79"/>
  <c r="J79" s="1"/>
  <c r="F78"/>
  <c r="H78" s="1"/>
  <c r="K77"/>
  <c r="F77"/>
  <c r="J77" s="1"/>
  <c r="F76"/>
  <c r="H76" s="1"/>
  <c r="I75"/>
  <c r="G75"/>
  <c r="F75"/>
  <c r="J75" s="1"/>
  <c r="F74"/>
  <c r="H74" s="1"/>
  <c r="F73"/>
  <c r="J73" s="1"/>
  <c r="F72"/>
  <c r="J72" s="1"/>
  <c r="G71"/>
  <c r="F71"/>
  <c r="J71" s="1"/>
  <c r="F70"/>
  <c r="J70" s="1"/>
  <c r="F69"/>
  <c r="J69" s="1"/>
  <c r="F68"/>
  <c r="J68" s="1"/>
  <c r="F67"/>
  <c r="J67" s="1"/>
  <c r="F66"/>
  <c r="J66" s="1"/>
  <c r="F65"/>
  <c r="J65" s="1"/>
  <c r="F64"/>
  <c r="J64" s="1"/>
  <c r="I63"/>
  <c r="G63"/>
  <c r="F63"/>
  <c r="J63" s="1"/>
  <c r="F62"/>
  <c r="J62" s="1"/>
  <c r="K61"/>
  <c r="F61"/>
  <c r="J61" s="1"/>
  <c r="F60"/>
  <c r="J60" s="1"/>
  <c r="F59"/>
  <c r="J59" s="1"/>
  <c r="F58"/>
  <c r="J58" s="1"/>
  <c r="F57"/>
  <c r="J57" s="1"/>
  <c r="F56"/>
  <c r="J56" s="1"/>
  <c r="F55"/>
  <c r="J55" s="1"/>
  <c r="F54"/>
  <c r="J54" s="1"/>
  <c r="I53"/>
  <c r="G53"/>
  <c r="F53"/>
  <c r="J53" s="1"/>
  <c r="F52"/>
  <c r="H52" s="1"/>
  <c r="K51"/>
  <c r="F51"/>
  <c r="J51" s="1"/>
  <c r="F50"/>
  <c r="H50" s="1"/>
  <c r="G49"/>
  <c r="F49"/>
  <c r="J49" s="1"/>
  <c r="F48"/>
  <c r="H48" s="1"/>
  <c r="I47"/>
  <c r="G47"/>
  <c r="F47"/>
  <c r="J47" s="1"/>
  <c r="F46"/>
  <c r="H46" s="1"/>
  <c r="K45"/>
  <c r="F45"/>
  <c r="J45" s="1"/>
  <c r="H44"/>
  <c r="F44"/>
  <c r="I43"/>
  <c r="G43"/>
  <c r="F43"/>
  <c r="J43" s="1"/>
  <c r="F42"/>
  <c r="H42" s="1"/>
  <c r="F41"/>
  <c r="J41" s="1"/>
  <c r="H40"/>
  <c r="F40"/>
  <c r="F39"/>
  <c r="J39" s="1"/>
  <c r="H38"/>
  <c r="F38"/>
  <c r="I37"/>
  <c r="G37"/>
  <c r="F37"/>
  <c r="J37" s="1"/>
  <c r="F36"/>
  <c r="H36" s="1"/>
  <c r="F35"/>
  <c r="J35" s="1"/>
  <c r="H34"/>
  <c r="F34"/>
  <c r="F33"/>
  <c r="J33" s="1"/>
  <c r="H32"/>
  <c r="F32"/>
  <c r="I31"/>
  <c r="G31"/>
  <c r="F31"/>
  <c r="J31" s="1"/>
  <c r="F30"/>
  <c r="H30" s="1"/>
  <c r="F29"/>
  <c r="J29" s="1"/>
  <c r="H28"/>
  <c r="F28"/>
  <c r="F27"/>
  <c r="J27" s="1"/>
  <c r="H26"/>
  <c r="F26"/>
  <c r="F25"/>
  <c r="K25" s="1"/>
  <c r="K24"/>
  <c r="I24"/>
  <c r="F24"/>
  <c r="J24" s="1"/>
  <c r="F23"/>
  <c r="M23" s="1"/>
  <c r="K22"/>
  <c r="F22"/>
  <c r="J22" s="1"/>
  <c r="F21"/>
  <c r="F20"/>
  <c r="J20" s="1"/>
  <c r="F19"/>
  <c r="F18"/>
  <c r="J18" s="1"/>
  <c r="F17"/>
  <c r="G16"/>
  <c r="G147" s="1"/>
  <c r="F16"/>
  <c r="F15"/>
  <c r="J15" s="1"/>
  <c r="F14"/>
  <c r="M14" s="1"/>
  <c r="G13"/>
  <c r="F13"/>
  <c r="J13" s="1"/>
  <c r="F12"/>
  <c r="M12" s="1"/>
  <c r="F11"/>
  <c r="G11" s="1"/>
  <c r="E7"/>
  <c r="BG47" i="20" l="1"/>
  <c r="B8" i="25" s="1"/>
  <c r="BG33" i="20"/>
  <c r="BG43" s="1"/>
  <c r="K11" i="11"/>
  <c r="I13"/>
  <c r="G18"/>
  <c r="K27"/>
  <c r="K31"/>
  <c r="K33"/>
  <c r="K37"/>
  <c r="K39"/>
  <c r="K47"/>
  <c r="I49"/>
  <c r="G57"/>
  <c r="G67"/>
  <c r="I71"/>
  <c r="G93"/>
  <c r="G97"/>
  <c r="I101"/>
  <c r="K105"/>
  <c r="K113"/>
  <c r="I115"/>
  <c r="G117"/>
  <c r="L117" s="1"/>
  <c r="N117" s="1"/>
  <c r="K119"/>
  <c r="G127"/>
  <c r="K13"/>
  <c r="I18"/>
  <c r="G24"/>
  <c r="I57"/>
  <c r="I67"/>
  <c r="K71"/>
  <c r="G81"/>
  <c r="G87"/>
  <c r="I93"/>
  <c r="K95"/>
  <c r="I97"/>
  <c r="K99"/>
  <c r="K101"/>
  <c r="G109"/>
  <c r="K115"/>
  <c r="I117"/>
  <c r="K125"/>
  <c r="I127"/>
  <c r="K57"/>
  <c r="K67"/>
  <c r="K97"/>
  <c r="K127"/>
  <c r="G133"/>
  <c r="K135"/>
  <c r="M55"/>
  <c r="M65"/>
  <c r="M69"/>
  <c r="M73"/>
  <c r="G15"/>
  <c r="G20"/>
  <c r="G41"/>
  <c r="G55"/>
  <c r="M61"/>
  <c r="G69"/>
  <c r="M77"/>
  <c r="G79"/>
  <c r="M83"/>
  <c r="G85"/>
  <c r="M89"/>
  <c r="G103"/>
  <c r="G107"/>
  <c r="G111"/>
  <c r="G123"/>
  <c r="G129"/>
  <c r="M135"/>
  <c r="M13"/>
  <c r="I15"/>
  <c r="K18"/>
  <c r="I20"/>
  <c r="G22"/>
  <c r="G27"/>
  <c r="I29"/>
  <c r="M31"/>
  <c r="G33"/>
  <c r="I35"/>
  <c r="M37"/>
  <c r="G39"/>
  <c r="I41"/>
  <c r="K43"/>
  <c r="G45"/>
  <c r="K49"/>
  <c r="G51"/>
  <c r="K53"/>
  <c r="I55"/>
  <c r="M57"/>
  <c r="I59"/>
  <c r="G61"/>
  <c r="K63"/>
  <c r="I65"/>
  <c r="M67"/>
  <c r="I69"/>
  <c r="M71"/>
  <c r="I73"/>
  <c r="K75"/>
  <c r="G77"/>
  <c r="I79"/>
  <c r="M81"/>
  <c r="G83"/>
  <c r="I85"/>
  <c r="K87"/>
  <c r="G89"/>
  <c r="I91"/>
  <c r="K93"/>
  <c r="G95"/>
  <c r="G99"/>
  <c r="M101"/>
  <c r="I103"/>
  <c r="M105"/>
  <c r="I107"/>
  <c r="M109"/>
  <c r="I111"/>
  <c r="G113"/>
  <c r="K117"/>
  <c r="G119"/>
  <c r="K121"/>
  <c r="I123"/>
  <c r="G125"/>
  <c r="M127"/>
  <c r="I129"/>
  <c r="G131"/>
  <c r="K133"/>
  <c r="K146" s="1"/>
  <c r="G135"/>
  <c r="H16"/>
  <c r="H147" s="1"/>
  <c r="G154"/>
  <c r="M41"/>
  <c r="M85"/>
  <c r="M91"/>
  <c r="M103"/>
  <c r="M107"/>
  <c r="L151" i="12"/>
  <c r="F140" i="11"/>
  <c r="AF38" i="20"/>
  <c r="L147" i="11"/>
  <c r="M27"/>
  <c r="G29"/>
  <c r="M33"/>
  <c r="G35"/>
  <c r="M39"/>
  <c r="M51"/>
  <c r="G59"/>
  <c r="G65"/>
  <c r="G73"/>
  <c r="G91"/>
  <c r="M119"/>
  <c r="M131"/>
  <c r="I11"/>
  <c r="K15"/>
  <c r="K20"/>
  <c r="I22"/>
  <c r="I27"/>
  <c r="K29"/>
  <c r="I33"/>
  <c r="K35"/>
  <c r="I39"/>
  <c r="K41"/>
  <c r="I45"/>
  <c r="M49"/>
  <c r="I51"/>
  <c r="K55"/>
  <c r="K59"/>
  <c r="I61"/>
  <c r="K65"/>
  <c r="K69"/>
  <c r="K73"/>
  <c r="I77"/>
  <c r="K79"/>
  <c r="I83"/>
  <c r="K85"/>
  <c r="I89"/>
  <c r="K91"/>
  <c r="I95"/>
  <c r="M97"/>
  <c r="I99"/>
  <c r="G101"/>
  <c r="K103"/>
  <c r="K107"/>
  <c r="K111"/>
  <c r="L111" s="1"/>
  <c r="I113"/>
  <c r="M117"/>
  <c r="I119"/>
  <c r="K123"/>
  <c r="L123" s="1"/>
  <c r="I125"/>
  <c r="K129"/>
  <c r="I131"/>
  <c r="M133"/>
  <c r="I135"/>
  <c r="L148" i="12"/>
  <c r="C158" i="23" s="1"/>
  <c r="H153" i="12"/>
  <c r="G150" s="1"/>
  <c r="L16" i="11"/>
  <c r="J12"/>
  <c r="J14"/>
  <c r="M16"/>
  <c r="E147" s="1"/>
  <c r="J17"/>
  <c r="H19"/>
  <c r="H21"/>
  <c r="H23"/>
  <c r="J23"/>
  <c r="H25"/>
  <c r="J25"/>
  <c r="P6"/>
  <c r="P4"/>
  <c r="P5" s="1"/>
  <c r="P7"/>
  <c r="K26"/>
  <c r="I26"/>
  <c r="G26"/>
  <c r="K28"/>
  <c r="I28"/>
  <c r="G28"/>
  <c r="M30"/>
  <c r="K30"/>
  <c r="I30"/>
  <c r="G30"/>
  <c r="K32"/>
  <c r="I32"/>
  <c r="G32"/>
  <c r="M34"/>
  <c r="K34"/>
  <c r="I34"/>
  <c r="G34"/>
  <c r="K36"/>
  <c r="I36"/>
  <c r="G36"/>
  <c r="M38"/>
  <c r="K38"/>
  <c r="I38"/>
  <c r="G38"/>
  <c r="M40"/>
  <c r="K40"/>
  <c r="I40"/>
  <c r="G40"/>
  <c r="K42"/>
  <c r="I42"/>
  <c r="G42"/>
  <c r="K44"/>
  <c r="I44"/>
  <c r="G44"/>
  <c r="M46"/>
  <c r="K46"/>
  <c r="I46"/>
  <c r="G46"/>
  <c r="K48"/>
  <c r="I48"/>
  <c r="G48"/>
  <c r="M50"/>
  <c r="K50"/>
  <c r="I50"/>
  <c r="G50"/>
  <c r="K52"/>
  <c r="I52"/>
  <c r="G52"/>
  <c r="H12"/>
  <c r="H14"/>
  <c r="H17"/>
  <c r="J19"/>
  <c r="J21"/>
  <c r="H11"/>
  <c r="J11"/>
  <c r="G12"/>
  <c r="I12"/>
  <c r="K12"/>
  <c r="H13"/>
  <c r="L13" s="1"/>
  <c r="N13" s="1"/>
  <c r="G14"/>
  <c r="I14"/>
  <c r="K14"/>
  <c r="H15"/>
  <c r="L15" s="1"/>
  <c r="G17"/>
  <c r="I17"/>
  <c r="K17"/>
  <c r="H18"/>
  <c r="L18" s="1"/>
  <c r="G19"/>
  <c r="I19"/>
  <c r="K19"/>
  <c r="H20"/>
  <c r="L20" s="1"/>
  <c r="G21"/>
  <c r="I21"/>
  <c r="K21"/>
  <c r="H22"/>
  <c r="L22" s="1"/>
  <c r="G23"/>
  <c r="I23"/>
  <c r="K23"/>
  <c r="H24"/>
  <c r="L24" s="1"/>
  <c r="G25"/>
  <c r="L25" s="1"/>
  <c r="I25"/>
  <c r="J26"/>
  <c r="J28"/>
  <c r="J30"/>
  <c r="J32"/>
  <c r="J34"/>
  <c r="J36"/>
  <c r="J38"/>
  <c r="J40"/>
  <c r="J42"/>
  <c r="J44"/>
  <c r="J46"/>
  <c r="J48"/>
  <c r="J50"/>
  <c r="J52"/>
  <c r="K74"/>
  <c r="I74"/>
  <c r="G74"/>
  <c r="K76"/>
  <c r="I76"/>
  <c r="G76"/>
  <c r="K78"/>
  <c r="I78"/>
  <c r="G78"/>
  <c r="K80"/>
  <c r="I80"/>
  <c r="G80"/>
  <c r="K82"/>
  <c r="I82"/>
  <c r="G82"/>
  <c r="M84"/>
  <c r="K84"/>
  <c r="I84"/>
  <c r="G84"/>
  <c r="K86"/>
  <c r="I86"/>
  <c r="G86"/>
  <c r="K88"/>
  <c r="I88"/>
  <c r="G88"/>
  <c r="M90"/>
  <c r="K90"/>
  <c r="I90"/>
  <c r="G90"/>
  <c r="K92"/>
  <c r="I92"/>
  <c r="G92"/>
  <c r="M94"/>
  <c r="K94"/>
  <c r="I94"/>
  <c r="G94"/>
  <c r="M96"/>
  <c r="K96"/>
  <c r="I96"/>
  <c r="G96"/>
  <c r="K98"/>
  <c r="I98"/>
  <c r="G98"/>
  <c r="M100"/>
  <c r="K100"/>
  <c r="I100"/>
  <c r="G100"/>
  <c r="M102"/>
  <c r="K102"/>
  <c r="I102"/>
  <c r="G102"/>
  <c r="M104"/>
  <c r="K104"/>
  <c r="I104"/>
  <c r="G104"/>
  <c r="K106"/>
  <c r="I106"/>
  <c r="G106"/>
  <c r="M108"/>
  <c r="K108"/>
  <c r="I108"/>
  <c r="G108"/>
  <c r="H27"/>
  <c r="H29"/>
  <c r="L29" s="1"/>
  <c r="H31"/>
  <c r="L31" s="1"/>
  <c r="H33"/>
  <c r="H35"/>
  <c r="H37"/>
  <c r="L37" s="1"/>
  <c r="N37" s="1"/>
  <c r="H39"/>
  <c r="H41"/>
  <c r="H43"/>
  <c r="L43" s="1"/>
  <c r="H45"/>
  <c r="L45" s="1"/>
  <c r="H47"/>
  <c r="L47" s="1"/>
  <c r="H49"/>
  <c r="H51"/>
  <c r="L51" s="1"/>
  <c r="N51" s="1"/>
  <c r="H53"/>
  <c r="L53" s="1"/>
  <c r="G54"/>
  <c r="I54"/>
  <c r="K54"/>
  <c r="H55"/>
  <c r="L55" s="1"/>
  <c r="N55" s="1"/>
  <c r="G56"/>
  <c r="I56"/>
  <c r="K56"/>
  <c r="M56"/>
  <c r="H57"/>
  <c r="L57" s="1"/>
  <c r="G58"/>
  <c r="I58"/>
  <c r="K58"/>
  <c r="M58"/>
  <c r="H59"/>
  <c r="G60"/>
  <c r="I60"/>
  <c r="K60"/>
  <c r="H61"/>
  <c r="G62"/>
  <c r="I62"/>
  <c r="K62"/>
  <c r="H63"/>
  <c r="G64"/>
  <c r="I64"/>
  <c r="K64"/>
  <c r="H65"/>
  <c r="G66"/>
  <c r="I66"/>
  <c r="K66"/>
  <c r="H67"/>
  <c r="G68"/>
  <c r="I68"/>
  <c r="K68"/>
  <c r="M68"/>
  <c r="H69"/>
  <c r="G70"/>
  <c r="I70"/>
  <c r="K70"/>
  <c r="M70"/>
  <c r="H71"/>
  <c r="L71" s="1"/>
  <c r="N71" s="1"/>
  <c r="G72"/>
  <c r="I72"/>
  <c r="K72"/>
  <c r="H73"/>
  <c r="L73" s="1"/>
  <c r="N73" s="1"/>
  <c r="J74"/>
  <c r="J76"/>
  <c r="J78"/>
  <c r="J80"/>
  <c r="J82"/>
  <c r="J84"/>
  <c r="J86"/>
  <c r="J88"/>
  <c r="J90"/>
  <c r="J92"/>
  <c r="J94"/>
  <c r="J96"/>
  <c r="J98"/>
  <c r="J100"/>
  <c r="J102"/>
  <c r="J104"/>
  <c r="J106"/>
  <c r="J108"/>
  <c r="H54"/>
  <c r="H56"/>
  <c r="H58"/>
  <c r="H60"/>
  <c r="H62"/>
  <c r="H64"/>
  <c r="H66"/>
  <c r="H68"/>
  <c r="H70"/>
  <c r="H72"/>
  <c r="H98"/>
  <c r="H100"/>
  <c r="H102"/>
  <c r="H104"/>
  <c r="H106"/>
  <c r="H108"/>
  <c r="L127"/>
  <c r="N127" s="1"/>
  <c r="H110"/>
  <c r="J110"/>
  <c r="H112"/>
  <c r="J112"/>
  <c r="J145" s="1"/>
  <c r="J143" s="1"/>
  <c r="H114"/>
  <c r="J114"/>
  <c r="H116"/>
  <c r="J116"/>
  <c r="H118"/>
  <c r="J118"/>
  <c r="H120"/>
  <c r="J120"/>
  <c r="H122"/>
  <c r="J122"/>
  <c r="H124"/>
  <c r="J124"/>
  <c r="H126"/>
  <c r="J126"/>
  <c r="H128"/>
  <c r="J128"/>
  <c r="H130"/>
  <c r="J130"/>
  <c r="H132"/>
  <c r="J132"/>
  <c r="H134"/>
  <c r="J134"/>
  <c r="J146" s="1"/>
  <c r="H136"/>
  <c r="J136"/>
  <c r="H75"/>
  <c r="L75" s="1"/>
  <c r="H77"/>
  <c r="H79"/>
  <c r="L79" s="1"/>
  <c r="H81"/>
  <c r="L81" s="1"/>
  <c r="N81" s="1"/>
  <c r="H83"/>
  <c r="L83" s="1"/>
  <c r="N83" s="1"/>
  <c r="H85"/>
  <c r="H87"/>
  <c r="L87" s="1"/>
  <c r="H89"/>
  <c r="L89" s="1"/>
  <c r="N89" s="1"/>
  <c r="H91"/>
  <c r="L91" s="1"/>
  <c r="H93"/>
  <c r="L93" s="1"/>
  <c r="H95"/>
  <c r="H97"/>
  <c r="L97" s="1"/>
  <c r="N97" s="1"/>
  <c r="H99"/>
  <c r="H101"/>
  <c r="H103"/>
  <c r="L103" s="1"/>
  <c r="H105"/>
  <c r="L105" s="1"/>
  <c r="N105" s="1"/>
  <c r="H107"/>
  <c r="H109"/>
  <c r="G110"/>
  <c r="I110"/>
  <c r="K110"/>
  <c r="H111"/>
  <c r="G112"/>
  <c r="I112"/>
  <c r="K112"/>
  <c r="H113"/>
  <c r="G114"/>
  <c r="I114"/>
  <c r="K114"/>
  <c r="H115"/>
  <c r="L115" s="1"/>
  <c r="G116"/>
  <c r="I116"/>
  <c r="K116"/>
  <c r="H117"/>
  <c r="G118"/>
  <c r="I118"/>
  <c r="K118"/>
  <c r="H119"/>
  <c r="G120"/>
  <c r="I120"/>
  <c r="K120"/>
  <c r="H121"/>
  <c r="L121" s="1"/>
  <c r="G122"/>
  <c r="I122"/>
  <c r="K122"/>
  <c r="H123"/>
  <c r="G124"/>
  <c r="I124"/>
  <c r="K124"/>
  <c r="H125"/>
  <c r="G126"/>
  <c r="I126"/>
  <c r="K126"/>
  <c r="H127"/>
  <c r="G128"/>
  <c r="I128"/>
  <c r="K128"/>
  <c r="H129"/>
  <c r="L129" s="1"/>
  <c r="G130"/>
  <c r="I130"/>
  <c r="K130"/>
  <c r="H131"/>
  <c r="G132"/>
  <c r="I132"/>
  <c r="K132"/>
  <c r="H133"/>
  <c r="G134"/>
  <c r="I134"/>
  <c r="K134"/>
  <c r="H135"/>
  <c r="G136"/>
  <c r="I136"/>
  <c r="K136"/>
  <c r="L95" l="1"/>
  <c r="L69"/>
  <c r="L27"/>
  <c r="N27" s="1"/>
  <c r="K144"/>
  <c r="K153" s="1"/>
  <c r="AG22" i="20" s="1"/>
  <c r="K140" i="11"/>
  <c r="L70"/>
  <c r="L133"/>
  <c r="N133" s="1"/>
  <c r="L109"/>
  <c r="N109" s="1"/>
  <c r="L101"/>
  <c r="N101" s="1"/>
  <c r="L67"/>
  <c r="N67" s="1"/>
  <c r="K145"/>
  <c r="K143" s="1"/>
  <c r="K152" s="1"/>
  <c r="G140"/>
  <c r="J152"/>
  <c r="AF12" i="20"/>
  <c r="L150" i="12"/>
  <c r="L153" s="1"/>
  <c r="D158" i="23" s="1"/>
  <c r="G153" i="12"/>
  <c r="J140" i="11"/>
  <c r="L134"/>
  <c r="N134" s="1"/>
  <c r="L126"/>
  <c r="N126" s="1"/>
  <c r="L112"/>
  <c r="N112" s="1"/>
  <c r="L110"/>
  <c r="N110" s="1"/>
  <c r="L35"/>
  <c r="H154"/>
  <c r="AG39" i="20" s="1"/>
  <c r="AG40" s="1"/>
  <c r="AF39"/>
  <c r="AF40" s="1"/>
  <c r="AF41" s="1"/>
  <c r="L135" i="11"/>
  <c r="N135" s="1"/>
  <c r="H146"/>
  <c r="L131"/>
  <c r="N131" s="1"/>
  <c r="L125"/>
  <c r="N125" s="1"/>
  <c r="L119"/>
  <c r="N119" s="1"/>
  <c r="H145"/>
  <c r="H143" s="1"/>
  <c r="L113"/>
  <c r="L85"/>
  <c r="N85" s="1"/>
  <c r="L77"/>
  <c r="N77" s="1"/>
  <c r="L65"/>
  <c r="N65" s="1"/>
  <c r="L63"/>
  <c r="L61"/>
  <c r="N61" s="1"/>
  <c r="L59"/>
  <c r="L49"/>
  <c r="N49" s="1"/>
  <c r="L41"/>
  <c r="N41" s="1"/>
  <c r="L33"/>
  <c r="N33" s="1"/>
  <c r="I144"/>
  <c r="H144"/>
  <c r="J144"/>
  <c r="J148" s="1"/>
  <c r="AG38" i="20"/>
  <c r="L130" i="11"/>
  <c r="L122"/>
  <c r="N122" s="1"/>
  <c r="L118"/>
  <c r="L114"/>
  <c r="N114" s="1"/>
  <c r="N103"/>
  <c r="N69"/>
  <c r="AF22" i="20"/>
  <c r="L11" i="11"/>
  <c r="H140"/>
  <c r="I145"/>
  <c r="I143" s="1"/>
  <c r="L107"/>
  <c r="N107" s="1"/>
  <c r="L99"/>
  <c r="N91"/>
  <c r="N57"/>
  <c r="L39"/>
  <c r="N39" s="1"/>
  <c r="N31"/>
  <c r="G144"/>
  <c r="I146"/>
  <c r="I140"/>
  <c r="G146"/>
  <c r="G145"/>
  <c r="M125"/>
  <c r="M123"/>
  <c r="M87"/>
  <c r="M79"/>
  <c r="N79" s="1"/>
  <c r="M63"/>
  <c r="N63" s="1"/>
  <c r="M59"/>
  <c r="M43"/>
  <c r="M111"/>
  <c r="M95"/>
  <c r="N95" s="1"/>
  <c r="M22"/>
  <c r="M20"/>
  <c r="N87"/>
  <c r="M130"/>
  <c r="N130" s="1"/>
  <c r="M21"/>
  <c r="M17"/>
  <c r="AF52" i="20"/>
  <c r="N123" i="11"/>
  <c r="M66"/>
  <c r="M62"/>
  <c r="M54"/>
  <c r="N22"/>
  <c r="N20"/>
  <c r="M52"/>
  <c r="M42"/>
  <c r="M136"/>
  <c r="N111"/>
  <c r="M72"/>
  <c r="N70"/>
  <c r="M64"/>
  <c r="M60"/>
  <c r="N59"/>
  <c r="N43"/>
  <c r="M106"/>
  <c r="M98"/>
  <c r="M92"/>
  <c r="M88"/>
  <c r="M86"/>
  <c r="M82"/>
  <c r="M80"/>
  <c r="M78"/>
  <c r="M76"/>
  <c r="M74"/>
  <c r="M32"/>
  <c r="M28"/>
  <c r="M26"/>
  <c r="M25"/>
  <c r="N25" s="1"/>
  <c r="M132"/>
  <c r="M118"/>
  <c r="M124"/>
  <c r="M129"/>
  <c r="N129" s="1"/>
  <c r="M121"/>
  <c r="N121" s="1"/>
  <c r="M115"/>
  <c r="N115" s="1"/>
  <c r="M113"/>
  <c r="N113" s="1"/>
  <c r="M99"/>
  <c r="N99" s="1"/>
  <c r="M93"/>
  <c r="N93" s="1"/>
  <c r="M75"/>
  <c r="N75" s="1"/>
  <c r="M15"/>
  <c r="N15" s="1"/>
  <c r="M11"/>
  <c r="N11" s="1"/>
  <c r="M53"/>
  <c r="N53" s="1"/>
  <c r="M47"/>
  <c r="N47" s="1"/>
  <c r="M45"/>
  <c r="N45" s="1"/>
  <c r="M35"/>
  <c r="M29"/>
  <c r="N29" s="1"/>
  <c r="M24"/>
  <c r="N24" s="1"/>
  <c r="M18"/>
  <c r="L136"/>
  <c r="N136" s="1"/>
  <c r="L124"/>
  <c r="L66"/>
  <c r="N66" s="1"/>
  <c r="L62"/>
  <c r="L58"/>
  <c r="N58" s="1"/>
  <c r="L54"/>
  <c r="L23"/>
  <c r="N23" s="1"/>
  <c r="L21"/>
  <c r="N21" s="1"/>
  <c r="L19"/>
  <c r="L17"/>
  <c r="L14"/>
  <c r="N14" s="1"/>
  <c r="L12"/>
  <c r="N12" s="1"/>
  <c r="L52"/>
  <c r="L50"/>
  <c r="N50" s="1"/>
  <c r="L48"/>
  <c r="L46"/>
  <c r="N46" s="1"/>
  <c r="L44"/>
  <c r="L42"/>
  <c r="L40"/>
  <c r="N40" s="1"/>
  <c r="L38"/>
  <c r="N38" s="1"/>
  <c r="L36"/>
  <c r="L34"/>
  <c r="N34" s="1"/>
  <c r="L32"/>
  <c r="L30"/>
  <c r="N30" s="1"/>
  <c r="L28"/>
  <c r="L26"/>
  <c r="M19"/>
  <c r="L132"/>
  <c r="L128"/>
  <c r="N128" s="1"/>
  <c r="L120"/>
  <c r="N120" s="1"/>
  <c r="L116"/>
  <c r="N116" s="1"/>
  <c r="L72"/>
  <c r="L68"/>
  <c r="N68" s="1"/>
  <c r="L64"/>
  <c r="N64" s="1"/>
  <c r="L60"/>
  <c r="L56"/>
  <c r="N56" s="1"/>
  <c r="L108"/>
  <c r="N108" s="1"/>
  <c r="L106"/>
  <c r="L104"/>
  <c r="N104" s="1"/>
  <c r="L102"/>
  <c r="N102" s="1"/>
  <c r="L100"/>
  <c r="N100" s="1"/>
  <c r="L98"/>
  <c r="L96"/>
  <c r="N96" s="1"/>
  <c r="L94"/>
  <c r="N94" s="1"/>
  <c r="L92"/>
  <c r="L90"/>
  <c r="N90" s="1"/>
  <c r="L88"/>
  <c r="N88" s="1"/>
  <c r="L86"/>
  <c r="L84"/>
  <c r="N84" s="1"/>
  <c r="L82"/>
  <c r="L80"/>
  <c r="L78"/>
  <c r="N78" s="1"/>
  <c r="L76"/>
  <c r="L74"/>
  <c r="M48"/>
  <c r="M44"/>
  <c r="M36"/>
  <c r="N16"/>
  <c r="K148" l="1"/>
  <c r="N72"/>
  <c r="N60"/>
  <c r="N118"/>
  <c r="AF13" i="20"/>
  <c r="AF31" s="1"/>
  <c r="N74" i="11"/>
  <c r="N82"/>
  <c r="N98"/>
  <c r="N42"/>
  <c r="N54"/>
  <c r="N124"/>
  <c r="L154"/>
  <c r="G143"/>
  <c r="L145"/>
  <c r="AF8" i="20" s="1"/>
  <c r="L144" i="11"/>
  <c r="AF18" i="20"/>
  <c r="J153" i="11"/>
  <c r="AG21" i="20" s="1"/>
  <c r="AF21"/>
  <c r="AF30" s="1"/>
  <c r="AG12"/>
  <c r="N32" i="11"/>
  <c r="L146"/>
  <c r="AF17" i="20" s="1"/>
  <c r="L140" i="11"/>
  <c r="H153"/>
  <c r="AF19" i="20"/>
  <c r="AG41"/>
  <c r="AG59" s="1"/>
  <c r="H152" i="11"/>
  <c r="AF10" i="20"/>
  <c r="H148" i="11"/>
  <c r="N35"/>
  <c r="I152"/>
  <c r="AF11" i="20"/>
  <c r="I148" i="11"/>
  <c r="AF20" i="20"/>
  <c r="I153" i="11"/>
  <c r="AG20" i="20" s="1"/>
  <c r="K155" i="11"/>
  <c r="AG13" i="20"/>
  <c r="AG31" s="1"/>
  <c r="D152" i="11"/>
  <c r="N86"/>
  <c r="N106"/>
  <c r="N132"/>
  <c r="N26"/>
  <c r="N17"/>
  <c r="N62"/>
  <c r="N18"/>
  <c r="E143"/>
  <c r="N76"/>
  <c r="N80"/>
  <c r="N92"/>
  <c r="N28"/>
  <c r="N52"/>
  <c r="E144"/>
  <c r="N36"/>
  <c r="N44"/>
  <c r="N48"/>
  <c r="N19"/>
  <c r="M138"/>
  <c r="AF29" i="20" l="1"/>
  <c r="AG30"/>
  <c r="H155" i="11"/>
  <c r="AG10" i="20"/>
  <c r="G153" i="11"/>
  <c r="AG19" i="20"/>
  <c r="AG23" s="1"/>
  <c r="J155" i="11"/>
  <c r="AF26" i="20"/>
  <c r="I155" i="11"/>
  <c r="AG11" i="20"/>
  <c r="AG29" s="1"/>
  <c r="AF14"/>
  <c r="AF28"/>
  <c r="AF23"/>
  <c r="AF24" s="1"/>
  <c r="G148" i="11"/>
  <c r="AF9" i="20"/>
  <c r="AF27" s="1"/>
  <c r="L143" i="11"/>
  <c r="L148" s="1"/>
  <c r="N138"/>
  <c r="AF51" i="20"/>
  <c r="E148" i="11"/>
  <c r="E154" s="1"/>
  <c r="AG52" i="20" s="1"/>
  <c r="P52" s="1"/>
  <c r="AF50"/>
  <c r="E127" i="10"/>
  <c r="I127" s="1"/>
  <c r="E126"/>
  <c r="I126" s="1"/>
  <c r="E125"/>
  <c r="I125" s="1"/>
  <c r="E124"/>
  <c r="I124" s="1"/>
  <c r="E123"/>
  <c r="I123" s="1"/>
  <c r="E122"/>
  <c r="I122" s="1"/>
  <c r="E121"/>
  <c r="I121" s="1"/>
  <c r="E120"/>
  <c r="I120" s="1"/>
  <c r="E119"/>
  <c r="I119" s="1"/>
  <c r="E118"/>
  <c r="I118" s="1"/>
  <c r="E117"/>
  <c r="I117" s="1"/>
  <c r="E116"/>
  <c r="I116" s="1"/>
  <c r="E115"/>
  <c r="I115" s="1"/>
  <c r="E114"/>
  <c r="I114" s="1"/>
  <c r="E113"/>
  <c r="I113" s="1"/>
  <c r="E112"/>
  <c r="I112" s="1"/>
  <c r="E111"/>
  <c r="I111" s="1"/>
  <c r="E110"/>
  <c r="I110" s="1"/>
  <c r="E109"/>
  <c r="I109" s="1"/>
  <c r="E108"/>
  <c r="I108" s="1"/>
  <c r="E107"/>
  <c r="I107" s="1"/>
  <c r="E106"/>
  <c r="I106" s="1"/>
  <c r="E105"/>
  <c r="I105" s="1"/>
  <c r="E104"/>
  <c r="I104" s="1"/>
  <c r="E103"/>
  <c r="I103" s="1"/>
  <c r="E102"/>
  <c r="I102" s="1"/>
  <c r="E101"/>
  <c r="I101" s="1"/>
  <c r="E100"/>
  <c r="I100" s="1"/>
  <c r="E99"/>
  <c r="I99" s="1"/>
  <c r="E98"/>
  <c r="I98" s="1"/>
  <c r="E97"/>
  <c r="G97" s="1"/>
  <c r="E96"/>
  <c r="I96" s="1"/>
  <c r="E95"/>
  <c r="G95" s="1"/>
  <c r="E94"/>
  <c r="I94" s="1"/>
  <c r="E93"/>
  <c r="G93" s="1"/>
  <c r="E92"/>
  <c r="I92" s="1"/>
  <c r="E91"/>
  <c r="G91" s="1"/>
  <c r="E90"/>
  <c r="I90" s="1"/>
  <c r="E89"/>
  <c r="G89" s="1"/>
  <c r="E88"/>
  <c r="I88" s="1"/>
  <c r="E87"/>
  <c r="G87" s="1"/>
  <c r="E86"/>
  <c r="I86" s="1"/>
  <c r="E85"/>
  <c r="G85" s="1"/>
  <c r="E84"/>
  <c r="I84" s="1"/>
  <c r="E83"/>
  <c r="G83" s="1"/>
  <c r="E82"/>
  <c r="I82" s="1"/>
  <c r="E81"/>
  <c r="G81" s="1"/>
  <c r="E80"/>
  <c r="I80" s="1"/>
  <c r="E79"/>
  <c r="G79" s="1"/>
  <c r="E78"/>
  <c r="I78" s="1"/>
  <c r="E77"/>
  <c r="G77" s="1"/>
  <c r="E76"/>
  <c r="I76" s="1"/>
  <c r="E75"/>
  <c r="G75" s="1"/>
  <c r="E74"/>
  <c r="I74" s="1"/>
  <c r="E73"/>
  <c r="G73" s="1"/>
  <c r="E72"/>
  <c r="I72" s="1"/>
  <c r="E71"/>
  <c r="G71" s="1"/>
  <c r="E70"/>
  <c r="I70" s="1"/>
  <c r="E69"/>
  <c r="G69" s="1"/>
  <c r="E68"/>
  <c r="I68" s="1"/>
  <c r="E67"/>
  <c r="G67" s="1"/>
  <c r="E66"/>
  <c r="I66" s="1"/>
  <c r="E65"/>
  <c r="G65" s="1"/>
  <c r="E64"/>
  <c r="I64" s="1"/>
  <c r="E63"/>
  <c r="G63" s="1"/>
  <c r="E62"/>
  <c r="I62" s="1"/>
  <c r="E61"/>
  <c r="G61" s="1"/>
  <c r="E60"/>
  <c r="I60" s="1"/>
  <c r="E59"/>
  <c r="G59" s="1"/>
  <c r="E58"/>
  <c r="I58" s="1"/>
  <c r="E57"/>
  <c r="G57" s="1"/>
  <c r="E56"/>
  <c r="I56" s="1"/>
  <c r="E55"/>
  <c r="G55" s="1"/>
  <c r="E54"/>
  <c r="I54" s="1"/>
  <c r="E53"/>
  <c r="G53" s="1"/>
  <c r="E52"/>
  <c r="I52" s="1"/>
  <c r="E51"/>
  <c r="G51" s="1"/>
  <c r="E50"/>
  <c r="I50" s="1"/>
  <c r="E49"/>
  <c r="G49" s="1"/>
  <c r="E48"/>
  <c r="I48" s="1"/>
  <c r="E47"/>
  <c r="G47" s="1"/>
  <c r="E46"/>
  <c r="I46" s="1"/>
  <c r="E45"/>
  <c r="G45" s="1"/>
  <c r="E44"/>
  <c r="I44" s="1"/>
  <c r="E43"/>
  <c r="G43" s="1"/>
  <c r="E42"/>
  <c r="I42" s="1"/>
  <c r="E41"/>
  <c r="I41" s="1"/>
  <c r="E40"/>
  <c r="I40" s="1"/>
  <c r="E39"/>
  <c r="I39" s="1"/>
  <c r="E38"/>
  <c r="I38" s="1"/>
  <c r="E37"/>
  <c r="I37" s="1"/>
  <c r="E36"/>
  <c r="I36" s="1"/>
  <c r="E35"/>
  <c r="I35" s="1"/>
  <c r="E34"/>
  <c r="I34" s="1"/>
  <c r="E33"/>
  <c r="I33" s="1"/>
  <c r="E32"/>
  <c r="I32" s="1"/>
  <c r="E31"/>
  <c r="I31" s="1"/>
  <c r="E30"/>
  <c r="I30" s="1"/>
  <c r="E29"/>
  <c r="I29" s="1"/>
  <c r="E28"/>
  <c r="I28" s="1"/>
  <c r="E27"/>
  <c r="I27" s="1"/>
  <c r="E26"/>
  <c r="I26" s="1"/>
  <c r="E25"/>
  <c r="I25" s="1"/>
  <c r="E24"/>
  <c r="I24" s="1"/>
  <c r="E23"/>
  <c r="I23" s="1"/>
  <c r="E22"/>
  <c r="I22" s="1"/>
  <c r="E21"/>
  <c r="I21" s="1"/>
  <c r="E20"/>
  <c r="I20" s="1"/>
  <c r="E19"/>
  <c r="I19" s="1"/>
  <c r="E18"/>
  <c r="I18" s="1"/>
  <c r="E17"/>
  <c r="I17" s="1"/>
  <c r="E16"/>
  <c r="I16" s="1"/>
  <c r="E15"/>
  <c r="I15" s="1"/>
  <c r="E14"/>
  <c r="G14" s="1"/>
  <c r="E13"/>
  <c r="I13" s="1"/>
  <c r="E12"/>
  <c r="I12" s="1"/>
  <c r="E11"/>
  <c r="I11" s="1"/>
  <c r="J10"/>
  <c r="I10"/>
  <c r="H10"/>
  <c r="G10"/>
  <c r="F10"/>
  <c r="E9"/>
  <c r="G9" s="1"/>
  <c r="E8"/>
  <c r="I8" s="1"/>
  <c r="E7"/>
  <c r="E6"/>
  <c r="I6" s="1"/>
  <c r="E5"/>
  <c r="I5" s="1"/>
  <c r="J4"/>
  <c r="I4"/>
  <c r="H4"/>
  <c r="G4"/>
  <c r="F4"/>
  <c r="E3"/>
  <c r="I3" s="1"/>
  <c r="E2"/>
  <c r="AF32" i="20" l="1"/>
  <c r="AF33" s="1"/>
  <c r="AF43" s="1"/>
  <c r="AG18"/>
  <c r="AG24" s="1"/>
  <c r="L153" i="11"/>
  <c r="G152"/>
  <c r="AG14" i="20"/>
  <c r="AG28"/>
  <c r="AG32" s="1"/>
  <c r="AF45"/>
  <c r="AF15"/>
  <c r="E152" i="11"/>
  <c r="AG50" i="20" s="1"/>
  <c r="E153" i="11"/>
  <c r="AG51" i="20" s="1"/>
  <c r="P51" s="1"/>
  <c r="Q51" s="1"/>
  <c r="AF53"/>
  <c r="Q52"/>
  <c r="G7" i="10"/>
  <c r="F143"/>
  <c r="BM38" i="20" s="1"/>
  <c r="E131" i="10"/>
  <c r="J2"/>
  <c r="K7"/>
  <c r="G138"/>
  <c r="I137"/>
  <c r="F3"/>
  <c r="F17"/>
  <c r="F25"/>
  <c r="F33"/>
  <c r="F41"/>
  <c r="F13"/>
  <c r="F21"/>
  <c r="F29"/>
  <c r="F37"/>
  <c r="J6"/>
  <c r="J100"/>
  <c r="J104"/>
  <c r="J108"/>
  <c r="J112"/>
  <c r="J116"/>
  <c r="J120"/>
  <c r="J124"/>
  <c r="J3"/>
  <c r="F6"/>
  <c r="K10"/>
  <c r="J13"/>
  <c r="J17"/>
  <c r="J21"/>
  <c r="J25"/>
  <c r="J29"/>
  <c r="J33"/>
  <c r="J37"/>
  <c r="J41"/>
  <c r="F100"/>
  <c r="F104"/>
  <c r="F108"/>
  <c r="F112"/>
  <c r="F116"/>
  <c r="F120"/>
  <c r="F124"/>
  <c r="H8"/>
  <c r="H11"/>
  <c r="H15"/>
  <c r="H19"/>
  <c r="H23"/>
  <c r="H27"/>
  <c r="H31"/>
  <c r="H35"/>
  <c r="H39"/>
  <c r="H44"/>
  <c r="H46"/>
  <c r="H48"/>
  <c r="H50"/>
  <c r="H52"/>
  <c r="H54"/>
  <c r="H56"/>
  <c r="H58"/>
  <c r="H60"/>
  <c r="H62"/>
  <c r="H64"/>
  <c r="H66"/>
  <c r="H68"/>
  <c r="H70"/>
  <c r="H72"/>
  <c r="H74"/>
  <c r="H76"/>
  <c r="H78"/>
  <c r="H80"/>
  <c r="H82"/>
  <c r="H84"/>
  <c r="H86"/>
  <c r="H88"/>
  <c r="H90"/>
  <c r="H92"/>
  <c r="H94"/>
  <c r="H96"/>
  <c r="H98"/>
  <c r="H102"/>
  <c r="H106"/>
  <c r="H110"/>
  <c r="H114"/>
  <c r="H118"/>
  <c r="H122"/>
  <c r="H126"/>
  <c r="H3"/>
  <c r="K4"/>
  <c r="H6"/>
  <c r="F8"/>
  <c r="J8"/>
  <c r="F11"/>
  <c r="J11"/>
  <c r="H13"/>
  <c r="F15"/>
  <c r="J15"/>
  <c r="H17"/>
  <c r="F19"/>
  <c r="J19"/>
  <c r="H21"/>
  <c r="F23"/>
  <c r="J23"/>
  <c r="H25"/>
  <c r="F27"/>
  <c r="J27"/>
  <c r="H29"/>
  <c r="F31"/>
  <c r="J31"/>
  <c r="H33"/>
  <c r="F35"/>
  <c r="J35"/>
  <c r="H37"/>
  <c r="F39"/>
  <c r="J39"/>
  <c r="H41"/>
  <c r="F44"/>
  <c r="J44"/>
  <c r="F46"/>
  <c r="J46"/>
  <c r="F48"/>
  <c r="J48"/>
  <c r="F50"/>
  <c r="J50"/>
  <c r="F52"/>
  <c r="J52"/>
  <c r="F54"/>
  <c r="J54"/>
  <c r="F56"/>
  <c r="J56"/>
  <c r="F58"/>
  <c r="J58"/>
  <c r="F60"/>
  <c r="J60"/>
  <c r="F62"/>
  <c r="J62"/>
  <c r="F64"/>
  <c r="J64"/>
  <c r="F66"/>
  <c r="J66"/>
  <c r="F68"/>
  <c r="J68"/>
  <c r="F70"/>
  <c r="J70"/>
  <c r="F72"/>
  <c r="J72"/>
  <c r="F74"/>
  <c r="J74"/>
  <c r="F76"/>
  <c r="J76"/>
  <c r="F78"/>
  <c r="J78"/>
  <c r="F80"/>
  <c r="J80"/>
  <c r="F82"/>
  <c r="J82"/>
  <c r="F84"/>
  <c r="J84"/>
  <c r="F86"/>
  <c r="J86"/>
  <c r="F88"/>
  <c r="J88"/>
  <c r="F90"/>
  <c r="J90"/>
  <c r="F92"/>
  <c r="J92"/>
  <c r="F94"/>
  <c r="J94"/>
  <c r="F96"/>
  <c r="J96"/>
  <c r="F98"/>
  <c r="J98"/>
  <c r="H100"/>
  <c r="F102"/>
  <c r="J102"/>
  <c r="H104"/>
  <c r="F106"/>
  <c r="J106"/>
  <c r="H108"/>
  <c r="F110"/>
  <c r="J110"/>
  <c r="H112"/>
  <c r="F114"/>
  <c r="J114"/>
  <c r="H116"/>
  <c r="F118"/>
  <c r="J118"/>
  <c r="H120"/>
  <c r="F122"/>
  <c r="J122"/>
  <c r="H124"/>
  <c r="F126"/>
  <c r="J126"/>
  <c r="J43"/>
  <c r="H43"/>
  <c r="F43"/>
  <c r="J45"/>
  <c r="H45"/>
  <c r="F45"/>
  <c r="J47"/>
  <c r="H47"/>
  <c r="F47"/>
  <c r="J49"/>
  <c r="H49"/>
  <c r="F49"/>
  <c r="J51"/>
  <c r="H51"/>
  <c r="F51"/>
  <c r="J53"/>
  <c r="H53"/>
  <c r="F53"/>
  <c r="J55"/>
  <c r="H55"/>
  <c r="F55"/>
  <c r="J57"/>
  <c r="H57"/>
  <c r="F57"/>
  <c r="J59"/>
  <c r="H59"/>
  <c r="F59"/>
  <c r="J61"/>
  <c r="H61"/>
  <c r="F61"/>
  <c r="J63"/>
  <c r="H63"/>
  <c r="F63"/>
  <c r="J65"/>
  <c r="H65"/>
  <c r="F65"/>
  <c r="J67"/>
  <c r="H67"/>
  <c r="F67"/>
  <c r="J69"/>
  <c r="H69"/>
  <c r="F69"/>
  <c r="J71"/>
  <c r="H71"/>
  <c r="F71"/>
  <c r="J73"/>
  <c r="H73"/>
  <c r="F73"/>
  <c r="J75"/>
  <c r="H75"/>
  <c r="F75"/>
  <c r="J77"/>
  <c r="H77"/>
  <c r="F77"/>
  <c r="J79"/>
  <c r="H79"/>
  <c r="F79"/>
  <c r="J81"/>
  <c r="H81"/>
  <c r="F81"/>
  <c r="J83"/>
  <c r="H83"/>
  <c r="F83"/>
  <c r="J85"/>
  <c r="H85"/>
  <c r="F85"/>
  <c r="J87"/>
  <c r="H87"/>
  <c r="F87"/>
  <c r="J89"/>
  <c r="H89"/>
  <c r="F89"/>
  <c r="J91"/>
  <c r="H91"/>
  <c r="F91"/>
  <c r="J93"/>
  <c r="H93"/>
  <c r="F93"/>
  <c r="J95"/>
  <c r="H95"/>
  <c r="F95"/>
  <c r="J97"/>
  <c r="H97"/>
  <c r="F97"/>
  <c r="G2"/>
  <c r="I2"/>
  <c r="I9"/>
  <c r="G12"/>
  <c r="I14"/>
  <c r="G16"/>
  <c r="F2"/>
  <c r="H2"/>
  <c r="G3"/>
  <c r="F5"/>
  <c r="H5"/>
  <c r="J5"/>
  <c r="G6"/>
  <c r="G8"/>
  <c r="F9"/>
  <c r="H9"/>
  <c r="J9"/>
  <c r="G11"/>
  <c r="F12"/>
  <c r="H12"/>
  <c r="J12"/>
  <c r="G13"/>
  <c r="F14"/>
  <c r="H14"/>
  <c r="J14"/>
  <c r="G15"/>
  <c r="F16"/>
  <c r="H16"/>
  <c r="J16"/>
  <c r="G17"/>
  <c r="F18"/>
  <c r="H18"/>
  <c r="J18"/>
  <c r="G19"/>
  <c r="F20"/>
  <c r="H20"/>
  <c r="J20"/>
  <c r="G21"/>
  <c r="K21" s="1"/>
  <c r="F22"/>
  <c r="H22"/>
  <c r="J22"/>
  <c r="G23"/>
  <c r="F24"/>
  <c r="H24"/>
  <c r="J24"/>
  <c r="G25"/>
  <c r="F26"/>
  <c r="H26"/>
  <c r="J26"/>
  <c r="G27"/>
  <c r="F28"/>
  <c r="H28"/>
  <c r="J28"/>
  <c r="G29"/>
  <c r="F30"/>
  <c r="H30"/>
  <c r="J30"/>
  <c r="G31"/>
  <c r="F32"/>
  <c r="H32"/>
  <c r="J32"/>
  <c r="G33"/>
  <c r="F34"/>
  <c r="H34"/>
  <c r="J34"/>
  <c r="G35"/>
  <c r="F36"/>
  <c r="H36"/>
  <c r="J36"/>
  <c r="G37"/>
  <c r="K37" s="1"/>
  <c r="F38"/>
  <c r="H38"/>
  <c r="J38"/>
  <c r="G39"/>
  <c r="F40"/>
  <c r="H40"/>
  <c r="J40"/>
  <c r="G41"/>
  <c r="F42"/>
  <c r="H42"/>
  <c r="J42"/>
  <c r="I43"/>
  <c r="I45"/>
  <c r="I47"/>
  <c r="I49"/>
  <c r="I51"/>
  <c r="I53"/>
  <c r="I55"/>
  <c r="I57"/>
  <c r="I59"/>
  <c r="I61"/>
  <c r="I63"/>
  <c r="I65"/>
  <c r="I67"/>
  <c r="I69"/>
  <c r="I71"/>
  <c r="I73"/>
  <c r="I75"/>
  <c r="I77"/>
  <c r="I79"/>
  <c r="I81"/>
  <c r="I83"/>
  <c r="I85"/>
  <c r="I87"/>
  <c r="I89"/>
  <c r="I91"/>
  <c r="I93"/>
  <c r="I95"/>
  <c r="I97"/>
  <c r="G5"/>
  <c r="G18"/>
  <c r="G20"/>
  <c r="G22"/>
  <c r="G24"/>
  <c r="G26"/>
  <c r="G28"/>
  <c r="G30"/>
  <c r="G32"/>
  <c r="G34"/>
  <c r="G36"/>
  <c r="G38"/>
  <c r="G40"/>
  <c r="G42"/>
  <c r="G44"/>
  <c r="G46"/>
  <c r="G48"/>
  <c r="G50"/>
  <c r="G52"/>
  <c r="G54"/>
  <c r="G56"/>
  <c r="G58"/>
  <c r="G60"/>
  <c r="G62"/>
  <c r="G64"/>
  <c r="G66"/>
  <c r="G68"/>
  <c r="G70"/>
  <c r="G72"/>
  <c r="G74"/>
  <c r="G76"/>
  <c r="G78"/>
  <c r="G80"/>
  <c r="G82"/>
  <c r="G84"/>
  <c r="G86"/>
  <c r="G88"/>
  <c r="G90"/>
  <c r="G92"/>
  <c r="G94"/>
  <c r="G96"/>
  <c r="G98"/>
  <c r="F99"/>
  <c r="H99"/>
  <c r="J99"/>
  <c r="G100"/>
  <c r="F101"/>
  <c r="H101"/>
  <c r="J101"/>
  <c r="G102"/>
  <c r="F103"/>
  <c r="H103"/>
  <c r="J103"/>
  <c r="G104"/>
  <c r="F105"/>
  <c r="H105"/>
  <c r="J105"/>
  <c r="G106"/>
  <c r="F107"/>
  <c r="H107"/>
  <c r="J107"/>
  <c r="G108"/>
  <c r="F109"/>
  <c r="H109"/>
  <c r="J109"/>
  <c r="G110"/>
  <c r="F111"/>
  <c r="H111"/>
  <c r="J111"/>
  <c r="G112"/>
  <c r="F113"/>
  <c r="H113"/>
  <c r="J113"/>
  <c r="G114"/>
  <c r="F115"/>
  <c r="H115"/>
  <c r="J115"/>
  <c r="G116"/>
  <c r="F117"/>
  <c r="H117"/>
  <c r="J117"/>
  <c r="G118"/>
  <c r="F119"/>
  <c r="H119"/>
  <c r="J119"/>
  <c r="G120"/>
  <c r="F121"/>
  <c r="H121"/>
  <c r="J121"/>
  <c r="G122"/>
  <c r="F123"/>
  <c r="H123"/>
  <c r="J123"/>
  <c r="G124"/>
  <c r="F125"/>
  <c r="H125"/>
  <c r="J125"/>
  <c r="G126"/>
  <c r="F127"/>
  <c r="H127"/>
  <c r="J127"/>
  <c r="G99"/>
  <c r="G101"/>
  <c r="G103"/>
  <c r="G105"/>
  <c r="G107"/>
  <c r="G109"/>
  <c r="G111"/>
  <c r="G113"/>
  <c r="G115"/>
  <c r="G117"/>
  <c r="G119"/>
  <c r="G121"/>
  <c r="G123"/>
  <c r="G125"/>
  <c r="G127"/>
  <c r="AF46" i="20" l="1"/>
  <c r="AF47" s="1"/>
  <c r="E155" i="11"/>
  <c r="K120" i="10"/>
  <c r="K112"/>
  <c r="K104"/>
  <c r="AG46" i="20"/>
  <c r="AG9"/>
  <c r="AG27" s="1"/>
  <c r="AG45" s="1"/>
  <c r="L152" i="11"/>
  <c r="L155" s="1"/>
  <c r="G155"/>
  <c r="AG53" i="20"/>
  <c r="P50"/>
  <c r="H38"/>
  <c r="J38" s="1"/>
  <c r="G38" i="26" s="1"/>
  <c r="H38" s="1"/>
  <c r="N38" i="20"/>
  <c r="K138" i="10"/>
  <c r="BL39" i="20"/>
  <c r="G143" i="10"/>
  <c r="I136"/>
  <c r="I134" s="1"/>
  <c r="J131"/>
  <c r="J135"/>
  <c r="H131"/>
  <c r="H135"/>
  <c r="I135"/>
  <c r="I131"/>
  <c r="F131"/>
  <c r="F135"/>
  <c r="G135"/>
  <c r="G131"/>
  <c r="J137"/>
  <c r="J136"/>
  <c r="J134" s="1"/>
  <c r="H137"/>
  <c r="H136"/>
  <c r="H134" s="1"/>
  <c r="BL11" i="20" s="1"/>
  <c r="G137" i="10"/>
  <c r="G136"/>
  <c r="G134" s="1"/>
  <c r="BL10" i="20" s="1"/>
  <c r="F137" i="10"/>
  <c r="F136"/>
  <c r="K3"/>
  <c r="K29"/>
  <c r="K13"/>
  <c r="K126"/>
  <c r="K124"/>
  <c r="K122"/>
  <c r="K118"/>
  <c r="K116"/>
  <c r="K114"/>
  <c r="K110"/>
  <c r="K108"/>
  <c r="K106"/>
  <c r="K102"/>
  <c r="K100"/>
  <c r="K98"/>
  <c r="K94"/>
  <c r="K90"/>
  <c r="K86"/>
  <c r="K82"/>
  <c r="K78"/>
  <c r="K74"/>
  <c r="K70"/>
  <c r="K66"/>
  <c r="K62"/>
  <c r="K58"/>
  <c r="K54"/>
  <c r="K50"/>
  <c r="K46"/>
  <c r="K6"/>
  <c r="K2"/>
  <c r="K96"/>
  <c r="K92"/>
  <c r="K88"/>
  <c r="K84"/>
  <c r="K80"/>
  <c r="K76"/>
  <c r="K72"/>
  <c r="K68"/>
  <c r="K64"/>
  <c r="K60"/>
  <c r="K56"/>
  <c r="K52"/>
  <c r="K48"/>
  <c r="K44"/>
  <c r="K41"/>
  <c r="K39"/>
  <c r="K35"/>
  <c r="K33"/>
  <c r="K31"/>
  <c r="K27"/>
  <c r="K25"/>
  <c r="K23"/>
  <c r="K19"/>
  <c r="K17"/>
  <c r="K15"/>
  <c r="K11"/>
  <c r="K8"/>
  <c r="K127"/>
  <c r="K125"/>
  <c r="K123"/>
  <c r="K121"/>
  <c r="K119"/>
  <c r="K117"/>
  <c r="K115"/>
  <c r="K113"/>
  <c r="K111"/>
  <c r="K109"/>
  <c r="K107"/>
  <c r="K105"/>
  <c r="K103"/>
  <c r="K101"/>
  <c r="K99"/>
  <c r="K5"/>
  <c r="K97"/>
  <c r="K93"/>
  <c r="K89"/>
  <c r="K85"/>
  <c r="K81"/>
  <c r="K77"/>
  <c r="K73"/>
  <c r="K69"/>
  <c r="K65"/>
  <c r="K61"/>
  <c r="K57"/>
  <c r="K53"/>
  <c r="K49"/>
  <c r="K45"/>
  <c r="K42"/>
  <c r="K40"/>
  <c r="K38"/>
  <c r="K36"/>
  <c r="K34"/>
  <c r="K32"/>
  <c r="K30"/>
  <c r="K28"/>
  <c r="K26"/>
  <c r="K24"/>
  <c r="K22"/>
  <c r="K20"/>
  <c r="K18"/>
  <c r="K16"/>
  <c r="K14"/>
  <c r="K12"/>
  <c r="K9"/>
  <c r="K95"/>
  <c r="K91"/>
  <c r="K87"/>
  <c r="K83"/>
  <c r="K79"/>
  <c r="K75"/>
  <c r="K71"/>
  <c r="K67"/>
  <c r="K63"/>
  <c r="K59"/>
  <c r="K55"/>
  <c r="K51"/>
  <c r="K47"/>
  <c r="K43"/>
  <c r="AG33" i="20" l="1"/>
  <c r="AG58" s="1"/>
  <c r="AG60" s="1"/>
  <c r="AG47"/>
  <c r="C9" i="25" s="1"/>
  <c r="AG15" i="20"/>
  <c r="K136" i="10"/>
  <c r="BL8" i="20" s="1"/>
  <c r="BL26" s="1"/>
  <c r="K137" i="10"/>
  <c r="BL17" i="20" s="1"/>
  <c r="Q50"/>
  <c r="Q53" s="1"/>
  <c r="P53"/>
  <c r="K38"/>
  <c r="I38" i="26" s="1"/>
  <c r="F38"/>
  <c r="G39" i="20"/>
  <c r="I39" s="1"/>
  <c r="I40" s="1"/>
  <c r="I41" s="1"/>
  <c r="L40"/>
  <c r="L41" s="1"/>
  <c r="G142" i="10"/>
  <c r="BM19" i="20" s="1"/>
  <c r="BL19"/>
  <c r="I142" i="10"/>
  <c r="BM21" i="20" s="1"/>
  <c r="BL21"/>
  <c r="K143" i="10"/>
  <c r="BM39" i="20"/>
  <c r="J141" i="10"/>
  <c r="BM13" i="20" s="1"/>
  <c r="BL13"/>
  <c r="K135" i="10"/>
  <c r="BL18" i="20"/>
  <c r="H142" i="10"/>
  <c r="BM20" i="20" s="1"/>
  <c r="BL20"/>
  <c r="BL29" s="1"/>
  <c r="J142" i="10"/>
  <c r="BM22" i="20" s="1"/>
  <c r="BL22"/>
  <c r="I141" i="10"/>
  <c r="BM12" i="20" s="1"/>
  <c r="BL12"/>
  <c r="BL40"/>
  <c r="BL41" s="1"/>
  <c r="F142" i="10"/>
  <c r="BM18" i="20" s="1"/>
  <c r="G141" i="10"/>
  <c r="BM10" i="20" s="1"/>
  <c r="G139" i="10"/>
  <c r="H139"/>
  <c r="H141"/>
  <c r="J139"/>
  <c r="I139"/>
  <c r="K131"/>
  <c r="F134"/>
  <c r="BL9" i="20" s="1"/>
  <c r="K129" i="10"/>
  <c r="F136" i="9"/>
  <c r="G136" s="1"/>
  <c r="F135"/>
  <c r="J135" s="1"/>
  <c r="K134"/>
  <c r="F134"/>
  <c r="J134" s="1"/>
  <c r="F133"/>
  <c r="J133" s="1"/>
  <c r="F132"/>
  <c r="J132" s="1"/>
  <c r="F131"/>
  <c r="J131" s="1"/>
  <c r="F130"/>
  <c r="J130" s="1"/>
  <c r="F129"/>
  <c r="J129" s="1"/>
  <c r="F128"/>
  <c r="J128" s="1"/>
  <c r="F127"/>
  <c r="J127" s="1"/>
  <c r="F126"/>
  <c r="J126" s="1"/>
  <c r="F125"/>
  <c r="J125" s="1"/>
  <c r="F124"/>
  <c r="J124" s="1"/>
  <c r="F123"/>
  <c r="J123" s="1"/>
  <c r="K122"/>
  <c r="I122"/>
  <c r="G122"/>
  <c r="F122"/>
  <c r="J122" s="1"/>
  <c r="F121"/>
  <c r="J121" s="1"/>
  <c r="F120"/>
  <c r="J120" s="1"/>
  <c r="F119"/>
  <c r="J119" s="1"/>
  <c r="F118"/>
  <c r="J118" s="1"/>
  <c r="F117"/>
  <c r="J117" s="1"/>
  <c r="F116"/>
  <c r="J116" s="1"/>
  <c r="F115"/>
  <c r="J115" s="1"/>
  <c r="F114"/>
  <c r="J114" s="1"/>
  <c r="F113"/>
  <c r="J113" s="1"/>
  <c r="K112"/>
  <c r="F112"/>
  <c r="J112" s="1"/>
  <c r="F111"/>
  <c r="J111" s="1"/>
  <c r="I110"/>
  <c r="G110"/>
  <c r="F110"/>
  <c r="J110" s="1"/>
  <c r="F109"/>
  <c r="J109" s="1"/>
  <c r="K108"/>
  <c r="F108"/>
  <c r="J108" s="1"/>
  <c r="F107"/>
  <c r="J107" s="1"/>
  <c r="F106"/>
  <c r="J106" s="1"/>
  <c r="F105"/>
  <c r="J105" s="1"/>
  <c r="F104"/>
  <c r="J104" s="1"/>
  <c r="F103"/>
  <c r="J103" s="1"/>
  <c r="F102"/>
  <c r="J102" s="1"/>
  <c r="F101"/>
  <c r="J101" s="1"/>
  <c r="K100"/>
  <c r="F100"/>
  <c r="J100" s="1"/>
  <c r="F99"/>
  <c r="H99" s="1"/>
  <c r="F98"/>
  <c r="J98" s="1"/>
  <c r="F97"/>
  <c r="H97" s="1"/>
  <c r="F96"/>
  <c r="J96" s="1"/>
  <c r="F95"/>
  <c r="H95" s="1"/>
  <c r="K94"/>
  <c r="F94"/>
  <c r="J94" s="1"/>
  <c r="F93"/>
  <c r="H93" s="1"/>
  <c r="F92"/>
  <c r="J92" s="1"/>
  <c r="F91"/>
  <c r="H91" s="1"/>
  <c r="K90"/>
  <c r="F90"/>
  <c r="J90" s="1"/>
  <c r="F89"/>
  <c r="H89" s="1"/>
  <c r="I88"/>
  <c r="G88"/>
  <c r="F88"/>
  <c r="J88" s="1"/>
  <c r="F87"/>
  <c r="H87" s="1"/>
  <c r="K86"/>
  <c r="F86"/>
  <c r="J86" s="1"/>
  <c r="F85"/>
  <c r="H85" s="1"/>
  <c r="K84"/>
  <c r="F84"/>
  <c r="J84" s="1"/>
  <c r="F83"/>
  <c r="H83" s="1"/>
  <c r="F82"/>
  <c r="J82" s="1"/>
  <c r="F81"/>
  <c r="H81" s="1"/>
  <c r="K80"/>
  <c r="F80"/>
  <c r="J80" s="1"/>
  <c r="F79"/>
  <c r="H79" s="1"/>
  <c r="I78"/>
  <c r="G78"/>
  <c r="F78"/>
  <c r="J78" s="1"/>
  <c r="F77"/>
  <c r="H77" s="1"/>
  <c r="K76"/>
  <c r="F76"/>
  <c r="J76" s="1"/>
  <c r="F75"/>
  <c r="H75" s="1"/>
  <c r="I74"/>
  <c r="G74"/>
  <c r="F74"/>
  <c r="J74" s="1"/>
  <c r="F73"/>
  <c r="M73" s="1"/>
  <c r="K72"/>
  <c r="F72"/>
  <c r="J72" s="1"/>
  <c r="F71"/>
  <c r="J71" s="1"/>
  <c r="I70"/>
  <c r="G70"/>
  <c r="F70"/>
  <c r="J70" s="1"/>
  <c r="F69"/>
  <c r="J69" s="1"/>
  <c r="F68"/>
  <c r="J68" s="1"/>
  <c r="F67"/>
  <c r="J67" s="1"/>
  <c r="F66"/>
  <c r="J66" s="1"/>
  <c r="F65"/>
  <c r="J65" s="1"/>
  <c r="I64"/>
  <c r="G64"/>
  <c r="F64"/>
  <c r="J64" s="1"/>
  <c r="F63"/>
  <c r="J63" s="1"/>
  <c r="K62"/>
  <c r="F62"/>
  <c r="J62" s="1"/>
  <c r="F61"/>
  <c r="J61" s="1"/>
  <c r="F60"/>
  <c r="J60" s="1"/>
  <c r="F59"/>
  <c r="J59" s="1"/>
  <c r="F58"/>
  <c r="J58" s="1"/>
  <c r="F57"/>
  <c r="J57" s="1"/>
  <c r="F56"/>
  <c r="J56" s="1"/>
  <c r="F55"/>
  <c r="J55" s="1"/>
  <c r="I54"/>
  <c r="G54"/>
  <c r="F54"/>
  <c r="J54" s="1"/>
  <c r="F53"/>
  <c r="J53" s="1"/>
  <c r="K52"/>
  <c r="F52"/>
  <c r="J52" s="1"/>
  <c r="F51"/>
  <c r="J51" s="1"/>
  <c r="F50"/>
  <c r="J50" s="1"/>
  <c r="F49"/>
  <c r="J49" s="1"/>
  <c r="I48"/>
  <c r="G48"/>
  <c r="F48"/>
  <c r="J48" s="1"/>
  <c r="F47"/>
  <c r="J47" s="1"/>
  <c r="F46"/>
  <c r="J46" s="1"/>
  <c r="F45"/>
  <c r="J45" s="1"/>
  <c r="F44"/>
  <c r="J44" s="1"/>
  <c r="F43"/>
  <c r="J43" s="1"/>
  <c r="I42"/>
  <c r="F42"/>
  <c r="J42" s="1"/>
  <c r="F41"/>
  <c r="H41" s="1"/>
  <c r="K40"/>
  <c r="F40"/>
  <c r="J40" s="1"/>
  <c r="F39"/>
  <c r="J39" s="1"/>
  <c r="F38"/>
  <c r="J38" s="1"/>
  <c r="F37"/>
  <c r="J37" s="1"/>
  <c r="F36"/>
  <c r="J36" s="1"/>
  <c r="F35"/>
  <c r="J35" s="1"/>
  <c r="F34"/>
  <c r="J34" s="1"/>
  <c r="F33"/>
  <c r="M33" s="1"/>
  <c r="F32"/>
  <c r="J32" s="1"/>
  <c r="F31"/>
  <c r="J31" s="1"/>
  <c r="F30"/>
  <c r="J30" s="1"/>
  <c r="F29"/>
  <c r="J29" s="1"/>
  <c r="I28"/>
  <c r="G28"/>
  <c r="F28"/>
  <c r="J28" s="1"/>
  <c r="F27"/>
  <c r="J27" s="1"/>
  <c r="F26"/>
  <c r="J26" s="1"/>
  <c r="F25"/>
  <c r="H25" s="1"/>
  <c r="F24"/>
  <c r="J24" s="1"/>
  <c r="F23"/>
  <c r="H23" s="1"/>
  <c r="I22"/>
  <c r="G22"/>
  <c r="F22"/>
  <c r="J22" s="1"/>
  <c r="F21"/>
  <c r="J21" s="1"/>
  <c r="K20"/>
  <c r="F20"/>
  <c r="J20" s="1"/>
  <c r="F19"/>
  <c r="J19" s="1"/>
  <c r="F18"/>
  <c r="J18" s="1"/>
  <c r="F17"/>
  <c r="H16"/>
  <c r="F16"/>
  <c r="G154" s="1"/>
  <c r="F15"/>
  <c r="H15" s="1"/>
  <c r="F14"/>
  <c r="J14" s="1"/>
  <c r="F13"/>
  <c r="H13" s="1"/>
  <c r="F12"/>
  <c r="J12" s="1"/>
  <c r="F11"/>
  <c r="E7"/>
  <c r="AG43" i="20" l="1"/>
  <c r="K46" i="9"/>
  <c r="G58"/>
  <c r="G104"/>
  <c r="G128"/>
  <c r="K14"/>
  <c r="G30"/>
  <c r="K68"/>
  <c r="G20"/>
  <c r="K28"/>
  <c r="I30"/>
  <c r="G36"/>
  <c r="G52"/>
  <c r="I58"/>
  <c r="G84"/>
  <c r="G94"/>
  <c r="G98"/>
  <c r="G100"/>
  <c r="I104"/>
  <c r="G114"/>
  <c r="K116"/>
  <c r="I118"/>
  <c r="K126"/>
  <c r="I128"/>
  <c r="G134"/>
  <c r="K26"/>
  <c r="G118"/>
  <c r="K18"/>
  <c r="I20"/>
  <c r="K34"/>
  <c r="I36"/>
  <c r="G42"/>
  <c r="I52"/>
  <c r="K58"/>
  <c r="I84"/>
  <c r="I94"/>
  <c r="I98"/>
  <c r="I100"/>
  <c r="K104"/>
  <c r="I114"/>
  <c r="K132"/>
  <c r="I134"/>
  <c r="M50"/>
  <c r="M56"/>
  <c r="M96"/>
  <c r="M120"/>
  <c r="G32"/>
  <c r="M34"/>
  <c r="G38"/>
  <c r="M40"/>
  <c r="G60"/>
  <c r="M62"/>
  <c r="G66"/>
  <c r="M68"/>
  <c r="M72"/>
  <c r="M80"/>
  <c r="G82"/>
  <c r="M90"/>
  <c r="G92"/>
  <c r="G96"/>
  <c r="G102"/>
  <c r="M116"/>
  <c r="G120"/>
  <c r="G124"/>
  <c r="I12"/>
  <c r="G14"/>
  <c r="BC38" i="20"/>
  <c r="G18" i="9"/>
  <c r="K22"/>
  <c r="I24"/>
  <c r="G26"/>
  <c r="K30"/>
  <c r="I32"/>
  <c r="G34"/>
  <c r="K36"/>
  <c r="I38"/>
  <c r="G40"/>
  <c r="K42"/>
  <c r="I44"/>
  <c r="G46"/>
  <c r="K48"/>
  <c r="I50"/>
  <c r="K54"/>
  <c r="I56"/>
  <c r="M58"/>
  <c r="I60"/>
  <c r="G62"/>
  <c r="K64"/>
  <c r="I66"/>
  <c r="G68"/>
  <c r="K70"/>
  <c r="G72"/>
  <c r="K74"/>
  <c r="G76"/>
  <c r="K78"/>
  <c r="G80"/>
  <c r="I82"/>
  <c r="M84"/>
  <c r="G86"/>
  <c r="K88"/>
  <c r="G90"/>
  <c r="I92"/>
  <c r="I96"/>
  <c r="K98"/>
  <c r="M100"/>
  <c r="I102"/>
  <c r="M104"/>
  <c r="I106"/>
  <c r="G108"/>
  <c r="K110"/>
  <c r="G112"/>
  <c r="K114"/>
  <c r="G116"/>
  <c r="K118"/>
  <c r="I120"/>
  <c r="M122"/>
  <c r="I124"/>
  <c r="G126"/>
  <c r="K128"/>
  <c r="I130"/>
  <c r="G132"/>
  <c r="M134"/>
  <c r="I144" i="10"/>
  <c r="H17" i="9"/>
  <c r="M102"/>
  <c r="G12"/>
  <c r="G24"/>
  <c r="G44"/>
  <c r="M46"/>
  <c r="G50"/>
  <c r="G56"/>
  <c r="G106"/>
  <c r="M108"/>
  <c r="M112"/>
  <c r="M126"/>
  <c r="G130"/>
  <c r="F140"/>
  <c r="K12"/>
  <c r="I14"/>
  <c r="L16"/>
  <c r="H147"/>
  <c r="I18"/>
  <c r="K24"/>
  <c r="I26"/>
  <c r="K32"/>
  <c r="I34"/>
  <c r="K38"/>
  <c r="I40"/>
  <c r="K44"/>
  <c r="I46"/>
  <c r="K50"/>
  <c r="K56"/>
  <c r="K60"/>
  <c r="I62"/>
  <c r="K66"/>
  <c r="I68"/>
  <c r="M70"/>
  <c r="I72"/>
  <c r="I76"/>
  <c r="I80"/>
  <c r="K82"/>
  <c r="I86"/>
  <c r="I90"/>
  <c r="K92"/>
  <c r="K96"/>
  <c r="M98"/>
  <c r="K102"/>
  <c r="K106"/>
  <c r="I108"/>
  <c r="M110"/>
  <c r="I112"/>
  <c r="M114"/>
  <c r="I116"/>
  <c r="K120"/>
  <c r="K124"/>
  <c r="I126"/>
  <c r="K130"/>
  <c r="I132"/>
  <c r="J146"/>
  <c r="J144" i="10"/>
  <c r="K38" i="26"/>
  <c r="L38" s="1"/>
  <c r="M38" s="1"/>
  <c r="BM30" i="20"/>
  <c r="BL30"/>
  <c r="BM40"/>
  <c r="BM41" s="1"/>
  <c r="BM28"/>
  <c r="H144" i="10"/>
  <c r="BM11" i="20"/>
  <c r="BL31"/>
  <c r="BL14"/>
  <c r="BL15" s="1"/>
  <c r="BL23"/>
  <c r="BL24" s="1"/>
  <c r="BL27"/>
  <c r="BL45" s="1"/>
  <c r="BM31"/>
  <c r="BL28"/>
  <c r="BM23"/>
  <c r="BM24" s="1"/>
  <c r="F139" i="10"/>
  <c r="K134"/>
  <c r="K139" s="1"/>
  <c r="K142"/>
  <c r="G144"/>
  <c r="K75" i="9"/>
  <c r="I75"/>
  <c r="G75"/>
  <c r="M77"/>
  <c r="K77"/>
  <c r="I77"/>
  <c r="G77"/>
  <c r="K79"/>
  <c r="I79"/>
  <c r="G79"/>
  <c r="M81"/>
  <c r="K81"/>
  <c r="I81"/>
  <c r="G81"/>
  <c r="K83"/>
  <c r="I83"/>
  <c r="G83"/>
  <c r="M85"/>
  <c r="K85"/>
  <c r="I85"/>
  <c r="G85"/>
  <c r="M87"/>
  <c r="K87"/>
  <c r="I87"/>
  <c r="G87"/>
  <c r="M89"/>
  <c r="K89"/>
  <c r="I89"/>
  <c r="G89"/>
  <c r="M91"/>
  <c r="K91"/>
  <c r="I91"/>
  <c r="G91"/>
  <c r="K93"/>
  <c r="I93"/>
  <c r="G93"/>
  <c r="K95"/>
  <c r="I95"/>
  <c r="G95"/>
  <c r="M97"/>
  <c r="K97"/>
  <c r="I97"/>
  <c r="G97"/>
  <c r="K99"/>
  <c r="I99"/>
  <c r="G99"/>
  <c r="H11"/>
  <c r="J11"/>
  <c r="J13"/>
  <c r="J15"/>
  <c r="J17"/>
  <c r="H21"/>
  <c r="J23"/>
  <c r="J25"/>
  <c r="H33"/>
  <c r="J33"/>
  <c r="H35"/>
  <c r="H37"/>
  <c r="J41"/>
  <c r="H43"/>
  <c r="G11"/>
  <c r="I11"/>
  <c r="K11"/>
  <c r="H12"/>
  <c r="G13"/>
  <c r="I13"/>
  <c r="K13"/>
  <c r="M13"/>
  <c r="H14"/>
  <c r="L14" s="1"/>
  <c r="G15"/>
  <c r="I15"/>
  <c r="K15"/>
  <c r="G17"/>
  <c r="I17"/>
  <c r="K17"/>
  <c r="K144" s="1"/>
  <c r="H18"/>
  <c r="G19"/>
  <c r="I19"/>
  <c r="K19"/>
  <c r="H20"/>
  <c r="G21"/>
  <c r="I21"/>
  <c r="K21"/>
  <c r="H22"/>
  <c r="G23"/>
  <c r="I23"/>
  <c r="K23"/>
  <c r="M23"/>
  <c r="H24"/>
  <c r="L24" s="1"/>
  <c r="G25"/>
  <c r="I25"/>
  <c r="K25"/>
  <c r="H26"/>
  <c r="L26" s="1"/>
  <c r="G27"/>
  <c r="I27"/>
  <c r="K27"/>
  <c r="M27"/>
  <c r="H28"/>
  <c r="L28" s="1"/>
  <c r="G29"/>
  <c r="I29"/>
  <c r="K29"/>
  <c r="H30"/>
  <c r="G31"/>
  <c r="I31"/>
  <c r="K31"/>
  <c r="M31"/>
  <c r="H32"/>
  <c r="L32" s="1"/>
  <c r="G33"/>
  <c r="I33"/>
  <c r="K33"/>
  <c r="H34"/>
  <c r="L34" s="1"/>
  <c r="N34" s="1"/>
  <c r="G35"/>
  <c r="I35"/>
  <c r="K35"/>
  <c r="H36"/>
  <c r="L36" s="1"/>
  <c r="G37"/>
  <c r="I37"/>
  <c r="K37"/>
  <c r="M37"/>
  <c r="H38"/>
  <c r="G39"/>
  <c r="I39"/>
  <c r="K39"/>
  <c r="M39"/>
  <c r="H40"/>
  <c r="G41"/>
  <c r="I41"/>
  <c r="K41"/>
  <c r="M41"/>
  <c r="H42"/>
  <c r="G43"/>
  <c r="I43"/>
  <c r="K43"/>
  <c r="M43"/>
  <c r="H44"/>
  <c r="L44" s="1"/>
  <c r="G45"/>
  <c r="I45"/>
  <c r="K45"/>
  <c r="H46"/>
  <c r="L46" s="1"/>
  <c r="N46" s="1"/>
  <c r="G47"/>
  <c r="I47"/>
  <c r="K47"/>
  <c r="H48"/>
  <c r="L48" s="1"/>
  <c r="G49"/>
  <c r="I49"/>
  <c r="K49"/>
  <c r="M49"/>
  <c r="H50"/>
  <c r="G51"/>
  <c r="I51"/>
  <c r="K51"/>
  <c r="M51"/>
  <c r="H52"/>
  <c r="G53"/>
  <c r="I53"/>
  <c r="K53"/>
  <c r="H54"/>
  <c r="L54" s="1"/>
  <c r="G55"/>
  <c r="I55"/>
  <c r="K55"/>
  <c r="M55"/>
  <c r="H56"/>
  <c r="G57"/>
  <c r="I57"/>
  <c r="K57"/>
  <c r="M57"/>
  <c r="H58"/>
  <c r="L58" s="1"/>
  <c r="N58" s="1"/>
  <c r="G59"/>
  <c r="I59"/>
  <c r="K59"/>
  <c r="H60"/>
  <c r="L60" s="1"/>
  <c r="G61"/>
  <c r="I61"/>
  <c r="K61"/>
  <c r="M61"/>
  <c r="H62"/>
  <c r="G63"/>
  <c r="I63"/>
  <c r="K63"/>
  <c r="H64"/>
  <c r="G65"/>
  <c r="I65"/>
  <c r="K65"/>
  <c r="M65"/>
  <c r="H66"/>
  <c r="G67"/>
  <c r="I67"/>
  <c r="K67"/>
  <c r="M67"/>
  <c r="H68"/>
  <c r="G69"/>
  <c r="I69"/>
  <c r="K69"/>
  <c r="M69"/>
  <c r="H70"/>
  <c r="L70" s="1"/>
  <c r="N70" s="1"/>
  <c r="G71"/>
  <c r="I71"/>
  <c r="K71"/>
  <c r="M71"/>
  <c r="H72"/>
  <c r="G73"/>
  <c r="I73"/>
  <c r="K73"/>
  <c r="J75"/>
  <c r="J77"/>
  <c r="J79"/>
  <c r="J81"/>
  <c r="J83"/>
  <c r="J85"/>
  <c r="J87"/>
  <c r="J89"/>
  <c r="J91"/>
  <c r="J93"/>
  <c r="J95"/>
  <c r="J97"/>
  <c r="J145" s="1"/>
  <c r="J143" s="1"/>
  <c r="J99"/>
  <c r="N6"/>
  <c r="N4"/>
  <c r="N5" s="1"/>
  <c r="N7"/>
  <c r="H19"/>
  <c r="H27"/>
  <c r="H29"/>
  <c r="H31"/>
  <c r="H39"/>
  <c r="H45"/>
  <c r="H47"/>
  <c r="H49"/>
  <c r="H51"/>
  <c r="H53"/>
  <c r="H55"/>
  <c r="H57"/>
  <c r="H59"/>
  <c r="H61"/>
  <c r="H63"/>
  <c r="H65"/>
  <c r="H67"/>
  <c r="H69"/>
  <c r="H71"/>
  <c r="H73"/>
  <c r="J73"/>
  <c r="H74"/>
  <c r="H76"/>
  <c r="H78"/>
  <c r="L78" s="1"/>
  <c r="H80"/>
  <c r="H82"/>
  <c r="H84"/>
  <c r="L84" s="1"/>
  <c r="H86"/>
  <c r="L86" s="1"/>
  <c r="H88"/>
  <c r="H90"/>
  <c r="H92"/>
  <c r="H94"/>
  <c r="L94" s="1"/>
  <c r="H96"/>
  <c r="H98"/>
  <c r="H100"/>
  <c r="L100" s="1"/>
  <c r="G101"/>
  <c r="I101"/>
  <c r="K101"/>
  <c r="M101"/>
  <c r="H102"/>
  <c r="L102" s="1"/>
  <c r="N102" s="1"/>
  <c r="G103"/>
  <c r="I103"/>
  <c r="K103"/>
  <c r="M103"/>
  <c r="H104"/>
  <c r="L104" s="1"/>
  <c r="N104" s="1"/>
  <c r="G105"/>
  <c r="I105"/>
  <c r="K105"/>
  <c r="M105"/>
  <c r="H106"/>
  <c r="L106" s="1"/>
  <c r="G107"/>
  <c r="I107"/>
  <c r="K107"/>
  <c r="M107"/>
  <c r="H108"/>
  <c r="G109"/>
  <c r="I109"/>
  <c r="K109"/>
  <c r="M109"/>
  <c r="H110"/>
  <c r="L110" s="1"/>
  <c r="N110" s="1"/>
  <c r="G111"/>
  <c r="I111"/>
  <c r="K111"/>
  <c r="H112"/>
  <c r="L112" s="1"/>
  <c r="N112" s="1"/>
  <c r="G113"/>
  <c r="I113"/>
  <c r="K113"/>
  <c r="H114"/>
  <c r="L114" s="1"/>
  <c r="N114" s="1"/>
  <c r="G115"/>
  <c r="I115"/>
  <c r="K115"/>
  <c r="H116"/>
  <c r="L116" s="1"/>
  <c r="N116" s="1"/>
  <c r="G117"/>
  <c r="I117"/>
  <c r="K117"/>
  <c r="M117"/>
  <c r="H118"/>
  <c r="G119"/>
  <c r="I119"/>
  <c r="K119"/>
  <c r="M119"/>
  <c r="H120"/>
  <c r="L120" s="1"/>
  <c r="N120" s="1"/>
  <c r="G121"/>
  <c r="I121"/>
  <c r="K121"/>
  <c r="H122"/>
  <c r="L122" s="1"/>
  <c r="N122" s="1"/>
  <c r="G123"/>
  <c r="I123"/>
  <c r="K123"/>
  <c r="H124"/>
  <c r="G125"/>
  <c r="I125"/>
  <c r="K125"/>
  <c r="H126"/>
  <c r="L126" s="1"/>
  <c r="N126" s="1"/>
  <c r="G127"/>
  <c r="I127"/>
  <c r="K127"/>
  <c r="M127"/>
  <c r="H128"/>
  <c r="G129"/>
  <c r="I129"/>
  <c r="K129"/>
  <c r="H130"/>
  <c r="G131"/>
  <c r="I131"/>
  <c r="K131"/>
  <c r="M131"/>
  <c r="H132"/>
  <c r="L132" s="1"/>
  <c r="G133"/>
  <c r="I133"/>
  <c r="K133"/>
  <c r="M133"/>
  <c r="H134"/>
  <c r="G135"/>
  <c r="I135"/>
  <c r="K135"/>
  <c r="M135"/>
  <c r="H136"/>
  <c r="J136"/>
  <c r="H101"/>
  <c r="H103"/>
  <c r="H105"/>
  <c r="H107"/>
  <c r="H109"/>
  <c r="H111"/>
  <c r="H113"/>
  <c r="H115"/>
  <c r="H117"/>
  <c r="H119"/>
  <c r="H121"/>
  <c r="H123"/>
  <c r="H125"/>
  <c r="H127"/>
  <c r="H129"/>
  <c r="H131"/>
  <c r="H133"/>
  <c r="H135"/>
  <c r="I136"/>
  <c r="K136"/>
  <c r="L128" l="1"/>
  <c r="L108"/>
  <c r="N100"/>
  <c r="G146"/>
  <c r="L124"/>
  <c r="L98"/>
  <c r="N98" s="1"/>
  <c r="L90"/>
  <c r="N90" s="1"/>
  <c r="L82"/>
  <c r="N82" s="1"/>
  <c r="L74"/>
  <c r="L66"/>
  <c r="L52"/>
  <c r="L40"/>
  <c r="N40" s="1"/>
  <c r="G144"/>
  <c r="G145"/>
  <c r="L134"/>
  <c r="L22"/>
  <c r="L20"/>
  <c r="J152"/>
  <c r="BB12" i="20"/>
  <c r="J148" i="9"/>
  <c r="L136"/>
  <c r="K146"/>
  <c r="L129"/>
  <c r="K145"/>
  <c r="K143" s="1"/>
  <c r="L109"/>
  <c r="L101"/>
  <c r="K153"/>
  <c r="BC22" i="20" s="1"/>
  <c r="BB22"/>
  <c r="K140" i="9"/>
  <c r="J144"/>
  <c r="H140"/>
  <c r="H144"/>
  <c r="I146"/>
  <c r="L130"/>
  <c r="L125"/>
  <c r="I145"/>
  <c r="I143" s="1"/>
  <c r="N108"/>
  <c r="L92"/>
  <c r="N84"/>
  <c r="L76"/>
  <c r="L68"/>
  <c r="N68" s="1"/>
  <c r="L56"/>
  <c r="N56" s="1"/>
  <c r="L42"/>
  <c r="L30"/>
  <c r="I144"/>
  <c r="I140"/>
  <c r="G143"/>
  <c r="L105"/>
  <c r="BB18" i="20"/>
  <c r="G140" i="9"/>
  <c r="H146"/>
  <c r="L146" s="1"/>
  <c r="BB17" i="20" s="1"/>
  <c r="H145" i="9"/>
  <c r="H143" s="1"/>
  <c r="N134"/>
  <c r="L133"/>
  <c r="N133" s="1"/>
  <c r="L118"/>
  <c r="L117"/>
  <c r="L113"/>
  <c r="L96"/>
  <c r="N96" s="1"/>
  <c r="L88"/>
  <c r="L80"/>
  <c r="N80" s="1"/>
  <c r="L72"/>
  <c r="N72" s="1"/>
  <c r="L64"/>
  <c r="L62"/>
  <c r="N62" s="1"/>
  <c r="L50"/>
  <c r="N50" s="1"/>
  <c r="L38"/>
  <c r="L18"/>
  <c r="L12"/>
  <c r="J140"/>
  <c r="F141" i="10"/>
  <c r="BM9" i="20" s="1"/>
  <c r="BM27" s="1"/>
  <c r="BM45" s="1"/>
  <c r="H154" i="9"/>
  <c r="BB39" i="20"/>
  <c r="BB40" s="1"/>
  <c r="BB41" s="1"/>
  <c r="L147" i="9"/>
  <c r="N109"/>
  <c r="N105"/>
  <c r="M132"/>
  <c r="N132" s="1"/>
  <c r="M130"/>
  <c r="N130" s="1"/>
  <c r="M128"/>
  <c r="M124"/>
  <c r="M118"/>
  <c r="N118" s="1"/>
  <c r="M106"/>
  <c r="M86"/>
  <c r="N86" s="1"/>
  <c r="M82"/>
  <c r="M76"/>
  <c r="M60"/>
  <c r="M52"/>
  <c r="N52" s="1"/>
  <c r="M42"/>
  <c r="M36"/>
  <c r="N36" s="1"/>
  <c r="M32"/>
  <c r="M20"/>
  <c r="N20" s="1"/>
  <c r="M28"/>
  <c r="M26"/>
  <c r="N26" s="1"/>
  <c r="M54"/>
  <c r="N54" s="1"/>
  <c r="M38"/>
  <c r="M22"/>
  <c r="M18"/>
  <c r="N128"/>
  <c r="M125"/>
  <c r="N124"/>
  <c r="M115"/>
  <c r="N60"/>
  <c r="M53"/>
  <c r="N32"/>
  <c r="M21"/>
  <c r="M83"/>
  <c r="M79"/>
  <c r="M136"/>
  <c r="M123"/>
  <c r="M111"/>
  <c r="N106"/>
  <c r="M63"/>
  <c r="M59"/>
  <c r="N42"/>
  <c r="N28"/>
  <c r="M17"/>
  <c r="M95"/>
  <c r="BM29" i="20"/>
  <c r="M40"/>
  <c r="M41" s="1"/>
  <c r="N39"/>
  <c r="N40" s="1"/>
  <c r="N41" s="1"/>
  <c r="H39"/>
  <c r="J39" s="1"/>
  <c r="BL32"/>
  <c r="BL46" s="1"/>
  <c r="BL47" s="1"/>
  <c r="BM32"/>
  <c r="BM14"/>
  <c r="N117" i="9"/>
  <c r="N125"/>
  <c r="N101"/>
  <c r="M94"/>
  <c r="N94" s="1"/>
  <c r="M92"/>
  <c r="N92" s="1"/>
  <c r="M88"/>
  <c r="M78"/>
  <c r="N78" s="1"/>
  <c r="M74"/>
  <c r="N74" s="1"/>
  <c r="M66"/>
  <c r="N66" s="1"/>
  <c r="M64"/>
  <c r="M48"/>
  <c r="N48" s="1"/>
  <c r="M44"/>
  <c r="N44" s="1"/>
  <c r="M30"/>
  <c r="M16"/>
  <c r="M14"/>
  <c r="N14" s="1"/>
  <c r="M12"/>
  <c r="M24"/>
  <c r="N24" s="1"/>
  <c r="L73"/>
  <c r="N73" s="1"/>
  <c r="L69"/>
  <c r="N69" s="1"/>
  <c r="L65"/>
  <c r="N65" s="1"/>
  <c r="L61"/>
  <c r="N61" s="1"/>
  <c r="L57"/>
  <c r="N57" s="1"/>
  <c r="L53"/>
  <c r="N53" s="1"/>
  <c r="L49"/>
  <c r="N49" s="1"/>
  <c r="M47"/>
  <c r="L45"/>
  <c r="L41"/>
  <c r="N41" s="1"/>
  <c r="L37"/>
  <c r="N37" s="1"/>
  <c r="M35"/>
  <c r="L31"/>
  <c r="N31" s="1"/>
  <c r="M29"/>
  <c r="L27"/>
  <c r="N27" s="1"/>
  <c r="M25"/>
  <c r="L23"/>
  <c r="N23" s="1"/>
  <c r="L19"/>
  <c r="M15"/>
  <c r="L13"/>
  <c r="N13" s="1"/>
  <c r="L11"/>
  <c r="M99"/>
  <c r="M93"/>
  <c r="M75"/>
  <c r="M11"/>
  <c r="L121"/>
  <c r="L135"/>
  <c r="N135" s="1"/>
  <c r="L131"/>
  <c r="N131" s="1"/>
  <c r="M129"/>
  <c r="N129" s="1"/>
  <c r="L127"/>
  <c r="N127" s="1"/>
  <c r="L123"/>
  <c r="M121"/>
  <c r="L119"/>
  <c r="N119" s="1"/>
  <c r="L115"/>
  <c r="M113"/>
  <c r="N113" s="1"/>
  <c r="L111"/>
  <c r="N111" s="1"/>
  <c r="L107"/>
  <c r="N107" s="1"/>
  <c r="L103"/>
  <c r="N103" s="1"/>
  <c r="L71"/>
  <c r="N71" s="1"/>
  <c r="L67"/>
  <c r="N67" s="1"/>
  <c r="L63"/>
  <c r="L59"/>
  <c r="L55"/>
  <c r="N55" s="1"/>
  <c r="L51"/>
  <c r="N51" s="1"/>
  <c r="L47"/>
  <c r="M45"/>
  <c r="L43"/>
  <c r="N43" s="1"/>
  <c r="L39"/>
  <c r="N39" s="1"/>
  <c r="L35"/>
  <c r="L33"/>
  <c r="N33" s="1"/>
  <c r="L29"/>
  <c r="L25"/>
  <c r="N25" s="1"/>
  <c r="L21"/>
  <c r="M19"/>
  <c r="L17"/>
  <c r="L15"/>
  <c r="L99"/>
  <c r="L97"/>
  <c r="N97" s="1"/>
  <c r="L95"/>
  <c r="L93"/>
  <c r="L91"/>
  <c r="N91" s="1"/>
  <c r="L89"/>
  <c r="N89" s="1"/>
  <c r="L87"/>
  <c r="N87" s="1"/>
  <c r="L85"/>
  <c r="N85" s="1"/>
  <c r="L83"/>
  <c r="N83" s="1"/>
  <c r="L81"/>
  <c r="N81" s="1"/>
  <c r="L79"/>
  <c r="L77"/>
  <c r="N77" s="1"/>
  <c r="L75"/>
  <c r="N63" l="1"/>
  <c r="N88"/>
  <c r="N22"/>
  <c r="N18"/>
  <c r="L145"/>
  <c r="BB8" i="20" s="1"/>
  <c r="N30" i="9"/>
  <c r="N38"/>
  <c r="N12"/>
  <c r="N136"/>
  <c r="N115"/>
  <c r="K141" i="10"/>
  <c r="K144" s="1"/>
  <c r="N76" i="9"/>
  <c r="H152"/>
  <c r="BB10" i="20"/>
  <c r="H148" i="9"/>
  <c r="BC39" i="20"/>
  <c r="BC40" s="1"/>
  <c r="BC41" s="1"/>
  <c r="L154" i="9"/>
  <c r="G148"/>
  <c r="BB9" i="20"/>
  <c r="BB27" s="1"/>
  <c r="L143" i="9"/>
  <c r="I153"/>
  <c r="BC20" i="20" s="1"/>
  <c r="BB20"/>
  <c r="N95" i="9"/>
  <c r="L144"/>
  <c r="BB26" i="20"/>
  <c r="I152" i="9"/>
  <c r="BB11" i="20"/>
  <c r="BB29" s="1"/>
  <c r="I148" i="9"/>
  <c r="H153"/>
  <c r="BB19" i="20"/>
  <c r="K152" i="9"/>
  <c r="BB13" i="20"/>
  <c r="BB31" s="1"/>
  <c r="K148" i="9"/>
  <c r="N59"/>
  <c r="L140"/>
  <c r="N64"/>
  <c r="F144" i="10"/>
  <c r="BM15" i="20"/>
  <c r="J153" i="9"/>
  <c r="BC21" i="20" s="1"/>
  <c r="BB21"/>
  <c r="BB30" s="1"/>
  <c r="BC12"/>
  <c r="D152" i="9"/>
  <c r="N75"/>
  <c r="N79"/>
  <c r="N99"/>
  <c r="N17"/>
  <c r="N21"/>
  <c r="N29"/>
  <c r="N35"/>
  <c r="N47"/>
  <c r="N123"/>
  <c r="E143"/>
  <c r="N16"/>
  <c r="E147"/>
  <c r="E144"/>
  <c r="G39" i="26"/>
  <c r="J40" i="20"/>
  <c r="F39" i="26"/>
  <c r="F40" s="1"/>
  <c r="F41" s="1"/>
  <c r="K39" i="20"/>
  <c r="H40"/>
  <c r="H41" s="1"/>
  <c r="BL33"/>
  <c r="BL43" s="1"/>
  <c r="BM46"/>
  <c r="BM47" s="1"/>
  <c r="BM33"/>
  <c r="BM43" s="1"/>
  <c r="N93" i="9"/>
  <c r="N15"/>
  <c r="N121"/>
  <c r="M138"/>
  <c r="N11"/>
  <c r="N45"/>
  <c r="N19"/>
  <c r="BB45" i="20" l="1"/>
  <c r="BB23"/>
  <c r="BB24" s="1"/>
  <c r="L148" i="9"/>
  <c r="J155"/>
  <c r="BC19" i="20"/>
  <c r="BC23" s="1"/>
  <c r="G153" i="9"/>
  <c r="K155"/>
  <c r="BC13" i="20"/>
  <c r="BC31" s="1"/>
  <c r="H155" i="9"/>
  <c r="BC10" i="20"/>
  <c r="BC30"/>
  <c r="I155" i="9"/>
  <c r="BC11" i="20"/>
  <c r="BC29" s="1"/>
  <c r="BB28"/>
  <c r="BB32" s="1"/>
  <c r="BB14"/>
  <c r="BB15" s="1"/>
  <c r="BB52"/>
  <c r="E148" i="9"/>
  <c r="E152" s="1"/>
  <c r="BB50" i="20"/>
  <c r="BB51"/>
  <c r="J41"/>
  <c r="H39" i="26"/>
  <c r="H40" s="1"/>
  <c r="H41" s="1"/>
  <c r="G40"/>
  <c r="G41" s="1"/>
  <c r="I39"/>
  <c r="K40" i="20"/>
  <c r="K41" s="1"/>
  <c r="G40"/>
  <c r="G41" s="1"/>
  <c r="B5" i="25"/>
  <c r="N138" i="9"/>
  <c r="E153" l="1"/>
  <c r="BC51" i="20" s="1"/>
  <c r="E154" i="9"/>
  <c r="BC52" i="20" s="1"/>
  <c r="BB46"/>
  <c r="BB47" s="1"/>
  <c r="BB33"/>
  <c r="BB43" s="1"/>
  <c r="BC14"/>
  <c r="BC28"/>
  <c r="BC32" s="1"/>
  <c r="L153" i="9"/>
  <c r="BC18" i="20"/>
  <c r="BC24" s="1"/>
  <c r="G152" i="9"/>
  <c r="BC50" i="20"/>
  <c r="E155" i="9"/>
  <c r="BB53" i="20"/>
  <c r="K39" i="26"/>
  <c r="I40"/>
  <c r="I41" s="1"/>
  <c r="F136" i="8"/>
  <c r="G136" s="1"/>
  <c r="F135"/>
  <c r="J135" s="1"/>
  <c r="F134"/>
  <c r="J134" s="1"/>
  <c r="F133"/>
  <c r="J133" s="1"/>
  <c r="F132"/>
  <c r="J132" s="1"/>
  <c r="F131"/>
  <c r="J131" s="1"/>
  <c r="F130"/>
  <c r="J130" s="1"/>
  <c r="F129"/>
  <c r="J129" s="1"/>
  <c r="F128"/>
  <c r="J128" s="1"/>
  <c r="F127"/>
  <c r="J127" s="1"/>
  <c r="F126"/>
  <c r="J126" s="1"/>
  <c r="F125"/>
  <c r="J125" s="1"/>
  <c r="F124"/>
  <c r="J124" s="1"/>
  <c r="F123"/>
  <c r="J123" s="1"/>
  <c r="F122"/>
  <c r="J122" s="1"/>
  <c r="F121"/>
  <c r="J121" s="1"/>
  <c r="G120"/>
  <c r="F120"/>
  <c r="J120" s="1"/>
  <c r="F119"/>
  <c r="J119" s="1"/>
  <c r="F118"/>
  <c r="J118" s="1"/>
  <c r="F117"/>
  <c r="J117" s="1"/>
  <c r="F116"/>
  <c r="J116" s="1"/>
  <c r="F115"/>
  <c r="J115" s="1"/>
  <c r="F114"/>
  <c r="J114" s="1"/>
  <c r="F113"/>
  <c r="J113" s="1"/>
  <c r="F112"/>
  <c r="J112" s="1"/>
  <c r="F111"/>
  <c r="J111" s="1"/>
  <c r="F110"/>
  <c r="J110" s="1"/>
  <c r="F109"/>
  <c r="J109" s="1"/>
  <c r="F108"/>
  <c r="J108" s="1"/>
  <c r="F107"/>
  <c r="J107" s="1"/>
  <c r="F106"/>
  <c r="J106" s="1"/>
  <c r="F105"/>
  <c r="J105" s="1"/>
  <c r="F104"/>
  <c r="J104" s="1"/>
  <c r="F103"/>
  <c r="J103" s="1"/>
  <c r="F102"/>
  <c r="J102" s="1"/>
  <c r="F101"/>
  <c r="H101" s="1"/>
  <c r="F100"/>
  <c r="J100" s="1"/>
  <c r="F99"/>
  <c r="H99" s="1"/>
  <c r="F98"/>
  <c r="J98" s="1"/>
  <c r="F97"/>
  <c r="H97" s="1"/>
  <c r="F96"/>
  <c r="J96" s="1"/>
  <c r="F95"/>
  <c r="H95" s="1"/>
  <c r="F94"/>
  <c r="J94" s="1"/>
  <c r="F93"/>
  <c r="H93" s="1"/>
  <c r="F92"/>
  <c r="J92" s="1"/>
  <c r="F91"/>
  <c r="H91" s="1"/>
  <c r="F90"/>
  <c r="J90" s="1"/>
  <c r="F89"/>
  <c r="H89" s="1"/>
  <c r="F88"/>
  <c r="J88" s="1"/>
  <c r="F87"/>
  <c r="H87" s="1"/>
  <c r="F86"/>
  <c r="J86" s="1"/>
  <c r="F85"/>
  <c r="H85" s="1"/>
  <c r="F84"/>
  <c r="J84" s="1"/>
  <c r="F83"/>
  <c r="H83" s="1"/>
  <c r="F82"/>
  <c r="J82" s="1"/>
  <c r="F81"/>
  <c r="H81" s="1"/>
  <c r="F80"/>
  <c r="J80" s="1"/>
  <c r="F79"/>
  <c r="H79" s="1"/>
  <c r="F78"/>
  <c r="J78" s="1"/>
  <c r="F77"/>
  <c r="H77" s="1"/>
  <c r="F76"/>
  <c r="J76" s="1"/>
  <c r="F75"/>
  <c r="H75" s="1"/>
  <c r="F74"/>
  <c r="J74" s="1"/>
  <c r="F73"/>
  <c r="M73" s="1"/>
  <c r="F72"/>
  <c r="J72" s="1"/>
  <c r="F71"/>
  <c r="J71" s="1"/>
  <c r="F70"/>
  <c r="J70" s="1"/>
  <c r="F69"/>
  <c r="J69" s="1"/>
  <c r="F68"/>
  <c r="J68" s="1"/>
  <c r="F67"/>
  <c r="J67" s="1"/>
  <c r="F66"/>
  <c r="J66" s="1"/>
  <c r="F65"/>
  <c r="J65" s="1"/>
  <c r="F64"/>
  <c r="J64" s="1"/>
  <c r="F63"/>
  <c r="J63" s="1"/>
  <c r="F62"/>
  <c r="J62" s="1"/>
  <c r="F61"/>
  <c r="J61" s="1"/>
  <c r="F60"/>
  <c r="J60" s="1"/>
  <c r="F59"/>
  <c r="J59" s="1"/>
  <c r="F58"/>
  <c r="J58" s="1"/>
  <c r="F57"/>
  <c r="J57" s="1"/>
  <c r="F56"/>
  <c r="J56" s="1"/>
  <c r="F55"/>
  <c r="J55" s="1"/>
  <c r="F54"/>
  <c r="J54" s="1"/>
  <c r="F53"/>
  <c r="J53" s="1"/>
  <c r="F52"/>
  <c r="J52" s="1"/>
  <c r="F51"/>
  <c r="J51" s="1"/>
  <c r="F50"/>
  <c r="J50" s="1"/>
  <c r="F49"/>
  <c r="J49" s="1"/>
  <c r="F48"/>
  <c r="J48" s="1"/>
  <c r="F47"/>
  <c r="J47" s="1"/>
  <c r="F46"/>
  <c r="J46" s="1"/>
  <c r="F45"/>
  <c r="H45" s="1"/>
  <c r="F44"/>
  <c r="J44" s="1"/>
  <c r="F43"/>
  <c r="H43" s="1"/>
  <c r="F42"/>
  <c r="J42" s="1"/>
  <c r="F41"/>
  <c r="J41" s="1"/>
  <c r="F40"/>
  <c r="J40" s="1"/>
  <c r="F39"/>
  <c r="M39" s="1"/>
  <c r="F38"/>
  <c r="J38" s="1"/>
  <c r="F37"/>
  <c r="H37" s="1"/>
  <c r="F36"/>
  <c r="J36" s="1"/>
  <c r="F35"/>
  <c r="F34"/>
  <c r="J34" s="1"/>
  <c r="F33"/>
  <c r="M33" s="1"/>
  <c r="F32"/>
  <c r="J32" s="1"/>
  <c r="F31"/>
  <c r="H31" s="1"/>
  <c r="F30"/>
  <c r="J30" s="1"/>
  <c r="F29"/>
  <c r="J29" s="1"/>
  <c r="F28"/>
  <c r="J28" s="1"/>
  <c r="F27"/>
  <c r="H27" s="1"/>
  <c r="F26"/>
  <c r="J26" s="1"/>
  <c r="F25"/>
  <c r="J25" s="1"/>
  <c r="F24"/>
  <c r="J24" s="1"/>
  <c r="F23"/>
  <c r="M23" s="1"/>
  <c r="F22"/>
  <c r="J22" s="1"/>
  <c r="F21"/>
  <c r="H21" s="1"/>
  <c r="F20"/>
  <c r="J20" s="1"/>
  <c r="F19"/>
  <c r="J19" s="1"/>
  <c r="F18"/>
  <c r="J18" s="1"/>
  <c r="F17"/>
  <c r="J17" s="1"/>
  <c r="F16"/>
  <c r="G152" s="1"/>
  <c r="AY38" i="20" s="1"/>
  <c r="AA38" s="1"/>
  <c r="F15" i="8"/>
  <c r="H15" s="1"/>
  <c r="F14"/>
  <c r="J14" s="1"/>
  <c r="F13"/>
  <c r="M13" s="1"/>
  <c r="F12"/>
  <c r="J12" s="1"/>
  <c r="F11"/>
  <c r="E7"/>
  <c r="G106" l="1"/>
  <c r="BC9" i="20"/>
  <c r="BC27" s="1"/>
  <c r="BC45" s="1"/>
  <c r="L152" i="9"/>
  <c r="L155" s="1"/>
  <c r="G155"/>
  <c r="H16" i="8"/>
  <c r="G86"/>
  <c r="G94"/>
  <c r="G114"/>
  <c r="G128"/>
  <c r="G90"/>
  <c r="G98"/>
  <c r="BC46" i="20"/>
  <c r="BC53"/>
  <c r="K40" i="26"/>
  <c r="K41" s="1"/>
  <c r="L39"/>
  <c r="G12" i="8"/>
  <c r="G104"/>
  <c r="G112"/>
  <c r="G116"/>
  <c r="G124"/>
  <c r="G132"/>
  <c r="K20"/>
  <c r="K24"/>
  <c r="K28"/>
  <c r="K32"/>
  <c r="K38"/>
  <c r="K44"/>
  <c r="K48"/>
  <c r="K54"/>
  <c r="K60"/>
  <c r="K64"/>
  <c r="K68"/>
  <c r="K70"/>
  <c r="K72"/>
  <c r="K88"/>
  <c r="K92"/>
  <c r="K96"/>
  <c r="K12"/>
  <c r="G20"/>
  <c r="G24"/>
  <c r="G28"/>
  <c r="G32"/>
  <c r="G38"/>
  <c r="G44"/>
  <c r="G48"/>
  <c r="G54"/>
  <c r="G60"/>
  <c r="G64"/>
  <c r="G68"/>
  <c r="G70"/>
  <c r="G72"/>
  <c r="K86"/>
  <c r="G88"/>
  <c r="K90"/>
  <c r="G92"/>
  <c r="K94"/>
  <c r="G96"/>
  <c r="K98"/>
  <c r="K104"/>
  <c r="K106"/>
  <c r="K112"/>
  <c r="K114"/>
  <c r="K116"/>
  <c r="K120"/>
  <c r="K124"/>
  <c r="K128"/>
  <c r="K132"/>
  <c r="F140"/>
  <c r="L16"/>
  <c r="H147"/>
  <c r="I14"/>
  <c r="I18"/>
  <c r="I22"/>
  <c r="I26"/>
  <c r="I30"/>
  <c r="I34"/>
  <c r="M34"/>
  <c r="I36"/>
  <c r="I40"/>
  <c r="M40"/>
  <c r="I42"/>
  <c r="I46"/>
  <c r="I50"/>
  <c r="M50"/>
  <c r="I52"/>
  <c r="I56"/>
  <c r="M56"/>
  <c r="I58"/>
  <c r="I62"/>
  <c r="I66"/>
  <c r="I74"/>
  <c r="I76"/>
  <c r="I78"/>
  <c r="I80"/>
  <c r="I82"/>
  <c r="I84"/>
  <c r="M84"/>
  <c r="I100"/>
  <c r="I102"/>
  <c r="I108"/>
  <c r="M108"/>
  <c r="I110"/>
  <c r="I118"/>
  <c r="I122"/>
  <c r="I126"/>
  <c r="I130"/>
  <c r="I134"/>
  <c r="M134"/>
  <c r="I12"/>
  <c r="G14"/>
  <c r="K14"/>
  <c r="G18"/>
  <c r="K18"/>
  <c r="I20"/>
  <c r="G22"/>
  <c r="K22"/>
  <c r="I24"/>
  <c r="G26"/>
  <c r="K26"/>
  <c r="I28"/>
  <c r="G30"/>
  <c r="K30"/>
  <c r="I32"/>
  <c r="G34"/>
  <c r="K34"/>
  <c r="G36"/>
  <c r="K36"/>
  <c r="I38"/>
  <c r="G40"/>
  <c r="K40"/>
  <c r="G42"/>
  <c r="K42"/>
  <c r="I44"/>
  <c r="G46"/>
  <c r="K46"/>
  <c r="I48"/>
  <c r="G50"/>
  <c r="K50"/>
  <c r="G52"/>
  <c r="K52"/>
  <c r="I54"/>
  <c r="G56"/>
  <c r="K56"/>
  <c r="G58"/>
  <c r="K58"/>
  <c r="I60"/>
  <c r="G62"/>
  <c r="K62"/>
  <c r="I64"/>
  <c r="G66"/>
  <c r="K66"/>
  <c r="I68"/>
  <c r="M68"/>
  <c r="I70"/>
  <c r="M70"/>
  <c r="I72"/>
  <c r="G74"/>
  <c r="K74"/>
  <c r="G76"/>
  <c r="K76"/>
  <c r="G78"/>
  <c r="K78"/>
  <c r="G80"/>
  <c r="K80"/>
  <c r="G82"/>
  <c r="K82"/>
  <c r="G84"/>
  <c r="K84"/>
  <c r="I86"/>
  <c r="I88"/>
  <c r="I90"/>
  <c r="I92"/>
  <c r="I94"/>
  <c r="I96"/>
  <c r="I98"/>
  <c r="M98"/>
  <c r="G100"/>
  <c r="K100"/>
  <c r="G102"/>
  <c r="K102"/>
  <c r="I104"/>
  <c r="M104"/>
  <c r="I106"/>
  <c r="G108"/>
  <c r="K108"/>
  <c r="G110"/>
  <c r="K110"/>
  <c r="I112"/>
  <c r="M112"/>
  <c r="I114"/>
  <c r="M114"/>
  <c r="I116"/>
  <c r="G118"/>
  <c r="K118"/>
  <c r="I120"/>
  <c r="G122"/>
  <c r="K122"/>
  <c r="I124"/>
  <c r="G126"/>
  <c r="K126"/>
  <c r="I128"/>
  <c r="G130"/>
  <c r="K130"/>
  <c r="I132"/>
  <c r="G134"/>
  <c r="K134"/>
  <c r="J146"/>
  <c r="K75"/>
  <c r="I75"/>
  <c r="G75"/>
  <c r="M77"/>
  <c r="K77"/>
  <c r="I77"/>
  <c r="G77"/>
  <c r="K79"/>
  <c r="I79"/>
  <c r="G79"/>
  <c r="M81"/>
  <c r="K81"/>
  <c r="I81"/>
  <c r="G81"/>
  <c r="K83"/>
  <c r="I83"/>
  <c r="G83"/>
  <c r="K85"/>
  <c r="I85"/>
  <c r="G85"/>
  <c r="K87"/>
  <c r="I87"/>
  <c r="G87"/>
  <c r="K89"/>
  <c r="I89"/>
  <c r="G89"/>
  <c r="M91"/>
  <c r="K91"/>
  <c r="I91"/>
  <c r="G91"/>
  <c r="K93"/>
  <c r="I93"/>
  <c r="G93"/>
  <c r="K95"/>
  <c r="I95"/>
  <c r="G95"/>
  <c r="M97"/>
  <c r="K97"/>
  <c r="I97"/>
  <c r="G97"/>
  <c r="K99"/>
  <c r="I99"/>
  <c r="G99"/>
  <c r="K101"/>
  <c r="I101"/>
  <c r="G101"/>
  <c r="H11"/>
  <c r="H13"/>
  <c r="J13"/>
  <c r="J15"/>
  <c r="H19"/>
  <c r="J21"/>
  <c r="H23"/>
  <c r="J23"/>
  <c r="H25"/>
  <c r="J27"/>
  <c r="H29"/>
  <c r="J31"/>
  <c r="H33"/>
  <c r="J33"/>
  <c r="H35"/>
  <c r="J35"/>
  <c r="J37"/>
  <c r="H39"/>
  <c r="J39"/>
  <c r="H41"/>
  <c r="J43"/>
  <c r="J45"/>
  <c r="G11"/>
  <c r="I11"/>
  <c r="K11"/>
  <c r="H12"/>
  <c r="G13"/>
  <c r="I13"/>
  <c r="K13"/>
  <c r="H14"/>
  <c r="G15"/>
  <c r="I15"/>
  <c r="K15"/>
  <c r="G17"/>
  <c r="I17"/>
  <c r="K17"/>
  <c r="H18"/>
  <c r="G19"/>
  <c r="I19"/>
  <c r="K19"/>
  <c r="H20"/>
  <c r="G21"/>
  <c r="I21"/>
  <c r="K21"/>
  <c r="H22"/>
  <c r="G23"/>
  <c r="I23"/>
  <c r="K23"/>
  <c r="H24"/>
  <c r="G25"/>
  <c r="I25"/>
  <c r="K25"/>
  <c r="H26"/>
  <c r="G27"/>
  <c r="I27"/>
  <c r="K27"/>
  <c r="H28"/>
  <c r="G29"/>
  <c r="I29"/>
  <c r="K29"/>
  <c r="H30"/>
  <c r="G31"/>
  <c r="I31"/>
  <c r="K31"/>
  <c r="M31"/>
  <c r="H32"/>
  <c r="G33"/>
  <c r="I33"/>
  <c r="K33"/>
  <c r="H34"/>
  <c r="G35"/>
  <c r="I35"/>
  <c r="K35"/>
  <c r="H36"/>
  <c r="G37"/>
  <c r="I37"/>
  <c r="K37"/>
  <c r="H38"/>
  <c r="G39"/>
  <c r="I39"/>
  <c r="K39"/>
  <c r="H40"/>
  <c r="G41"/>
  <c r="I41"/>
  <c r="K41"/>
  <c r="H42"/>
  <c r="G43"/>
  <c r="I43"/>
  <c r="K43"/>
  <c r="H44"/>
  <c r="G45"/>
  <c r="I45"/>
  <c r="K45"/>
  <c r="H46"/>
  <c r="G47"/>
  <c r="I47"/>
  <c r="K47"/>
  <c r="H48"/>
  <c r="G49"/>
  <c r="I49"/>
  <c r="K49"/>
  <c r="M49"/>
  <c r="H50"/>
  <c r="G51"/>
  <c r="I51"/>
  <c r="K51"/>
  <c r="M51"/>
  <c r="H52"/>
  <c r="G53"/>
  <c r="I53"/>
  <c r="K53"/>
  <c r="H54"/>
  <c r="G55"/>
  <c r="I55"/>
  <c r="K55"/>
  <c r="M55"/>
  <c r="H56"/>
  <c r="G57"/>
  <c r="I57"/>
  <c r="K57"/>
  <c r="M57"/>
  <c r="H58"/>
  <c r="G59"/>
  <c r="I59"/>
  <c r="K59"/>
  <c r="H60"/>
  <c r="G61"/>
  <c r="I61"/>
  <c r="K61"/>
  <c r="M61"/>
  <c r="H62"/>
  <c r="G63"/>
  <c r="I63"/>
  <c r="K63"/>
  <c r="H64"/>
  <c r="G65"/>
  <c r="I65"/>
  <c r="K65"/>
  <c r="M65"/>
  <c r="H66"/>
  <c r="G67"/>
  <c r="I67"/>
  <c r="K67"/>
  <c r="M67"/>
  <c r="H68"/>
  <c r="G69"/>
  <c r="I69"/>
  <c r="K69"/>
  <c r="M69"/>
  <c r="H70"/>
  <c r="G71"/>
  <c r="I71"/>
  <c r="K71"/>
  <c r="H72"/>
  <c r="G73"/>
  <c r="I73"/>
  <c r="K73"/>
  <c r="J75"/>
  <c r="J77"/>
  <c r="J79"/>
  <c r="J81"/>
  <c r="J83"/>
  <c r="J85"/>
  <c r="J87"/>
  <c r="J89"/>
  <c r="J91"/>
  <c r="J93"/>
  <c r="J95"/>
  <c r="J97"/>
  <c r="J99"/>
  <c r="J101"/>
  <c r="N6"/>
  <c r="N4"/>
  <c r="M111" s="1"/>
  <c r="N7"/>
  <c r="J11"/>
  <c r="H17"/>
  <c r="H47"/>
  <c r="H49"/>
  <c r="H51"/>
  <c r="H53"/>
  <c r="H55"/>
  <c r="H57"/>
  <c r="H59"/>
  <c r="H61"/>
  <c r="H63"/>
  <c r="H65"/>
  <c r="H67"/>
  <c r="H69"/>
  <c r="H71"/>
  <c r="H73"/>
  <c r="J73"/>
  <c r="H74"/>
  <c r="H76"/>
  <c r="H78"/>
  <c r="H80"/>
  <c r="H82"/>
  <c r="H84"/>
  <c r="H86"/>
  <c r="H88"/>
  <c r="H90"/>
  <c r="H92"/>
  <c r="H94"/>
  <c r="H96"/>
  <c r="H98"/>
  <c r="H100"/>
  <c r="H102"/>
  <c r="G103"/>
  <c r="I103"/>
  <c r="K103"/>
  <c r="M103"/>
  <c r="H104"/>
  <c r="G105"/>
  <c r="I105"/>
  <c r="K105"/>
  <c r="M105"/>
  <c r="H106"/>
  <c r="G107"/>
  <c r="I107"/>
  <c r="K107"/>
  <c r="M107"/>
  <c r="H108"/>
  <c r="G109"/>
  <c r="I109"/>
  <c r="K109"/>
  <c r="H110"/>
  <c r="G111"/>
  <c r="I111"/>
  <c r="K111"/>
  <c r="H112"/>
  <c r="G113"/>
  <c r="I113"/>
  <c r="K113"/>
  <c r="M113"/>
  <c r="H114"/>
  <c r="G115"/>
  <c r="I115"/>
  <c r="K115"/>
  <c r="H116"/>
  <c r="G117"/>
  <c r="I117"/>
  <c r="K117"/>
  <c r="H118"/>
  <c r="G119"/>
  <c r="I119"/>
  <c r="K119"/>
  <c r="M119"/>
  <c r="H120"/>
  <c r="G121"/>
  <c r="I121"/>
  <c r="K121"/>
  <c r="H122"/>
  <c r="G123"/>
  <c r="I123"/>
  <c r="K123"/>
  <c r="H124"/>
  <c r="G125"/>
  <c r="I125"/>
  <c r="K125"/>
  <c r="H126"/>
  <c r="G127"/>
  <c r="I127"/>
  <c r="K127"/>
  <c r="H128"/>
  <c r="G129"/>
  <c r="I129"/>
  <c r="K129"/>
  <c r="H130"/>
  <c r="G131"/>
  <c r="I131"/>
  <c r="K131"/>
  <c r="M131"/>
  <c r="H132"/>
  <c r="G133"/>
  <c r="I133"/>
  <c r="K133"/>
  <c r="M133"/>
  <c r="H134"/>
  <c r="G135"/>
  <c r="I135"/>
  <c r="K135"/>
  <c r="M135"/>
  <c r="H136"/>
  <c r="J136"/>
  <c r="H103"/>
  <c r="H105"/>
  <c r="H107"/>
  <c r="H109"/>
  <c r="H111"/>
  <c r="H113"/>
  <c r="H115"/>
  <c r="H117"/>
  <c r="H119"/>
  <c r="H121"/>
  <c r="H123"/>
  <c r="H125"/>
  <c r="H127"/>
  <c r="H129"/>
  <c r="H131"/>
  <c r="H133"/>
  <c r="H135"/>
  <c r="I136"/>
  <c r="K136"/>
  <c r="BC33" i="20" l="1"/>
  <c r="BC43" s="1"/>
  <c r="BC47"/>
  <c r="B10" i="25" s="1"/>
  <c r="D10" s="1"/>
  <c r="L128" i="8"/>
  <c r="M125"/>
  <c r="BC15" i="20"/>
  <c r="L112" i="8"/>
  <c r="N112" s="1"/>
  <c r="L68"/>
  <c r="N68" s="1"/>
  <c r="L28"/>
  <c r="L20"/>
  <c r="H152"/>
  <c r="AX39" i="20"/>
  <c r="L147" i="8"/>
  <c r="L124"/>
  <c r="L120"/>
  <c r="L40" i="26"/>
  <c r="L41" s="1"/>
  <c r="M39"/>
  <c r="M40" s="1"/>
  <c r="M41" s="1"/>
  <c r="J145" i="8"/>
  <c r="H146"/>
  <c r="H145"/>
  <c r="K146"/>
  <c r="G146"/>
  <c r="L132"/>
  <c r="M129"/>
  <c r="M121"/>
  <c r="K145"/>
  <c r="G145"/>
  <c r="L145" s="1"/>
  <c r="AX8" i="20" s="1"/>
  <c r="M117" i="8"/>
  <c r="L116"/>
  <c r="L114"/>
  <c r="M109"/>
  <c r="L108"/>
  <c r="N108" s="1"/>
  <c r="L104"/>
  <c r="N104" s="1"/>
  <c r="L100"/>
  <c r="L96"/>
  <c r="L92"/>
  <c r="L88"/>
  <c r="L84"/>
  <c r="N84" s="1"/>
  <c r="L80"/>
  <c r="L76"/>
  <c r="M136"/>
  <c r="L72"/>
  <c r="L70"/>
  <c r="N70" s="1"/>
  <c r="L66"/>
  <c r="L60"/>
  <c r="L58"/>
  <c r="L54"/>
  <c r="L52"/>
  <c r="L48"/>
  <c r="L46"/>
  <c r="L44"/>
  <c r="L42"/>
  <c r="L40"/>
  <c r="N40" s="1"/>
  <c r="L38"/>
  <c r="L36"/>
  <c r="L34"/>
  <c r="N34" s="1"/>
  <c r="L32"/>
  <c r="L14"/>
  <c r="L12"/>
  <c r="J143"/>
  <c r="AX12" i="20" s="1"/>
  <c r="J144" i="8"/>
  <c r="J140"/>
  <c r="I144"/>
  <c r="I140"/>
  <c r="L18"/>
  <c r="H143"/>
  <c r="AX10" i="20" s="1"/>
  <c r="K144" i="8"/>
  <c r="K140"/>
  <c r="G144"/>
  <c r="G140"/>
  <c r="H144"/>
  <c r="H140"/>
  <c r="L136"/>
  <c r="M71"/>
  <c r="K143"/>
  <c r="AX13" i="20" s="1"/>
  <c r="I146" i="8"/>
  <c r="L134"/>
  <c r="N134" s="1"/>
  <c r="L130"/>
  <c r="M127"/>
  <c r="L126"/>
  <c r="M123"/>
  <c r="L122"/>
  <c r="I145"/>
  <c r="I143" s="1"/>
  <c r="AX11" i="20" s="1"/>
  <c r="L118" i="8"/>
  <c r="M115"/>
  <c r="N114"/>
  <c r="L110"/>
  <c r="L106"/>
  <c r="L102"/>
  <c r="L98"/>
  <c r="N98" s="1"/>
  <c r="L94"/>
  <c r="L90"/>
  <c r="L86"/>
  <c r="L82"/>
  <c r="L78"/>
  <c r="L74"/>
  <c r="L64"/>
  <c r="L62"/>
  <c r="L56"/>
  <c r="N56" s="1"/>
  <c r="L50"/>
  <c r="N50" s="1"/>
  <c r="L30"/>
  <c r="L26"/>
  <c r="L24"/>
  <c r="L22"/>
  <c r="M132"/>
  <c r="M130"/>
  <c r="M128"/>
  <c r="N128" s="1"/>
  <c r="M126"/>
  <c r="M124"/>
  <c r="M122"/>
  <c r="M120"/>
  <c r="M118"/>
  <c r="M116"/>
  <c r="M110"/>
  <c r="N110" s="1"/>
  <c r="M106"/>
  <c r="N106" s="1"/>
  <c r="M102"/>
  <c r="N5"/>
  <c r="M100"/>
  <c r="N100" s="1"/>
  <c r="M96"/>
  <c r="M94"/>
  <c r="M92"/>
  <c r="N92" s="1"/>
  <c r="M90"/>
  <c r="M88"/>
  <c r="M86"/>
  <c r="M82"/>
  <c r="M80"/>
  <c r="M78"/>
  <c r="M76"/>
  <c r="N76" s="1"/>
  <c r="M74"/>
  <c r="M72"/>
  <c r="N72" s="1"/>
  <c r="M66"/>
  <c r="N66" s="1"/>
  <c r="M64"/>
  <c r="M62"/>
  <c r="M60"/>
  <c r="M58"/>
  <c r="N58" s="1"/>
  <c r="M54"/>
  <c r="M52"/>
  <c r="N52" s="1"/>
  <c r="M48"/>
  <c r="M46"/>
  <c r="N46" s="1"/>
  <c r="M44"/>
  <c r="M42"/>
  <c r="N42" s="1"/>
  <c r="M36"/>
  <c r="M30"/>
  <c r="N30" s="1"/>
  <c r="M26"/>
  <c r="M20"/>
  <c r="N20" s="1"/>
  <c r="M18"/>
  <c r="M16"/>
  <c r="M14"/>
  <c r="N14" s="1"/>
  <c r="M38"/>
  <c r="N38" s="1"/>
  <c r="M32"/>
  <c r="M28"/>
  <c r="N28" s="1"/>
  <c r="M24"/>
  <c r="M22"/>
  <c r="M12"/>
  <c r="L133"/>
  <c r="N133" s="1"/>
  <c r="L129"/>
  <c r="N129" s="1"/>
  <c r="L125"/>
  <c r="N125" s="1"/>
  <c r="L117"/>
  <c r="N117" s="1"/>
  <c r="L113"/>
  <c r="N113" s="1"/>
  <c r="L109"/>
  <c r="L105"/>
  <c r="N105" s="1"/>
  <c r="L135"/>
  <c r="N135" s="1"/>
  <c r="L131"/>
  <c r="N131" s="1"/>
  <c r="L127"/>
  <c r="L123"/>
  <c r="N123" s="1"/>
  <c r="L119"/>
  <c r="N119" s="1"/>
  <c r="L115"/>
  <c r="N115" s="1"/>
  <c r="L111"/>
  <c r="N111" s="1"/>
  <c r="L107"/>
  <c r="N107" s="1"/>
  <c r="L103"/>
  <c r="N103" s="1"/>
  <c r="L71"/>
  <c r="L67"/>
  <c r="N67" s="1"/>
  <c r="L63"/>
  <c r="L59"/>
  <c r="L55"/>
  <c r="N55" s="1"/>
  <c r="M53"/>
  <c r="L51"/>
  <c r="N51" s="1"/>
  <c r="L47"/>
  <c r="M45"/>
  <c r="L43"/>
  <c r="M41"/>
  <c r="L37"/>
  <c r="L35"/>
  <c r="L33"/>
  <c r="N33" s="1"/>
  <c r="L29"/>
  <c r="M27"/>
  <c r="L25"/>
  <c r="L23"/>
  <c r="N23" s="1"/>
  <c r="M21"/>
  <c r="L19"/>
  <c r="M17"/>
  <c r="M15"/>
  <c r="L101"/>
  <c r="L99"/>
  <c r="L97"/>
  <c r="N97" s="1"/>
  <c r="L95"/>
  <c r="L93"/>
  <c r="L91"/>
  <c r="N91" s="1"/>
  <c r="L89"/>
  <c r="L87"/>
  <c r="L85"/>
  <c r="L83"/>
  <c r="L81"/>
  <c r="N81" s="1"/>
  <c r="L79"/>
  <c r="L77"/>
  <c r="N77" s="1"/>
  <c r="L75"/>
  <c r="M35"/>
  <c r="L121"/>
  <c r="L73"/>
  <c r="N73" s="1"/>
  <c r="L69"/>
  <c r="N69" s="1"/>
  <c r="L65"/>
  <c r="N65" s="1"/>
  <c r="M63"/>
  <c r="L61"/>
  <c r="N61" s="1"/>
  <c r="M59"/>
  <c r="L57"/>
  <c r="N57" s="1"/>
  <c r="L53"/>
  <c r="L49"/>
  <c r="N49" s="1"/>
  <c r="M47"/>
  <c r="L45"/>
  <c r="M43"/>
  <c r="L41"/>
  <c r="L39"/>
  <c r="N39" s="1"/>
  <c r="M37"/>
  <c r="L31"/>
  <c r="N31" s="1"/>
  <c r="M29"/>
  <c r="L27"/>
  <c r="M25"/>
  <c r="L21"/>
  <c r="M19"/>
  <c r="L17"/>
  <c r="N17" s="1"/>
  <c r="L15"/>
  <c r="N15" s="1"/>
  <c r="L13"/>
  <c r="N13" s="1"/>
  <c r="L11"/>
  <c r="M101"/>
  <c r="M99"/>
  <c r="M95"/>
  <c r="M93"/>
  <c r="M89"/>
  <c r="M87"/>
  <c r="M85"/>
  <c r="M83"/>
  <c r="M79"/>
  <c r="M75"/>
  <c r="M11"/>
  <c r="N82" l="1"/>
  <c r="N124"/>
  <c r="N21"/>
  <c r="N26"/>
  <c r="N86"/>
  <c r="N102"/>
  <c r="G143"/>
  <c r="N116"/>
  <c r="N120"/>
  <c r="N74"/>
  <c r="H151"/>
  <c r="AX19" i="20"/>
  <c r="AX28" s="1"/>
  <c r="K151" i="8"/>
  <c r="AY22" i="20" s="1"/>
  <c r="AA22" s="1"/>
  <c r="AX22"/>
  <c r="Z22" s="1"/>
  <c r="I151" i="8"/>
  <c r="AY20" i="20" s="1"/>
  <c r="AA20" s="1"/>
  <c r="AX20"/>
  <c r="Z20" s="1"/>
  <c r="Z8"/>
  <c r="N27" i="8"/>
  <c r="N71"/>
  <c r="N109"/>
  <c r="N24"/>
  <c r="N44"/>
  <c r="N54"/>
  <c r="N64"/>
  <c r="N94"/>
  <c r="N136"/>
  <c r="Z10" i="20"/>
  <c r="AX14"/>
  <c r="L146" i="8"/>
  <c r="AX17" i="20" s="1"/>
  <c r="Z17" s="1"/>
  <c r="L143" i="8"/>
  <c r="AX9" i="20"/>
  <c r="AX18"/>
  <c r="Z18" s="1"/>
  <c r="L144" i="8"/>
  <c r="J151"/>
  <c r="AY21" i="20" s="1"/>
  <c r="AA21" s="1"/>
  <c r="AX21"/>
  <c r="Z21" s="1"/>
  <c r="Z39"/>
  <c r="Z40" s="1"/>
  <c r="Z41" s="1"/>
  <c r="AX40"/>
  <c r="AX41" s="1"/>
  <c r="N53" i="8"/>
  <c r="N12"/>
  <c r="N32"/>
  <c r="N36"/>
  <c r="N48"/>
  <c r="N60"/>
  <c r="N80"/>
  <c r="Z11" i="20"/>
  <c r="Z13"/>
  <c r="Z31" s="1"/>
  <c r="AX31"/>
  <c r="Z12"/>
  <c r="AY39"/>
  <c r="L152" i="8"/>
  <c r="N90"/>
  <c r="N118"/>
  <c r="N122"/>
  <c r="N126"/>
  <c r="N130"/>
  <c r="N121"/>
  <c r="N88"/>
  <c r="N96"/>
  <c r="N132"/>
  <c r="I150"/>
  <c r="I148"/>
  <c r="M138"/>
  <c r="E144"/>
  <c r="AX51" i="20" s="1"/>
  <c r="Z51" s="1"/>
  <c r="N18" i="8"/>
  <c r="E143"/>
  <c r="AX50" i="20" s="1"/>
  <c r="K150" i="8"/>
  <c r="K148"/>
  <c r="G148"/>
  <c r="N16"/>
  <c r="E147"/>
  <c r="AX52" i="20" s="1"/>
  <c r="Z52" s="1"/>
  <c r="H150" i="8"/>
  <c r="H148"/>
  <c r="J150"/>
  <c r="J148"/>
  <c r="L140"/>
  <c r="N127"/>
  <c r="N22"/>
  <c r="N62"/>
  <c r="N78"/>
  <c r="N93"/>
  <c r="N25"/>
  <c r="N29"/>
  <c r="N85"/>
  <c r="N89"/>
  <c r="N101"/>
  <c r="N35"/>
  <c r="N63"/>
  <c r="N11"/>
  <c r="N41"/>
  <c r="N45"/>
  <c r="N75"/>
  <c r="N79"/>
  <c r="N83"/>
  <c r="N87"/>
  <c r="N95"/>
  <c r="N99"/>
  <c r="N19"/>
  <c r="N37"/>
  <c r="N43"/>
  <c r="N47"/>
  <c r="N59"/>
  <c r="AX29" i="20" l="1"/>
  <c r="Z30"/>
  <c r="Z29"/>
  <c r="H153" i="8"/>
  <c r="AY10" i="20"/>
  <c r="J153" i="8"/>
  <c r="AY12" i="20"/>
  <c r="Z50"/>
  <c r="Z53" s="1"/>
  <c r="AX53"/>
  <c r="AY40"/>
  <c r="AY41" s="1"/>
  <c r="AA39"/>
  <c r="AA40" s="1"/>
  <c r="AA41" s="1"/>
  <c r="AA59" s="1"/>
  <c r="Z9"/>
  <c r="Z27" s="1"/>
  <c r="AX27"/>
  <c r="AX15"/>
  <c r="Z26"/>
  <c r="I153" i="8"/>
  <c r="AY11" i="20"/>
  <c r="AX30"/>
  <c r="L148" i="8"/>
  <c r="Z14" i="20"/>
  <c r="Z15" s="1"/>
  <c r="Z19"/>
  <c r="Z23" s="1"/>
  <c r="Z24" s="1"/>
  <c r="AX23"/>
  <c r="AX24" s="1"/>
  <c r="G151" i="8"/>
  <c r="AY19" i="20"/>
  <c r="K153" i="8"/>
  <c r="AY13" i="20"/>
  <c r="AX26"/>
  <c r="AX45" s="1"/>
  <c r="E148" i="8"/>
  <c r="N138"/>
  <c r="AX32" i="20" l="1"/>
  <c r="AX46" s="1"/>
  <c r="AX47" s="1"/>
  <c r="Z45"/>
  <c r="AA12"/>
  <c r="AA30" s="1"/>
  <c r="AY30"/>
  <c r="AY23"/>
  <c r="AA19"/>
  <c r="AA23" s="1"/>
  <c r="Z28"/>
  <c r="Z32" s="1"/>
  <c r="L151" i="8"/>
  <c r="AY18" i="20"/>
  <c r="AA18" s="1"/>
  <c r="AA11"/>
  <c r="AA29" s="1"/>
  <c r="AY29"/>
  <c r="AA10"/>
  <c r="AY14"/>
  <c r="AY28"/>
  <c r="G150" i="8"/>
  <c r="AY9" i="20" s="1"/>
  <c r="AA13"/>
  <c r="AA31" s="1"/>
  <c r="AY31"/>
  <c r="F127" i="7"/>
  <c r="F126"/>
  <c r="J126" s="1"/>
  <c r="F125"/>
  <c r="F124"/>
  <c r="J124" s="1"/>
  <c r="F123"/>
  <c r="F122"/>
  <c r="J122" s="1"/>
  <c r="F121"/>
  <c r="F120"/>
  <c r="J120" s="1"/>
  <c r="F119"/>
  <c r="F118"/>
  <c r="J118" s="1"/>
  <c r="F117"/>
  <c r="F116"/>
  <c r="J116" s="1"/>
  <c r="F115"/>
  <c r="F114"/>
  <c r="J114" s="1"/>
  <c r="F113"/>
  <c r="F112"/>
  <c r="J112" s="1"/>
  <c r="F111"/>
  <c r="F110"/>
  <c r="J110" s="1"/>
  <c r="F109"/>
  <c r="F108"/>
  <c r="J108" s="1"/>
  <c r="F107"/>
  <c r="F106"/>
  <c r="J106" s="1"/>
  <c r="F105"/>
  <c r="F104"/>
  <c r="J104" s="1"/>
  <c r="F103"/>
  <c r="F102"/>
  <c r="J102" s="1"/>
  <c r="F101"/>
  <c r="F100"/>
  <c r="J100" s="1"/>
  <c r="F99"/>
  <c r="F98"/>
  <c r="J98" s="1"/>
  <c r="F97"/>
  <c r="F96"/>
  <c r="J96" s="1"/>
  <c r="F95"/>
  <c r="F94"/>
  <c r="J94" s="1"/>
  <c r="F93"/>
  <c r="F92"/>
  <c r="J92" s="1"/>
  <c r="F91"/>
  <c r="F90"/>
  <c r="J90" s="1"/>
  <c r="F89"/>
  <c r="F88"/>
  <c r="J88" s="1"/>
  <c r="F87"/>
  <c r="F86"/>
  <c r="J86" s="1"/>
  <c r="F85"/>
  <c r="F84"/>
  <c r="J84" s="1"/>
  <c r="F83"/>
  <c r="F82"/>
  <c r="J82" s="1"/>
  <c r="F81"/>
  <c r="F80"/>
  <c r="J80" s="1"/>
  <c r="F79"/>
  <c r="F78"/>
  <c r="J78" s="1"/>
  <c r="F77"/>
  <c r="F76"/>
  <c r="J76" s="1"/>
  <c r="F75"/>
  <c r="F74"/>
  <c r="J74" s="1"/>
  <c r="F73"/>
  <c r="F72"/>
  <c r="J72" s="1"/>
  <c r="F71"/>
  <c r="F70"/>
  <c r="J70" s="1"/>
  <c r="F69"/>
  <c r="F68"/>
  <c r="J68" s="1"/>
  <c r="F67"/>
  <c r="F66"/>
  <c r="J66" s="1"/>
  <c r="F65"/>
  <c r="F64"/>
  <c r="J64" s="1"/>
  <c r="F63"/>
  <c r="F62"/>
  <c r="J62" s="1"/>
  <c r="F61"/>
  <c r="F60"/>
  <c r="J60" s="1"/>
  <c r="F59"/>
  <c r="F58"/>
  <c r="J58" s="1"/>
  <c r="F57"/>
  <c r="F56"/>
  <c r="J56" s="1"/>
  <c r="F55"/>
  <c r="F54"/>
  <c r="J54" s="1"/>
  <c r="F53"/>
  <c r="F52"/>
  <c r="J52" s="1"/>
  <c r="F51"/>
  <c r="F50"/>
  <c r="J50" s="1"/>
  <c r="F49"/>
  <c r="F48"/>
  <c r="J48" s="1"/>
  <c r="F47"/>
  <c r="F46"/>
  <c r="J46" s="1"/>
  <c r="F45"/>
  <c r="F44"/>
  <c r="J44" s="1"/>
  <c r="F43"/>
  <c r="F42"/>
  <c r="J42" s="1"/>
  <c r="F41"/>
  <c r="K41" s="1"/>
  <c r="F40"/>
  <c r="J40" s="1"/>
  <c r="F39"/>
  <c r="K39" s="1"/>
  <c r="F38"/>
  <c r="J38" s="1"/>
  <c r="F37"/>
  <c r="K37" s="1"/>
  <c r="F36"/>
  <c r="J36" s="1"/>
  <c r="F35"/>
  <c r="K35" s="1"/>
  <c r="F34"/>
  <c r="J34" s="1"/>
  <c r="F33"/>
  <c r="K33" s="1"/>
  <c r="F32"/>
  <c r="J32" s="1"/>
  <c r="F31"/>
  <c r="K31" s="1"/>
  <c r="F30"/>
  <c r="J30" s="1"/>
  <c r="F29"/>
  <c r="K29" s="1"/>
  <c r="F28"/>
  <c r="J28" s="1"/>
  <c r="F27"/>
  <c r="K27" s="1"/>
  <c r="F26"/>
  <c r="J26" s="1"/>
  <c r="F25"/>
  <c r="K25" s="1"/>
  <c r="F24"/>
  <c r="J24" s="1"/>
  <c r="F23"/>
  <c r="K23" s="1"/>
  <c r="F22"/>
  <c r="J22" s="1"/>
  <c r="F21"/>
  <c r="K21" s="1"/>
  <c r="F20"/>
  <c r="J20" s="1"/>
  <c r="F19"/>
  <c r="K19" s="1"/>
  <c r="F18"/>
  <c r="J18" s="1"/>
  <c r="F17"/>
  <c r="K17" s="1"/>
  <c r="F16"/>
  <c r="J16" s="1"/>
  <c r="F15"/>
  <c r="K15" s="1"/>
  <c r="F14"/>
  <c r="J14" s="1"/>
  <c r="F13"/>
  <c r="K13" s="1"/>
  <c r="F12"/>
  <c r="J12" s="1"/>
  <c r="F11"/>
  <c r="K11" s="1"/>
  <c r="F10"/>
  <c r="J10" s="1"/>
  <c r="F9"/>
  <c r="K9" s="1"/>
  <c r="F8"/>
  <c r="J8" s="1"/>
  <c r="F7"/>
  <c r="F6"/>
  <c r="J6" s="1"/>
  <c r="F5"/>
  <c r="K5" s="1"/>
  <c r="F4"/>
  <c r="J4" s="1"/>
  <c r="F3"/>
  <c r="K3" s="1"/>
  <c r="F2"/>
  <c r="AX33" i="20" l="1"/>
  <c r="AX43" s="1"/>
  <c r="G153" i="8"/>
  <c r="AA9" i="20"/>
  <c r="AA27" s="1"/>
  <c r="AA45" s="1"/>
  <c r="AY27"/>
  <c r="AY45" s="1"/>
  <c r="Z46"/>
  <c r="Z47" s="1"/>
  <c r="Z33"/>
  <c r="Z43" s="1"/>
  <c r="L150" i="8"/>
  <c r="L153" s="1"/>
  <c r="AY32" i="20"/>
  <c r="AA24"/>
  <c r="AY15"/>
  <c r="AY24"/>
  <c r="AA28"/>
  <c r="AA32" s="1"/>
  <c r="AA14"/>
  <c r="K8" i="7"/>
  <c r="K16"/>
  <c r="K20"/>
  <c r="K24"/>
  <c r="K32"/>
  <c r="K36"/>
  <c r="K48"/>
  <c r="K72"/>
  <c r="G4"/>
  <c r="G8"/>
  <c r="G12"/>
  <c r="G16"/>
  <c r="G20"/>
  <c r="G24"/>
  <c r="G28"/>
  <c r="G32"/>
  <c r="G36"/>
  <c r="G40"/>
  <c r="G44"/>
  <c r="G48"/>
  <c r="G52"/>
  <c r="G56"/>
  <c r="G60"/>
  <c r="G64"/>
  <c r="G68"/>
  <c r="G72"/>
  <c r="G76"/>
  <c r="G80"/>
  <c r="G84"/>
  <c r="G88"/>
  <c r="G92"/>
  <c r="G96"/>
  <c r="G100"/>
  <c r="G104"/>
  <c r="G108"/>
  <c r="G112"/>
  <c r="G116"/>
  <c r="G120"/>
  <c r="G124"/>
  <c r="K4"/>
  <c r="K12"/>
  <c r="K28"/>
  <c r="K40"/>
  <c r="K44"/>
  <c r="K52"/>
  <c r="K56"/>
  <c r="K60"/>
  <c r="K64"/>
  <c r="K68"/>
  <c r="K76"/>
  <c r="K80"/>
  <c r="K84"/>
  <c r="K88"/>
  <c r="K92"/>
  <c r="K96"/>
  <c r="K100"/>
  <c r="K104"/>
  <c r="K108"/>
  <c r="K112"/>
  <c r="K116"/>
  <c r="K120"/>
  <c r="K124"/>
  <c r="H7"/>
  <c r="G143"/>
  <c r="BK38" i="20" s="1"/>
  <c r="I6" i="7"/>
  <c r="I14"/>
  <c r="I18"/>
  <c r="I22"/>
  <c r="I26"/>
  <c r="I30"/>
  <c r="I34"/>
  <c r="I38"/>
  <c r="I42"/>
  <c r="I46"/>
  <c r="I50"/>
  <c r="I54"/>
  <c r="I58"/>
  <c r="I62"/>
  <c r="I66"/>
  <c r="I70"/>
  <c r="I74"/>
  <c r="I78"/>
  <c r="I82"/>
  <c r="I86"/>
  <c r="I90"/>
  <c r="I94"/>
  <c r="I98"/>
  <c r="I102"/>
  <c r="I106"/>
  <c r="I110"/>
  <c r="I114"/>
  <c r="I118"/>
  <c r="I122"/>
  <c r="I126"/>
  <c r="J2"/>
  <c r="F131"/>
  <c r="I2"/>
  <c r="I10"/>
  <c r="G2"/>
  <c r="K2"/>
  <c r="I4"/>
  <c r="G6"/>
  <c r="K6"/>
  <c r="I8"/>
  <c r="G10"/>
  <c r="K10"/>
  <c r="I12"/>
  <c r="G14"/>
  <c r="K14"/>
  <c r="I16"/>
  <c r="G18"/>
  <c r="K18"/>
  <c r="I20"/>
  <c r="G22"/>
  <c r="K22"/>
  <c r="I24"/>
  <c r="G26"/>
  <c r="K26"/>
  <c r="I28"/>
  <c r="G30"/>
  <c r="K30"/>
  <c r="I32"/>
  <c r="G34"/>
  <c r="K34"/>
  <c r="I36"/>
  <c r="G38"/>
  <c r="K38"/>
  <c r="I40"/>
  <c r="G42"/>
  <c r="K42"/>
  <c r="I44"/>
  <c r="G46"/>
  <c r="K46"/>
  <c r="I48"/>
  <c r="G50"/>
  <c r="K50"/>
  <c r="I52"/>
  <c r="G54"/>
  <c r="K54"/>
  <c r="I56"/>
  <c r="G58"/>
  <c r="K58"/>
  <c r="I60"/>
  <c r="G62"/>
  <c r="K62"/>
  <c r="I64"/>
  <c r="G66"/>
  <c r="K66"/>
  <c r="I68"/>
  <c r="G70"/>
  <c r="K70"/>
  <c r="I72"/>
  <c r="G74"/>
  <c r="K74"/>
  <c r="I76"/>
  <c r="G78"/>
  <c r="K78"/>
  <c r="I80"/>
  <c r="G82"/>
  <c r="K82"/>
  <c r="I84"/>
  <c r="G86"/>
  <c r="K86"/>
  <c r="I88"/>
  <c r="G90"/>
  <c r="K90"/>
  <c r="I92"/>
  <c r="G94"/>
  <c r="K94"/>
  <c r="I96"/>
  <c r="G98"/>
  <c r="K98"/>
  <c r="I100"/>
  <c r="G102"/>
  <c r="K102"/>
  <c r="I104"/>
  <c r="G106"/>
  <c r="K106"/>
  <c r="I108"/>
  <c r="G110"/>
  <c r="K110"/>
  <c r="I112"/>
  <c r="G114"/>
  <c r="K114"/>
  <c r="I116"/>
  <c r="G118"/>
  <c r="K118"/>
  <c r="I120"/>
  <c r="G122"/>
  <c r="K122"/>
  <c r="I124"/>
  <c r="G126"/>
  <c r="K126"/>
  <c r="K43"/>
  <c r="I43"/>
  <c r="G43"/>
  <c r="K45"/>
  <c r="I45"/>
  <c r="G45"/>
  <c r="K47"/>
  <c r="I47"/>
  <c r="G47"/>
  <c r="K49"/>
  <c r="I49"/>
  <c r="G49"/>
  <c r="K51"/>
  <c r="I51"/>
  <c r="G51"/>
  <c r="K53"/>
  <c r="I53"/>
  <c r="G53"/>
  <c r="K55"/>
  <c r="I55"/>
  <c r="G55"/>
  <c r="K57"/>
  <c r="I57"/>
  <c r="G57"/>
  <c r="K59"/>
  <c r="I59"/>
  <c r="G59"/>
  <c r="K61"/>
  <c r="I61"/>
  <c r="G61"/>
  <c r="K63"/>
  <c r="I63"/>
  <c r="G63"/>
  <c r="K65"/>
  <c r="I65"/>
  <c r="G65"/>
  <c r="K67"/>
  <c r="I67"/>
  <c r="G67"/>
  <c r="K69"/>
  <c r="I69"/>
  <c r="G69"/>
  <c r="K71"/>
  <c r="I71"/>
  <c r="G71"/>
  <c r="K73"/>
  <c r="I73"/>
  <c r="G73"/>
  <c r="K75"/>
  <c r="I75"/>
  <c r="G75"/>
  <c r="K77"/>
  <c r="I77"/>
  <c r="G77"/>
  <c r="K79"/>
  <c r="I79"/>
  <c r="G79"/>
  <c r="K81"/>
  <c r="I81"/>
  <c r="G81"/>
  <c r="K83"/>
  <c r="I83"/>
  <c r="G83"/>
  <c r="K85"/>
  <c r="I85"/>
  <c r="G85"/>
  <c r="K87"/>
  <c r="I87"/>
  <c r="G87"/>
  <c r="K89"/>
  <c r="I89"/>
  <c r="G89"/>
  <c r="K91"/>
  <c r="I91"/>
  <c r="G91"/>
  <c r="K93"/>
  <c r="I93"/>
  <c r="G93"/>
  <c r="K95"/>
  <c r="I95"/>
  <c r="G95"/>
  <c r="K97"/>
  <c r="I97"/>
  <c r="G97"/>
  <c r="K99"/>
  <c r="I99"/>
  <c r="G99"/>
  <c r="K101"/>
  <c r="I101"/>
  <c r="G101"/>
  <c r="K103"/>
  <c r="I103"/>
  <c r="G103"/>
  <c r="K105"/>
  <c r="I105"/>
  <c r="G105"/>
  <c r="K107"/>
  <c r="I107"/>
  <c r="G107"/>
  <c r="K109"/>
  <c r="I109"/>
  <c r="G109"/>
  <c r="K111"/>
  <c r="I111"/>
  <c r="G111"/>
  <c r="K113"/>
  <c r="I113"/>
  <c r="G113"/>
  <c r="K115"/>
  <c r="I115"/>
  <c r="G115"/>
  <c r="K117"/>
  <c r="I117"/>
  <c r="G117"/>
  <c r="K119"/>
  <c r="I119"/>
  <c r="G119"/>
  <c r="K121"/>
  <c r="I121"/>
  <c r="G121"/>
  <c r="K123"/>
  <c r="I123"/>
  <c r="G123"/>
  <c r="K125"/>
  <c r="I125"/>
  <c r="G125"/>
  <c r="K127"/>
  <c r="I127"/>
  <c r="G127"/>
  <c r="H3"/>
  <c r="J3"/>
  <c r="H5"/>
  <c r="J5"/>
  <c r="H9"/>
  <c r="J9"/>
  <c r="H11"/>
  <c r="J11"/>
  <c r="H13"/>
  <c r="J13"/>
  <c r="H15"/>
  <c r="J15"/>
  <c r="H17"/>
  <c r="J17"/>
  <c r="H19"/>
  <c r="J19"/>
  <c r="H21"/>
  <c r="J21"/>
  <c r="H23"/>
  <c r="J23"/>
  <c r="H25"/>
  <c r="J25"/>
  <c r="H27"/>
  <c r="J27"/>
  <c r="H29"/>
  <c r="J29"/>
  <c r="H31"/>
  <c r="J31"/>
  <c r="H33"/>
  <c r="J33"/>
  <c r="H35"/>
  <c r="J35"/>
  <c r="H37"/>
  <c r="J37"/>
  <c r="H39"/>
  <c r="J39"/>
  <c r="H41"/>
  <c r="J41"/>
  <c r="J43"/>
  <c r="J45"/>
  <c r="J47"/>
  <c r="J49"/>
  <c r="J51"/>
  <c r="J53"/>
  <c r="J55"/>
  <c r="J57"/>
  <c r="J59"/>
  <c r="J61"/>
  <c r="J63"/>
  <c r="J65"/>
  <c r="J67"/>
  <c r="J69"/>
  <c r="J71"/>
  <c r="J73"/>
  <c r="J75"/>
  <c r="J77"/>
  <c r="J79"/>
  <c r="J81"/>
  <c r="J83"/>
  <c r="J85"/>
  <c r="J87"/>
  <c r="J89"/>
  <c r="J91"/>
  <c r="J93"/>
  <c r="J95"/>
  <c r="J97"/>
  <c r="J99"/>
  <c r="J101"/>
  <c r="J103"/>
  <c r="J105"/>
  <c r="J107"/>
  <c r="J109"/>
  <c r="J111"/>
  <c r="J113"/>
  <c r="J115"/>
  <c r="J117"/>
  <c r="J119"/>
  <c r="J121"/>
  <c r="J123"/>
  <c r="J125"/>
  <c r="J137" s="1"/>
  <c r="J127"/>
  <c r="H2"/>
  <c r="G3"/>
  <c r="I3"/>
  <c r="H4"/>
  <c r="G5"/>
  <c r="I5"/>
  <c r="H6"/>
  <c r="H8"/>
  <c r="G9"/>
  <c r="I9"/>
  <c r="H10"/>
  <c r="G11"/>
  <c r="I11"/>
  <c r="H12"/>
  <c r="L12" s="1"/>
  <c r="G13"/>
  <c r="I13"/>
  <c r="H14"/>
  <c r="G15"/>
  <c r="I15"/>
  <c r="H16"/>
  <c r="G17"/>
  <c r="I17"/>
  <c r="H18"/>
  <c r="G19"/>
  <c r="I19"/>
  <c r="H20"/>
  <c r="L20" s="1"/>
  <c r="G21"/>
  <c r="I21"/>
  <c r="H22"/>
  <c r="G23"/>
  <c r="I23"/>
  <c r="H24"/>
  <c r="G25"/>
  <c r="I25"/>
  <c r="H26"/>
  <c r="G27"/>
  <c r="I27"/>
  <c r="H28"/>
  <c r="L28" s="1"/>
  <c r="G29"/>
  <c r="I29"/>
  <c r="H30"/>
  <c r="G31"/>
  <c r="I31"/>
  <c r="H32"/>
  <c r="G33"/>
  <c r="I33"/>
  <c r="H34"/>
  <c r="G35"/>
  <c r="I35"/>
  <c r="H36"/>
  <c r="L36" s="1"/>
  <c r="G37"/>
  <c r="I37"/>
  <c r="H38"/>
  <c r="G39"/>
  <c r="I39"/>
  <c r="H40"/>
  <c r="G41"/>
  <c r="I41"/>
  <c r="H42"/>
  <c r="H43"/>
  <c r="H45"/>
  <c r="H47"/>
  <c r="H49"/>
  <c r="H51"/>
  <c r="H53"/>
  <c r="H55"/>
  <c r="H57"/>
  <c r="H59"/>
  <c r="H61"/>
  <c r="H63"/>
  <c r="H65"/>
  <c r="H67"/>
  <c r="H69"/>
  <c r="H71"/>
  <c r="H73"/>
  <c r="H75"/>
  <c r="H77"/>
  <c r="H79"/>
  <c r="H81"/>
  <c r="H83"/>
  <c r="H85"/>
  <c r="H87"/>
  <c r="H89"/>
  <c r="H91"/>
  <c r="H93"/>
  <c r="H95"/>
  <c r="H97"/>
  <c r="H99"/>
  <c r="H101"/>
  <c r="H103"/>
  <c r="H105"/>
  <c r="H107"/>
  <c r="H109"/>
  <c r="H111"/>
  <c r="H113"/>
  <c r="H115"/>
  <c r="H117"/>
  <c r="H119"/>
  <c r="H121"/>
  <c r="H123"/>
  <c r="H125"/>
  <c r="H127"/>
  <c r="H44"/>
  <c r="H46"/>
  <c r="H48"/>
  <c r="H50"/>
  <c r="H52"/>
  <c r="H54"/>
  <c r="H56"/>
  <c r="L56" s="1"/>
  <c r="H58"/>
  <c r="L58" s="1"/>
  <c r="H60"/>
  <c r="H62"/>
  <c r="H64"/>
  <c r="L64" s="1"/>
  <c r="H66"/>
  <c r="H68"/>
  <c r="H70"/>
  <c r="H72"/>
  <c r="L72" s="1"/>
  <c r="H74"/>
  <c r="L74" s="1"/>
  <c r="H76"/>
  <c r="H78"/>
  <c r="H80"/>
  <c r="H82"/>
  <c r="H84"/>
  <c r="H86"/>
  <c r="H88"/>
  <c r="H90"/>
  <c r="L90" s="1"/>
  <c r="H92"/>
  <c r="H94"/>
  <c r="H96"/>
  <c r="H98"/>
  <c r="H100"/>
  <c r="H102"/>
  <c r="H104"/>
  <c r="H106"/>
  <c r="L106" s="1"/>
  <c r="H108"/>
  <c r="H110"/>
  <c r="H112"/>
  <c r="H114"/>
  <c r="H116"/>
  <c r="H118"/>
  <c r="H120"/>
  <c r="H122"/>
  <c r="L122" s="1"/>
  <c r="H124"/>
  <c r="H126"/>
  <c r="AA15" i="20" l="1"/>
  <c r="L94" i="7"/>
  <c r="L86"/>
  <c r="L78"/>
  <c r="L70"/>
  <c r="L62"/>
  <c r="L54"/>
  <c r="L46"/>
  <c r="L40"/>
  <c r="L32"/>
  <c r="L24"/>
  <c r="L16"/>
  <c r="L8"/>
  <c r="L4"/>
  <c r="L118"/>
  <c r="L102"/>
  <c r="L114"/>
  <c r="L98"/>
  <c r="L82"/>
  <c r="L66"/>
  <c r="L50"/>
  <c r="L120"/>
  <c r="L112"/>
  <c r="L104"/>
  <c r="L96"/>
  <c r="L88"/>
  <c r="L80"/>
  <c r="L48"/>
  <c r="L38"/>
  <c r="L30"/>
  <c r="L22"/>
  <c r="L14"/>
  <c r="J136"/>
  <c r="J134" s="1"/>
  <c r="BJ12" i="20" s="1"/>
  <c r="AA33"/>
  <c r="AA46"/>
  <c r="AA47" s="1"/>
  <c r="AY46"/>
  <c r="AY47" s="1"/>
  <c r="B12" i="25" s="1"/>
  <c r="AY33" i="20"/>
  <c r="AY43" s="1"/>
  <c r="L124" i="7"/>
  <c r="L116"/>
  <c r="L108"/>
  <c r="L100"/>
  <c r="L92"/>
  <c r="L84"/>
  <c r="L76"/>
  <c r="L68"/>
  <c r="L60"/>
  <c r="L52"/>
  <c r="L44"/>
  <c r="L42"/>
  <c r="L34"/>
  <c r="L26"/>
  <c r="L18"/>
  <c r="L10"/>
  <c r="L6"/>
  <c r="L9"/>
  <c r="L2"/>
  <c r="H135"/>
  <c r="H131"/>
  <c r="G135"/>
  <c r="G131"/>
  <c r="I135"/>
  <c r="I131"/>
  <c r="J135"/>
  <c r="J131"/>
  <c r="L7"/>
  <c r="H138"/>
  <c r="L41"/>
  <c r="L37"/>
  <c r="L33"/>
  <c r="L29"/>
  <c r="L25"/>
  <c r="L21"/>
  <c r="L17"/>
  <c r="L13"/>
  <c r="L5"/>
  <c r="G137"/>
  <c r="G136"/>
  <c r="I136"/>
  <c r="I134" s="1"/>
  <c r="BJ11" i="20" s="1"/>
  <c r="L126" i="7"/>
  <c r="H137"/>
  <c r="L110"/>
  <c r="H136"/>
  <c r="H134" s="1"/>
  <c r="BJ10" i="20" s="1"/>
  <c r="K135" i="7"/>
  <c r="K131"/>
  <c r="K137"/>
  <c r="K136"/>
  <c r="K134" s="1"/>
  <c r="BJ13" i="20" s="1"/>
  <c r="I137" i="7"/>
  <c r="L39"/>
  <c r="L35"/>
  <c r="L31"/>
  <c r="L27"/>
  <c r="L23"/>
  <c r="L19"/>
  <c r="L15"/>
  <c r="L11"/>
  <c r="L3"/>
  <c r="L125"/>
  <c r="L121"/>
  <c r="L117"/>
  <c r="L113"/>
  <c r="L109"/>
  <c r="L105"/>
  <c r="L101"/>
  <c r="L97"/>
  <c r="L93"/>
  <c r="L89"/>
  <c r="L85"/>
  <c r="L81"/>
  <c r="L77"/>
  <c r="L73"/>
  <c r="L69"/>
  <c r="L65"/>
  <c r="L61"/>
  <c r="L57"/>
  <c r="L53"/>
  <c r="L49"/>
  <c r="L45"/>
  <c r="L127"/>
  <c r="L123"/>
  <c r="L119"/>
  <c r="L115"/>
  <c r="L111"/>
  <c r="L107"/>
  <c r="L103"/>
  <c r="L99"/>
  <c r="L95"/>
  <c r="L91"/>
  <c r="L87"/>
  <c r="L83"/>
  <c r="L79"/>
  <c r="L75"/>
  <c r="L71"/>
  <c r="L67"/>
  <c r="L63"/>
  <c r="L59"/>
  <c r="L55"/>
  <c r="L51"/>
  <c r="L47"/>
  <c r="L43"/>
  <c r="BJ14" i="20" l="1"/>
  <c r="BJ18"/>
  <c r="L135" i="7"/>
  <c r="C12" i="25"/>
  <c r="D12" s="1"/>
  <c r="G134" i="7"/>
  <c r="L136"/>
  <c r="BJ8" i="20" s="1"/>
  <c r="BJ39"/>
  <c r="BJ40" s="1"/>
  <c r="BJ41" s="1"/>
  <c r="L138" i="7"/>
  <c r="AA58" i="20"/>
  <c r="AA43"/>
  <c r="K142" i="7"/>
  <c r="BK22" i="20" s="1"/>
  <c r="BJ22"/>
  <c r="BJ31" s="1"/>
  <c r="J142" i="7"/>
  <c r="BK21" i="20" s="1"/>
  <c r="BJ21"/>
  <c r="BJ30" s="1"/>
  <c r="L137" i="7"/>
  <c r="BJ17" i="20" s="1"/>
  <c r="I142" i="7"/>
  <c r="BK20" i="20" s="1"/>
  <c r="BJ20"/>
  <c r="BJ29" s="1"/>
  <c r="H142" i="7"/>
  <c r="BK19" i="20" s="1"/>
  <c r="BJ19"/>
  <c r="G139" i="7"/>
  <c r="K141"/>
  <c r="K139"/>
  <c r="I141"/>
  <c r="I139"/>
  <c r="J141"/>
  <c r="J139"/>
  <c r="H143"/>
  <c r="H141"/>
  <c r="H139"/>
  <c r="L129"/>
  <c r="L131"/>
  <c r="G142"/>
  <c r="BK18" i="20" s="1"/>
  <c r="F136" i="6"/>
  <c r="G136" s="1"/>
  <c r="F135"/>
  <c r="J135" s="1"/>
  <c r="F134"/>
  <c r="J134" s="1"/>
  <c r="F133"/>
  <c r="J133" s="1"/>
  <c r="F132"/>
  <c r="J132" s="1"/>
  <c r="F131"/>
  <c r="J131" s="1"/>
  <c r="F130"/>
  <c r="J130" s="1"/>
  <c r="F129"/>
  <c r="J129" s="1"/>
  <c r="F128"/>
  <c r="J128" s="1"/>
  <c r="F127"/>
  <c r="J127" s="1"/>
  <c r="F126"/>
  <c r="J126" s="1"/>
  <c r="F125"/>
  <c r="J125" s="1"/>
  <c r="F124"/>
  <c r="J124" s="1"/>
  <c r="F123"/>
  <c r="J123" s="1"/>
  <c r="F122"/>
  <c r="J122" s="1"/>
  <c r="F121"/>
  <c r="J121" s="1"/>
  <c r="F120"/>
  <c r="J120" s="1"/>
  <c r="F119"/>
  <c r="J119" s="1"/>
  <c r="F118"/>
  <c r="J118" s="1"/>
  <c r="F117"/>
  <c r="J117" s="1"/>
  <c r="F116"/>
  <c r="J116" s="1"/>
  <c r="F115"/>
  <c r="J115" s="1"/>
  <c r="F114"/>
  <c r="J114" s="1"/>
  <c r="F113"/>
  <c r="J113" s="1"/>
  <c r="F112"/>
  <c r="J112" s="1"/>
  <c r="F111"/>
  <c r="J111" s="1"/>
  <c r="F110"/>
  <c r="J110" s="1"/>
  <c r="F109"/>
  <c r="J109" s="1"/>
  <c r="F108"/>
  <c r="J108" s="1"/>
  <c r="F107"/>
  <c r="J107" s="1"/>
  <c r="F106"/>
  <c r="J106" s="1"/>
  <c r="F105"/>
  <c r="J105" s="1"/>
  <c r="F104"/>
  <c r="J104" s="1"/>
  <c r="F103"/>
  <c r="F102"/>
  <c r="J102" s="1"/>
  <c r="F101"/>
  <c r="K100"/>
  <c r="F100"/>
  <c r="J100" s="1"/>
  <c r="F99"/>
  <c r="F98"/>
  <c r="J98" s="1"/>
  <c r="F97"/>
  <c r="F96"/>
  <c r="J96" s="1"/>
  <c r="F95"/>
  <c r="H95" s="1"/>
  <c r="F94"/>
  <c r="J94" s="1"/>
  <c r="F93"/>
  <c r="H93" s="1"/>
  <c r="F92"/>
  <c r="J92" s="1"/>
  <c r="F91"/>
  <c r="H91" s="1"/>
  <c r="F90"/>
  <c r="J90" s="1"/>
  <c r="F89"/>
  <c r="H89" s="1"/>
  <c r="F88"/>
  <c r="J88" s="1"/>
  <c r="F87"/>
  <c r="H87" s="1"/>
  <c r="F86"/>
  <c r="J86" s="1"/>
  <c r="F85"/>
  <c r="H85" s="1"/>
  <c r="G84"/>
  <c r="F84"/>
  <c r="J84" s="1"/>
  <c r="H83"/>
  <c r="F83"/>
  <c r="F82"/>
  <c r="J82" s="1"/>
  <c r="F81"/>
  <c r="H81" s="1"/>
  <c r="G80"/>
  <c r="F80"/>
  <c r="J80" s="1"/>
  <c r="H79"/>
  <c r="F79"/>
  <c r="K78"/>
  <c r="F78"/>
  <c r="J78" s="1"/>
  <c r="F77"/>
  <c r="H77" s="1"/>
  <c r="G76"/>
  <c r="F76"/>
  <c r="J76" s="1"/>
  <c r="H75"/>
  <c r="F75"/>
  <c r="F74"/>
  <c r="J74" s="1"/>
  <c r="F73"/>
  <c r="M73" s="1"/>
  <c r="F72"/>
  <c r="J72" s="1"/>
  <c r="F71"/>
  <c r="J71" s="1"/>
  <c r="F70"/>
  <c r="J70" s="1"/>
  <c r="F69"/>
  <c r="J69" s="1"/>
  <c r="F68"/>
  <c r="J68" s="1"/>
  <c r="F67"/>
  <c r="J67" s="1"/>
  <c r="K66"/>
  <c r="F66"/>
  <c r="J66" s="1"/>
  <c r="F65"/>
  <c r="J65" s="1"/>
  <c r="F64"/>
  <c r="J64" s="1"/>
  <c r="F63"/>
  <c r="J63" s="1"/>
  <c r="F62"/>
  <c r="J62" s="1"/>
  <c r="F61"/>
  <c r="J61" s="1"/>
  <c r="F60"/>
  <c r="J60" s="1"/>
  <c r="F59"/>
  <c r="J59" s="1"/>
  <c r="F58"/>
  <c r="J58" s="1"/>
  <c r="F57"/>
  <c r="J57" s="1"/>
  <c r="K56"/>
  <c r="F56"/>
  <c r="J56" s="1"/>
  <c r="F55"/>
  <c r="J55" s="1"/>
  <c r="F54"/>
  <c r="J54" s="1"/>
  <c r="F53"/>
  <c r="J53" s="1"/>
  <c r="F52"/>
  <c r="J52" s="1"/>
  <c r="F51"/>
  <c r="J51" s="1"/>
  <c r="F50"/>
  <c r="J50" s="1"/>
  <c r="F49"/>
  <c r="J49" s="1"/>
  <c r="F48"/>
  <c r="J48" s="1"/>
  <c r="F47"/>
  <c r="J47" s="1"/>
  <c r="F46"/>
  <c r="J46" s="1"/>
  <c r="F45"/>
  <c r="J45" s="1"/>
  <c r="F44"/>
  <c r="J44" s="1"/>
  <c r="F43"/>
  <c r="J43" s="1"/>
  <c r="F42"/>
  <c r="J42" s="1"/>
  <c r="F41"/>
  <c r="F40"/>
  <c r="J40" s="1"/>
  <c r="F39"/>
  <c r="H39" s="1"/>
  <c r="F38"/>
  <c r="J38" s="1"/>
  <c r="F37"/>
  <c r="K36"/>
  <c r="F36"/>
  <c r="J36" s="1"/>
  <c r="F35"/>
  <c r="H35" s="1"/>
  <c r="F34"/>
  <c r="J34" s="1"/>
  <c r="F33"/>
  <c r="H33" s="1"/>
  <c r="F32"/>
  <c r="J32" s="1"/>
  <c r="F31"/>
  <c r="J31" s="1"/>
  <c r="F30"/>
  <c r="J30" s="1"/>
  <c r="F29"/>
  <c r="J29" s="1"/>
  <c r="F28"/>
  <c r="J28" s="1"/>
  <c r="F27"/>
  <c r="J27" s="1"/>
  <c r="K26"/>
  <c r="F26"/>
  <c r="J26" s="1"/>
  <c r="F25"/>
  <c r="J25" s="1"/>
  <c r="F24"/>
  <c r="J24" s="1"/>
  <c r="F23"/>
  <c r="H23" s="1"/>
  <c r="F22"/>
  <c r="J22" s="1"/>
  <c r="F21"/>
  <c r="F20"/>
  <c r="J20" s="1"/>
  <c r="F19"/>
  <c r="J19" s="1"/>
  <c r="F18"/>
  <c r="J18" s="1"/>
  <c r="F17"/>
  <c r="H17" s="1"/>
  <c r="G16"/>
  <c r="G147" s="1"/>
  <c r="F16"/>
  <c r="G152" s="1"/>
  <c r="AK38" i="20" s="1"/>
  <c r="F15" i="6"/>
  <c r="J15" s="1"/>
  <c r="F14"/>
  <c r="J14" s="1"/>
  <c r="F13"/>
  <c r="J13" s="1"/>
  <c r="F12"/>
  <c r="H12" s="1"/>
  <c r="F11"/>
  <c r="K11" s="1"/>
  <c r="E7"/>
  <c r="K34" l="1"/>
  <c r="K58"/>
  <c r="K84"/>
  <c r="BK23" i="20"/>
  <c r="BK24" s="1"/>
  <c r="K18" i="6"/>
  <c r="K46"/>
  <c r="K76"/>
  <c r="K116"/>
  <c r="AJ38" i="20"/>
  <c r="K120" i="6"/>
  <c r="K128"/>
  <c r="L143" i="7"/>
  <c r="BK39" i="20"/>
  <c r="BK40" s="1"/>
  <c r="BK41" s="1"/>
  <c r="I144" i="7"/>
  <c r="BK11" i="20"/>
  <c r="BK29" s="1"/>
  <c r="BJ23"/>
  <c r="BJ24" s="1"/>
  <c r="BJ28"/>
  <c r="BJ32" s="1"/>
  <c r="G11" i="6"/>
  <c r="G22"/>
  <c r="G30"/>
  <c r="G40"/>
  <c r="G42"/>
  <c r="G50"/>
  <c r="G52"/>
  <c r="G62"/>
  <c r="G74"/>
  <c r="K80"/>
  <c r="G82"/>
  <c r="G96"/>
  <c r="G104"/>
  <c r="G106"/>
  <c r="G112"/>
  <c r="G114"/>
  <c r="G116"/>
  <c r="G124"/>
  <c r="G132"/>
  <c r="K22"/>
  <c r="K30"/>
  <c r="K40"/>
  <c r="K42"/>
  <c r="K50"/>
  <c r="K52"/>
  <c r="K62"/>
  <c r="K74"/>
  <c r="K82"/>
  <c r="K96"/>
  <c r="K104"/>
  <c r="K106"/>
  <c r="K112"/>
  <c r="K114"/>
  <c r="K124"/>
  <c r="K132"/>
  <c r="J144" i="7"/>
  <c r="BK12" i="20"/>
  <c r="BK30" s="1"/>
  <c r="K144" i="7"/>
  <c r="G141" s="1"/>
  <c r="BK9" i="20" s="1"/>
  <c r="BK27" s="1"/>
  <c r="BK45" s="1"/>
  <c r="BK13"/>
  <c r="BK31" s="1"/>
  <c r="BJ26"/>
  <c r="G18" i="6"/>
  <c r="G26"/>
  <c r="G34"/>
  <c r="G36"/>
  <c r="G46"/>
  <c r="G56"/>
  <c r="G58"/>
  <c r="G66"/>
  <c r="G78"/>
  <c r="G100"/>
  <c r="G120"/>
  <c r="G128"/>
  <c r="H144" i="7"/>
  <c r="BK10" i="20"/>
  <c r="AA60"/>
  <c r="BJ9"/>
  <c r="BJ27" s="1"/>
  <c r="BJ45" s="1"/>
  <c r="L134" i="7"/>
  <c r="L139" s="1"/>
  <c r="M13" i="6"/>
  <c r="I15"/>
  <c r="I24"/>
  <c r="I28"/>
  <c r="I32"/>
  <c r="I38"/>
  <c r="I44"/>
  <c r="I48"/>
  <c r="I54"/>
  <c r="I60"/>
  <c r="I64"/>
  <c r="I68"/>
  <c r="M68"/>
  <c r="I70"/>
  <c r="M70"/>
  <c r="I72"/>
  <c r="I86"/>
  <c r="I88"/>
  <c r="I90"/>
  <c r="I92"/>
  <c r="I94"/>
  <c r="M94"/>
  <c r="I98"/>
  <c r="I102"/>
  <c r="I108"/>
  <c r="M108"/>
  <c r="I110"/>
  <c r="I118"/>
  <c r="I122"/>
  <c r="I126"/>
  <c r="I130"/>
  <c r="I134"/>
  <c r="M134"/>
  <c r="I136"/>
  <c r="F140"/>
  <c r="I13"/>
  <c r="I20"/>
  <c r="I11"/>
  <c r="G13"/>
  <c r="K13"/>
  <c r="G15"/>
  <c r="K15"/>
  <c r="I18"/>
  <c r="G20"/>
  <c r="K20"/>
  <c r="I22"/>
  <c r="G24"/>
  <c r="K24"/>
  <c r="I26"/>
  <c r="G28"/>
  <c r="K28"/>
  <c r="I30"/>
  <c r="G32"/>
  <c r="K32"/>
  <c r="I34"/>
  <c r="M34"/>
  <c r="I36"/>
  <c r="G38"/>
  <c r="K38"/>
  <c r="I40"/>
  <c r="M40"/>
  <c r="I42"/>
  <c r="G44"/>
  <c r="K44"/>
  <c r="I46"/>
  <c r="G48"/>
  <c r="K48"/>
  <c r="I50"/>
  <c r="M50"/>
  <c r="I52"/>
  <c r="G54"/>
  <c r="K54"/>
  <c r="I56"/>
  <c r="M56"/>
  <c r="I58"/>
  <c r="G60"/>
  <c r="K60"/>
  <c r="I62"/>
  <c r="G64"/>
  <c r="K64"/>
  <c r="I66"/>
  <c r="G68"/>
  <c r="K68"/>
  <c r="G70"/>
  <c r="K70"/>
  <c r="G72"/>
  <c r="K72"/>
  <c r="I74"/>
  <c r="I76"/>
  <c r="I78"/>
  <c r="I80"/>
  <c r="I82"/>
  <c r="I84"/>
  <c r="M84"/>
  <c r="G86"/>
  <c r="K86"/>
  <c r="G88"/>
  <c r="K88"/>
  <c r="G90"/>
  <c r="K90"/>
  <c r="G92"/>
  <c r="K92"/>
  <c r="G94"/>
  <c r="K94"/>
  <c r="I96"/>
  <c r="G98"/>
  <c r="K98"/>
  <c r="I100"/>
  <c r="G102"/>
  <c r="K102"/>
  <c r="I104"/>
  <c r="M104"/>
  <c r="I106"/>
  <c r="G108"/>
  <c r="K108"/>
  <c r="G110"/>
  <c r="K110"/>
  <c r="I112"/>
  <c r="M112"/>
  <c r="I114"/>
  <c r="M114"/>
  <c r="I116"/>
  <c r="G118"/>
  <c r="K118"/>
  <c r="I120"/>
  <c r="G122"/>
  <c r="K122"/>
  <c r="I124"/>
  <c r="G126"/>
  <c r="K126"/>
  <c r="I128"/>
  <c r="G130"/>
  <c r="K130"/>
  <c r="I132"/>
  <c r="G134"/>
  <c r="K134"/>
  <c r="J146"/>
  <c r="L142" i="7"/>
  <c r="P6" i="6"/>
  <c r="P4"/>
  <c r="M41" s="1"/>
  <c r="P7"/>
  <c r="K75"/>
  <c r="I75"/>
  <c r="G75"/>
  <c r="M77"/>
  <c r="K77"/>
  <c r="I77"/>
  <c r="G77"/>
  <c r="K79"/>
  <c r="I79"/>
  <c r="G79"/>
  <c r="M81"/>
  <c r="K81"/>
  <c r="I81"/>
  <c r="G81"/>
  <c r="K83"/>
  <c r="I83"/>
  <c r="G83"/>
  <c r="K85"/>
  <c r="I85"/>
  <c r="G85"/>
  <c r="K87"/>
  <c r="I87"/>
  <c r="G87"/>
  <c r="K89"/>
  <c r="I89"/>
  <c r="G89"/>
  <c r="M91"/>
  <c r="K91"/>
  <c r="I91"/>
  <c r="G91"/>
  <c r="K93"/>
  <c r="I93"/>
  <c r="G93"/>
  <c r="K95"/>
  <c r="I95"/>
  <c r="G95"/>
  <c r="M97"/>
  <c r="K97"/>
  <c r="I97"/>
  <c r="G97"/>
  <c r="K99"/>
  <c r="I99"/>
  <c r="G99"/>
  <c r="K101"/>
  <c r="I101"/>
  <c r="G101"/>
  <c r="M103"/>
  <c r="K103"/>
  <c r="I103"/>
  <c r="G103"/>
  <c r="J12"/>
  <c r="H14"/>
  <c r="H16"/>
  <c r="J17"/>
  <c r="H21"/>
  <c r="J21"/>
  <c r="J23"/>
  <c r="H27"/>
  <c r="H29"/>
  <c r="H31"/>
  <c r="J33"/>
  <c r="J35"/>
  <c r="H37"/>
  <c r="J37"/>
  <c r="J39"/>
  <c r="H41"/>
  <c r="J41"/>
  <c r="H43"/>
  <c r="H11"/>
  <c r="J11"/>
  <c r="G12"/>
  <c r="I12"/>
  <c r="K12"/>
  <c r="H13"/>
  <c r="L13" s="1"/>
  <c r="G14"/>
  <c r="I14"/>
  <c r="K14"/>
  <c r="H15"/>
  <c r="G17"/>
  <c r="I17"/>
  <c r="K17"/>
  <c r="H18"/>
  <c r="G19"/>
  <c r="I19"/>
  <c r="K19"/>
  <c r="M19"/>
  <c r="H20"/>
  <c r="G21"/>
  <c r="I21"/>
  <c r="K21"/>
  <c r="H22"/>
  <c r="G23"/>
  <c r="I23"/>
  <c r="K23"/>
  <c r="M23"/>
  <c r="H24"/>
  <c r="L24" s="1"/>
  <c r="G25"/>
  <c r="I25"/>
  <c r="K25"/>
  <c r="H26"/>
  <c r="G27"/>
  <c r="I27"/>
  <c r="K27"/>
  <c r="H28"/>
  <c r="G29"/>
  <c r="I29"/>
  <c r="K29"/>
  <c r="M29"/>
  <c r="H30"/>
  <c r="G31"/>
  <c r="I31"/>
  <c r="K31"/>
  <c r="M31"/>
  <c r="H32"/>
  <c r="G33"/>
  <c r="I33"/>
  <c r="K33"/>
  <c r="M33"/>
  <c r="H34"/>
  <c r="G35"/>
  <c r="I35"/>
  <c r="K35"/>
  <c r="H36"/>
  <c r="L36" s="1"/>
  <c r="G37"/>
  <c r="I37"/>
  <c r="K37"/>
  <c r="H38"/>
  <c r="G39"/>
  <c r="I39"/>
  <c r="K39"/>
  <c r="M39"/>
  <c r="H40"/>
  <c r="G41"/>
  <c r="I41"/>
  <c r="K41"/>
  <c r="H42"/>
  <c r="G43"/>
  <c r="I43"/>
  <c r="K43"/>
  <c r="H44"/>
  <c r="L44" s="1"/>
  <c r="G45"/>
  <c r="I45"/>
  <c r="K45"/>
  <c r="H46"/>
  <c r="G47"/>
  <c r="I47"/>
  <c r="K47"/>
  <c r="H48"/>
  <c r="G49"/>
  <c r="I49"/>
  <c r="K49"/>
  <c r="M49"/>
  <c r="H50"/>
  <c r="G51"/>
  <c r="I51"/>
  <c r="K51"/>
  <c r="M51"/>
  <c r="H52"/>
  <c r="G53"/>
  <c r="I53"/>
  <c r="K53"/>
  <c r="H54"/>
  <c r="G55"/>
  <c r="I55"/>
  <c r="K55"/>
  <c r="M55"/>
  <c r="H56"/>
  <c r="G57"/>
  <c r="I57"/>
  <c r="K57"/>
  <c r="M57"/>
  <c r="H58"/>
  <c r="G59"/>
  <c r="I59"/>
  <c r="K59"/>
  <c r="H60"/>
  <c r="G61"/>
  <c r="I61"/>
  <c r="K61"/>
  <c r="M61"/>
  <c r="H62"/>
  <c r="G63"/>
  <c r="I63"/>
  <c r="K63"/>
  <c r="H64"/>
  <c r="G65"/>
  <c r="I65"/>
  <c r="K65"/>
  <c r="M65"/>
  <c r="H66"/>
  <c r="G67"/>
  <c r="I67"/>
  <c r="K67"/>
  <c r="H68"/>
  <c r="L68" s="1"/>
  <c r="G69"/>
  <c r="I69"/>
  <c r="K69"/>
  <c r="M69"/>
  <c r="H70"/>
  <c r="G71"/>
  <c r="I71"/>
  <c r="K71"/>
  <c r="H72"/>
  <c r="G73"/>
  <c r="I73"/>
  <c r="K73"/>
  <c r="J75"/>
  <c r="J77"/>
  <c r="J79"/>
  <c r="J81"/>
  <c r="J83"/>
  <c r="J85"/>
  <c r="J87"/>
  <c r="J89"/>
  <c r="J91"/>
  <c r="J93"/>
  <c r="J95"/>
  <c r="J97"/>
  <c r="J99"/>
  <c r="J101"/>
  <c r="J103"/>
  <c r="H19"/>
  <c r="H25"/>
  <c r="H45"/>
  <c r="H47"/>
  <c r="H49"/>
  <c r="H51"/>
  <c r="H53"/>
  <c r="H55"/>
  <c r="H57"/>
  <c r="H59"/>
  <c r="H61"/>
  <c r="H63"/>
  <c r="H65"/>
  <c r="H67"/>
  <c r="H69"/>
  <c r="H71"/>
  <c r="H73"/>
  <c r="J73"/>
  <c r="H97"/>
  <c r="H99"/>
  <c r="H101"/>
  <c r="H103"/>
  <c r="H74"/>
  <c r="H76"/>
  <c r="H78"/>
  <c r="H80"/>
  <c r="H82"/>
  <c r="H84"/>
  <c r="H86"/>
  <c r="H88"/>
  <c r="H90"/>
  <c r="H92"/>
  <c r="H94"/>
  <c r="H96"/>
  <c r="H98"/>
  <c r="H100"/>
  <c r="H102"/>
  <c r="H104"/>
  <c r="G105"/>
  <c r="I105"/>
  <c r="K105"/>
  <c r="M105"/>
  <c r="H106"/>
  <c r="G107"/>
  <c r="I107"/>
  <c r="K107"/>
  <c r="M107"/>
  <c r="H108"/>
  <c r="G109"/>
  <c r="I109"/>
  <c r="K109"/>
  <c r="M109"/>
  <c r="H110"/>
  <c r="L110" s="1"/>
  <c r="G111"/>
  <c r="I111"/>
  <c r="K111"/>
  <c r="M111"/>
  <c r="H112"/>
  <c r="G113"/>
  <c r="I113"/>
  <c r="K113"/>
  <c r="H114"/>
  <c r="L114" s="1"/>
  <c r="G115"/>
  <c r="I115"/>
  <c r="K115"/>
  <c r="H116"/>
  <c r="G117"/>
  <c r="I117"/>
  <c r="K117"/>
  <c r="H118"/>
  <c r="G119"/>
  <c r="I119"/>
  <c r="K119"/>
  <c r="M119"/>
  <c r="H120"/>
  <c r="G121"/>
  <c r="I121"/>
  <c r="K121"/>
  <c r="H122"/>
  <c r="G123"/>
  <c r="I123"/>
  <c r="K123"/>
  <c r="H124"/>
  <c r="G125"/>
  <c r="I125"/>
  <c r="K125"/>
  <c r="H126"/>
  <c r="G127"/>
  <c r="I127"/>
  <c r="K127"/>
  <c r="M127"/>
  <c r="H128"/>
  <c r="G129"/>
  <c r="I129"/>
  <c r="K129"/>
  <c r="H130"/>
  <c r="G131"/>
  <c r="I131"/>
  <c r="K131"/>
  <c r="M131"/>
  <c r="H132"/>
  <c r="G133"/>
  <c r="I133"/>
  <c r="K133"/>
  <c r="M133"/>
  <c r="H134"/>
  <c r="G135"/>
  <c r="I135"/>
  <c r="K135"/>
  <c r="M135"/>
  <c r="H136"/>
  <c r="J136"/>
  <c r="H105"/>
  <c r="H107"/>
  <c r="H109"/>
  <c r="H111"/>
  <c r="H113"/>
  <c r="H115"/>
  <c r="H117"/>
  <c r="H119"/>
  <c r="H121"/>
  <c r="H123"/>
  <c r="H125"/>
  <c r="H127"/>
  <c r="H129"/>
  <c r="H131"/>
  <c r="H133"/>
  <c r="H135"/>
  <c r="K136"/>
  <c r="K146" l="1"/>
  <c r="L124"/>
  <c r="K145"/>
  <c r="L116"/>
  <c r="L108"/>
  <c r="N108" s="1"/>
  <c r="L100"/>
  <c r="L92"/>
  <c r="L84"/>
  <c r="N84" s="1"/>
  <c r="L76"/>
  <c r="M136"/>
  <c r="M71"/>
  <c r="M63"/>
  <c r="M47"/>
  <c r="L46"/>
  <c r="M35"/>
  <c r="M27"/>
  <c r="M17"/>
  <c r="L132"/>
  <c r="M125"/>
  <c r="M117"/>
  <c r="L130"/>
  <c r="M123"/>
  <c r="M115"/>
  <c r="N114"/>
  <c r="L82"/>
  <c r="N68"/>
  <c r="L60"/>
  <c r="M53"/>
  <c r="L52"/>
  <c r="M45"/>
  <c r="L32"/>
  <c r="M25"/>
  <c r="M14"/>
  <c r="N13"/>
  <c r="G144"/>
  <c r="M101"/>
  <c r="M99"/>
  <c r="M95"/>
  <c r="M93"/>
  <c r="M89"/>
  <c r="M87"/>
  <c r="M85"/>
  <c r="M83"/>
  <c r="M79"/>
  <c r="M75"/>
  <c r="M129"/>
  <c r="M121"/>
  <c r="M113"/>
  <c r="L96"/>
  <c r="M67"/>
  <c r="L66"/>
  <c r="M59"/>
  <c r="M43"/>
  <c r="L40"/>
  <c r="N40" s="1"/>
  <c r="L30"/>
  <c r="L20"/>
  <c r="M12"/>
  <c r="J145"/>
  <c r="L122"/>
  <c r="L58"/>
  <c r="L22"/>
  <c r="L128"/>
  <c r="L120"/>
  <c r="L112"/>
  <c r="N112" s="1"/>
  <c r="L104"/>
  <c r="N104" s="1"/>
  <c r="L88"/>
  <c r="L80"/>
  <c r="L72"/>
  <c r="L64"/>
  <c r="L56"/>
  <c r="N56" s="1"/>
  <c r="L48"/>
  <c r="L38"/>
  <c r="L28"/>
  <c r="K144"/>
  <c r="BJ46" i="20"/>
  <c r="BJ47" s="1"/>
  <c r="BJ33"/>
  <c r="BJ43" s="1"/>
  <c r="AJ18"/>
  <c r="BK14"/>
  <c r="BK15" s="1"/>
  <c r="BK28"/>
  <c r="BK32" s="1"/>
  <c r="BJ15"/>
  <c r="L106" i="6"/>
  <c r="L98"/>
  <c r="L90"/>
  <c r="L74"/>
  <c r="L50"/>
  <c r="N50" s="1"/>
  <c r="L42"/>
  <c r="L134"/>
  <c r="N134" s="1"/>
  <c r="L126"/>
  <c r="L118"/>
  <c r="L102"/>
  <c r="L94"/>
  <c r="N94" s="1"/>
  <c r="L86"/>
  <c r="L78"/>
  <c r="L70"/>
  <c r="N70" s="1"/>
  <c r="L62"/>
  <c r="L54"/>
  <c r="L34"/>
  <c r="N34" s="1"/>
  <c r="L26"/>
  <c r="K143"/>
  <c r="AJ13" i="20" s="1"/>
  <c r="L15" i="6"/>
  <c r="J143"/>
  <c r="AJ12" i="20" s="1"/>
  <c r="K140" i="6"/>
  <c r="G140"/>
  <c r="L135"/>
  <c r="N135" s="1"/>
  <c r="G146"/>
  <c r="L119"/>
  <c r="N119" s="1"/>
  <c r="G145"/>
  <c r="L18"/>
  <c r="L11"/>
  <c r="H144"/>
  <c r="H140"/>
  <c r="L16"/>
  <c r="H147"/>
  <c r="J144"/>
  <c r="J140"/>
  <c r="I144"/>
  <c r="I140"/>
  <c r="L136"/>
  <c r="N136" s="1"/>
  <c r="L131"/>
  <c r="N131" s="1"/>
  <c r="L127"/>
  <c r="N127" s="1"/>
  <c r="L123"/>
  <c r="N123" s="1"/>
  <c r="L115"/>
  <c r="N115" s="1"/>
  <c r="L111"/>
  <c r="N111" s="1"/>
  <c r="L107"/>
  <c r="N107" s="1"/>
  <c r="H146"/>
  <c r="H145"/>
  <c r="H143" s="1"/>
  <c r="AJ10" i="20" s="1"/>
  <c r="I146" i="6"/>
  <c r="I145"/>
  <c r="I143" s="1"/>
  <c r="AJ11" i="20" s="1"/>
  <c r="L69" i="6"/>
  <c r="N69" s="1"/>
  <c r="L65"/>
  <c r="N65" s="1"/>
  <c r="L61"/>
  <c r="N61" s="1"/>
  <c r="L57"/>
  <c r="N57" s="1"/>
  <c r="L53"/>
  <c r="L49"/>
  <c r="N49" s="1"/>
  <c r="L45"/>
  <c r="N45" s="1"/>
  <c r="L141" i="7"/>
  <c r="L144" s="1"/>
  <c r="G144"/>
  <c r="L73" i="6"/>
  <c r="N73" s="1"/>
  <c r="L39"/>
  <c r="N39" s="1"/>
  <c r="L37"/>
  <c r="L33"/>
  <c r="N33" s="1"/>
  <c r="L29"/>
  <c r="N29" s="1"/>
  <c r="L25"/>
  <c r="L19"/>
  <c r="N19" s="1"/>
  <c r="L14"/>
  <c r="N14" s="1"/>
  <c r="L103"/>
  <c r="N103" s="1"/>
  <c r="L101"/>
  <c r="L99"/>
  <c r="N99" s="1"/>
  <c r="L97"/>
  <c r="N97" s="1"/>
  <c r="L95"/>
  <c r="N95" s="1"/>
  <c r="L93"/>
  <c r="N93" s="1"/>
  <c r="L91"/>
  <c r="N91" s="1"/>
  <c r="L89"/>
  <c r="L87"/>
  <c r="N87" s="1"/>
  <c r="L85"/>
  <c r="N85" s="1"/>
  <c r="L83"/>
  <c r="N83" s="1"/>
  <c r="L81"/>
  <c r="N81" s="1"/>
  <c r="L79"/>
  <c r="N79" s="1"/>
  <c r="L77"/>
  <c r="N77" s="1"/>
  <c r="L75"/>
  <c r="N75" s="1"/>
  <c r="M37"/>
  <c r="M132"/>
  <c r="N132" s="1"/>
  <c r="M130"/>
  <c r="N130" s="1"/>
  <c r="M128"/>
  <c r="N128" s="1"/>
  <c r="M126"/>
  <c r="M124"/>
  <c r="N124" s="1"/>
  <c r="M122"/>
  <c r="M120"/>
  <c r="N120" s="1"/>
  <c r="M118"/>
  <c r="N118" s="1"/>
  <c r="M116"/>
  <c r="N116" s="1"/>
  <c r="M110"/>
  <c r="N110" s="1"/>
  <c r="M106"/>
  <c r="P5"/>
  <c r="M102"/>
  <c r="N102" s="1"/>
  <c r="M100"/>
  <c r="N100" s="1"/>
  <c r="M98"/>
  <c r="N98" s="1"/>
  <c r="M96"/>
  <c r="N96" s="1"/>
  <c r="M92"/>
  <c r="N92" s="1"/>
  <c r="M90"/>
  <c r="M88"/>
  <c r="N88" s="1"/>
  <c r="M86"/>
  <c r="M82"/>
  <c r="N82" s="1"/>
  <c r="M80"/>
  <c r="N80" s="1"/>
  <c r="M78"/>
  <c r="N78" s="1"/>
  <c r="M76"/>
  <c r="N76" s="1"/>
  <c r="M74"/>
  <c r="N74" s="1"/>
  <c r="M72"/>
  <c r="M66"/>
  <c r="N66" s="1"/>
  <c r="M64"/>
  <c r="M62"/>
  <c r="N62" s="1"/>
  <c r="M60"/>
  <c r="N60" s="1"/>
  <c r="M58"/>
  <c r="M54"/>
  <c r="M52"/>
  <c r="N52" s="1"/>
  <c r="M48"/>
  <c r="N48" s="1"/>
  <c r="M46"/>
  <c r="N46" s="1"/>
  <c r="M44"/>
  <c r="N44" s="1"/>
  <c r="M42"/>
  <c r="N42" s="1"/>
  <c r="M38"/>
  <c r="M32"/>
  <c r="N32" s="1"/>
  <c r="M24"/>
  <c r="N24" s="1"/>
  <c r="M22"/>
  <c r="N22" s="1"/>
  <c r="M18"/>
  <c r="M15"/>
  <c r="M11"/>
  <c r="M36"/>
  <c r="N36" s="1"/>
  <c r="M30"/>
  <c r="N30" s="1"/>
  <c r="M28"/>
  <c r="M26"/>
  <c r="N26" s="1"/>
  <c r="M20"/>
  <c r="N20" s="1"/>
  <c r="N122"/>
  <c r="N106"/>
  <c r="L133"/>
  <c r="N133" s="1"/>
  <c r="L129"/>
  <c r="N129" s="1"/>
  <c r="L125"/>
  <c r="N125" s="1"/>
  <c r="L121"/>
  <c r="N121" s="1"/>
  <c r="L117"/>
  <c r="L113"/>
  <c r="N113" s="1"/>
  <c r="L109"/>
  <c r="N109" s="1"/>
  <c r="L105"/>
  <c r="N105" s="1"/>
  <c r="L71"/>
  <c r="N71" s="1"/>
  <c r="L67"/>
  <c r="N67" s="1"/>
  <c r="L63"/>
  <c r="L59"/>
  <c r="L55"/>
  <c r="N55" s="1"/>
  <c r="L51"/>
  <c r="N51" s="1"/>
  <c r="L47"/>
  <c r="N47" s="1"/>
  <c r="L43"/>
  <c r="N43" s="1"/>
  <c r="L41"/>
  <c r="N41" s="1"/>
  <c r="L35"/>
  <c r="N35" s="1"/>
  <c r="L31"/>
  <c r="N31" s="1"/>
  <c r="L27"/>
  <c r="L23"/>
  <c r="N23" s="1"/>
  <c r="L21"/>
  <c r="L17"/>
  <c r="N17" s="1"/>
  <c r="L12"/>
  <c r="N12" s="1"/>
  <c r="M21"/>
  <c r="M16"/>
  <c r="N117" l="1"/>
  <c r="N89"/>
  <c r="N27"/>
  <c r="N59"/>
  <c r="N63"/>
  <c r="N101"/>
  <c r="N25"/>
  <c r="N53"/>
  <c r="AJ14" i="20"/>
  <c r="N54" i="6"/>
  <c r="N126"/>
  <c r="H152"/>
  <c r="AJ39" i="20"/>
  <c r="AJ40" s="1"/>
  <c r="AJ41" s="1"/>
  <c r="L147" i="6"/>
  <c r="L146"/>
  <c r="AJ17" i="20" s="1"/>
  <c r="BK46"/>
  <c r="BK47" s="1"/>
  <c r="B6" i="25" s="1"/>
  <c r="BK33" i="20"/>
  <c r="BK43" s="1"/>
  <c r="N28" i="6"/>
  <c r="N15"/>
  <c r="N58"/>
  <c r="I151"/>
  <c r="AK20" i="20" s="1"/>
  <c r="AJ20"/>
  <c r="AJ29" s="1"/>
  <c r="K148" i="6"/>
  <c r="J151"/>
  <c r="AK21" i="20" s="1"/>
  <c r="AJ21"/>
  <c r="AJ30" s="1"/>
  <c r="H151" i="6"/>
  <c r="AK19" i="20" s="1"/>
  <c r="AJ19"/>
  <c r="N64" i="6"/>
  <c r="N86"/>
  <c r="N38"/>
  <c r="N72"/>
  <c r="N90"/>
  <c r="L145"/>
  <c r="AJ8" i="20" s="1"/>
  <c r="K150" i="6"/>
  <c r="L144"/>
  <c r="K151"/>
  <c r="AK22" i="20" s="1"/>
  <c r="AJ22"/>
  <c r="AJ31" s="1"/>
  <c r="H150" i="6"/>
  <c r="H148"/>
  <c r="N16"/>
  <c r="E147"/>
  <c r="AJ52" i="20" s="1"/>
  <c r="J150" i="6"/>
  <c r="J148"/>
  <c r="N18"/>
  <c r="E143"/>
  <c r="AJ50" i="20" s="1"/>
  <c r="I150" i="6"/>
  <c r="I148"/>
  <c r="L140"/>
  <c r="E144"/>
  <c r="AJ51" i="20" s="1"/>
  <c r="G143" i="6"/>
  <c r="N21"/>
  <c r="M138"/>
  <c r="N37"/>
  <c r="N11"/>
  <c r="G148" l="1"/>
  <c r="L143"/>
  <c r="L148" s="1"/>
  <c r="AJ9" i="20"/>
  <c r="AJ27" s="1"/>
  <c r="G151" i="6"/>
  <c r="AK18" i="20" s="1"/>
  <c r="I153" i="6"/>
  <c r="AK11" i="20"/>
  <c r="AK29" s="1"/>
  <c r="J153" i="6"/>
  <c r="AK12" i="20"/>
  <c r="AK30" s="1"/>
  <c r="H153" i="6"/>
  <c r="AK10" i="20"/>
  <c r="K153" i="6"/>
  <c r="AK13" i="20"/>
  <c r="AK31" s="1"/>
  <c r="AJ23"/>
  <c r="AJ24" s="1"/>
  <c r="D6" i="25"/>
  <c r="N138" i="6"/>
  <c r="AJ53" i="20"/>
  <c r="AJ26"/>
  <c r="AJ45" s="1"/>
  <c r="AK23"/>
  <c r="L152" i="6"/>
  <c r="AK39" i="20"/>
  <c r="AK40" s="1"/>
  <c r="AK41" s="1"/>
  <c r="AK59" s="1"/>
  <c r="AJ28"/>
  <c r="AJ32" s="1"/>
  <c r="E148" i="6"/>
  <c r="L151"/>
  <c r="G136" i="5"/>
  <c r="F136"/>
  <c r="J136" s="1"/>
  <c r="H135"/>
  <c r="F135"/>
  <c r="F134"/>
  <c r="J134" s="1"/>
  <c r="F133"/>
  <c r="H133" s="1"/>
  <c r="I132"/>
  <c r="F132"/>
  <c r="J132" s="1"/>
  <c r="F131"/>
  <c r="H131" s="1"/>
  <c r="F130"/>
  <c r="J130" s="1"/>
  <c r="F129"/>
  <c r="H129" s="1"/>
  <c r="F128"/>
  <c r="J128" s="1"/>
  <c r="F127"/>
  <c r="H127" s="1"/>
  <c r="F126"/>
  <c r="J126" s="1"/>
  <c r="F125"/>
  <c r="H125" s="1"/>
  <c r="I124"/>
  <c r="F124"/>
  <c r="J124" s="1"/>
  <c r="F123"/>
  <c r="H123" s="1"/>
  <c r="F122"/>
  <c r="J122" s="1"/>
  <c r="F121"/>
  <c r="H121" s="1"/>
  <c r="F120"/>
  <c r="J120" s="1"/>
  <c r="F119"/>
  <c r="H119" s="1"/>
  <c r="F118"/>
  <c r="J118" s="1"/>
  <c r="F117"/>
  <c r="H117" s="1"/>
  <c r="I116"/>
  <c r="F116"/>
  <c r="J116" s="1"/>
  <c r="F115"/>
  <c r="H115" s="1"/>
  <c r="K114"/>
  <c r="G114"/>
  <c r="F114"/>
  <c r="J114" s="1"/>
  <c r="H113"/>
  <c r="F113"/>
  <c r="F112"/>
  <c r="J112" s="1"/>
  <c r="F111"/>
  <c r="H111" s="1"/>
  <c r="F110"/>
  <c r="J110" s="1"/>
  <c r="F109"/>
  <c r="H109" s="1"/>
  <c r="F108"/>
  <c r="J108" s="1"/>
  <c r="F107"/>
  <c r="H107" s="1"/>
  <c r="F106"/>
  <c r="J106" s="1"/>
  <c r="F105"/>
  <c r="H105" s="1"/>
  <c r="K104"/>
  <c r="F104"/>
  <c r="J104" s="1"/>
  <c r="F103"/>
  <c r="H103" s="1"/>
  <c r="F102"/>
  <c r="J102" s="1"/>
  <c r="F101"/>
  <c r="H101" s="1"/>
  <c r="G100"/>
  <c r="F100"/>
  <c r="J100" s="1"/>
  <c r="H99"/>
  <c r="F99"/>
  <c r="K98"/>
  <c r="I98"/>
  <c r="G98"/>
  <c r="F98"/>
  <c r="J98" s="1"/>
  <c r="H97"/>
  <c r="F97"/>
  <c r="F96"/>
  <c r="J96" s="1"/>
  <c r="F95"/>
  <c r="H95" s="1"/>
  <c r="F94"/>
  <c r="J94" s="1"/>
  <c r="F93"/>
  <c r="H93" s="1"/>
  <c r="F92"/>
  <c r="J92" s="1"/>
  <c r="F91"/>
  <c r="H91" s="1"/>
  <c r="I90"/>
  <c r="F90"/>
  <c r="J90" s="1"/>
  <c r="F89"/>
  <c r="H89" s="1"/>
  <c r="F88"/>
  <c r="J88" s="1"/>
  <c r="F87"/>
  <c r="H87" s="1"/>
  <c r="F86"/>
  <c r="J86" s="1"/>
  <c r="F85"/>
  <c r="H85" s="1"/>
  <c r="K84"/>
  <c r="G84"/>
  <c r="F84"/>
  <c r="J84" s="1"/>
  <c r="H83"/>
  <c r="F83"/>
  <c r="F82"/>
  <c r="J82" s="1"/>
  <c r="F81"/>
  <c r="H81" s="1"/>
  <c r="I80"/>
  <c r="F80"/>
  <c r="J80" s="1"/>
  <c r="F79"/>
  <c r="H79" s="1"/>
  <c r="G78"/>
  <c r="F78"/>
  <c r="J78" s="1"/>
  <c r="H77"/>
  <c r="F77"/>
  <c r="K76"/>
  <c r="I76"/>
  <c r="G76"/>
  <c r="F76"/>
  <c r="J76" s="1"/>
  <c r="H75"/>
  <c r="F75"/>
  <c r="K74"/>
  <c r="F74"/>
  <c r="J74" s="1"/>
  <c r="F73"/>
  <c r="M73" s="1"/>
  <c r="F72"/>
  <c r="J72" s="1"/>
  <c r="F71"/>
  <c r="I70"/>
  <c r="F70"/>
  <c r="J70" s="1"/>
  <c r="F69"/>
  <c r="M69" s="1"/>
  <c r="F68"/>
  <c r="J68" s="1"/>
  <c r="F67"/>
  <c r="M67" s="1"/>
  <c r="I66"/>
  <c r="F66"/>
  <c r="J66" s="1"/>
  <c r="F65"/>
  <c r="M65" s="1"/>
  <c r="I64"/>
  <c r="F64"/>
  <c r="J64" s="1"/>
  <c r="F63"/>
  <c r="K62"/>
  <c r="G62"/>
  <c r="F62"/>
  <c r="J62" s="1"/>
  <c r="F61"/>
  <c r="M61" s="1"/>
  <c r="F60"/>
  <c r="J60" s="1"/>
  <c r="F59"/>
  <c r="F58"/>
  <c r="J58" s="1"/>
  <c r="F57"/>
  <c r="M57" s="1"/>
  <c r="F56"/>
  <c r="J56" s="1"/>
  <c r="F55"/>
  <c r="M55" s="1"/>
  <c r="F54"/>
  <c r="J54" s="1"/>
  <c r="F53"/>
  <c r="K52"/>
  <c r="G52"/>
  <c r="F52"/>
  <c r="J52" s="1"/>
  <c r="F51"/>
  <c r="M51" s="1"/>
  <c r="G50"/>
  <c r="F50"/>
  <c r="J50" s="1"/>
  <c r="F49"/>
  <c r="M49" s="1"/>
  <c r="F48"/>
  <c r="J48" s="1"/>
  <c r="F47"/>
  <c r="I46"/>
  <c r="F46"/>
  <c r="J46" s="1"/>
  <c r="F45"/>
  <c r="I44"/>
  <c r="F44"/>
  <c r="J44" s="1"/>
  <c r="F43"/>
  <c r="G42"/>
  <c r="F42"/>
  <c r="J42" s="1"/>
  <c r="F41"/>
  <c r="I40"/>
  <c r="F40"/>
  <c r="J40" s="1"/>
  <c r="F39"/>
  <c r="M39" s="1"/>
  <c r="I38"/>
  <c r="F38"/>
  <c r="J38" s="1"/>
  <c r="F37"/>
  <c r="G36"/>
  <c r="F36"/>
  <c r="J36" s="1"/>
  <c r="F35"/>
  <c r="I34"/>
  <c r="F34"/>
  <c r="J34" s="1"/>
  <c r="F33"/>
  <c r="M33" s="1"/>
  <c r="I32"/>
  <c r="F32"/>
  <c r="J32" s="1"/>
  <c r="F31"/>
  <c r="M31" s="1"/>
  <c r="G30"/>
  <c r="F30"/>
  <c r="J30" s="1"/>
  <c r="F29"/>
  <c r="F28"/>
  <c r="J28" s="1"/>
  <c r="F27"/>
  <c r="H27" s="1"/>
  <c r="F26"/>
  <c r="J26" s="1"/>
  <c r="F25"/>
  <c r="H25" s="1"/>
  <c r="F24"/>
  <c r="J24" s="1"/>
  <c r="F23"/>
  <c r="H23" s="1"/>
  <c r="I22"/>
  <c r="F22"/>
  <c r="J22" s="1"/>
  <c r="F21"/>
  <c r="H21" s="1"/>
  <c r="F20"/>
  <c r="J20" s="1"/>
  <c r="F19"/>
  <c r="H19" s="1"/>
  <c r="F18"/>
  <c r="J18" s="1"/>
  <c r="F17"/>
  <c r="G16"/>
  <c r="G147" s="1"/>
  <c r="F16"/>
  <c r="I15"/>
  <c r="F15"/>
  <c r="J15" s="1"/>
  <c r="F14"/>
  <c r="H14" s="1"/>
  <c r="I13"/>
  <c r="F13"/>
  <c r="J13" s="1"/>
  <c r="F12"/>
  <c r="H12" s="1"/>
  <c r="K11"/>
  <c r="G11"/>
  <c r="F11"/>
  <c r="I11" s="1"/>
  <c r="E7"/>
  <c r="AJ15" i="20" l="1"/>
  <c r="K13" i="5"/>
  <c r="I18"/>
  <c r="K30"/>
  <c r="K34"/>
  <c r="K36"/>
  <c r="K40"/>
  <c r="K42"/>
  <c r="K46"/>
  <c r="G56"/>
  <c r="G58"/>
  <c r="K66"/>
  <c r="K80"/>
  <c r="G82"/>
  <c r="I94"/>
  <c r="G96"/>
  <c r="K100"/>
  <c r="G102"/>
  <c r="I108"/>
  <c r="G110"/>
  <c r="I120"/>
  <c r="K56"/>
  <c r="I58"/>
  <c r="K96"/>
  <c r="I102"/>
  <c r="K110"/>
  <c r="K82"/>
  <c r="G13"/>
  <c r="I26"/>
  <c r="G34"/>
  <c r="G40"/>
  <c r="G46"/>
  <c r="K50"/>
  <c r="I52"/>
  <c r="K58"/>
  <c r="G66"/>
  <c r="G74"/>
  <c r="K78"/>
  <c r="G80"/>
  <c r="I84"/>
  <c r="I86"/>
  <c r="K102"/>
  <c r="G104"/>
  <c r="I128"/>
  <c r="K136"/>
  <c r="H16"/>
  <c r="H147" s="1"/>
  <c r="G152"/>
  <c r="I20"/>
  <c r="I24"/>
  <c r="I28"/>
  <c r="I48"/>
  <c r="I54"/>
  <c r="I60"/>
  <c r="I68"/>
  <c r="M70"/>
  <c r="I72"/>
  <c r="I88"/>
  <c r="I92"/>
  <c r="M94"/>
  <c r="I106"/>
  <c r="M108"/>
  <c r="I112"/>
  <c r="I118"/>
  <c r="I122"/>
  <c r="I126"/>
  <c r="I130"/>
  <c r="I134"/>
  <c r="AJ33" i="20"/>
  <c r="AJ43" s="1"/>
  <c r="AJ46"/>
  <c r="AJ47" s="1"/>
  <c r="M13" i="5"/>
  <c r="G15"/>
  <c r="AH38" i="20"/>
  <c r="L147" i="5"/>
  <c r="G18"/>
  <c r="K20"/>
  <c r="G22"/>
  <c r="K24"/>
  <c r="G26"/>
  <c r="K28"/>
  <c r="I30"/>
  <c r="G32"/>
  <c r="M34"/>
  <c r="I36"/>
  <c r="G38"/>
  <c r="M40"/>
  <c r="I42"/>
  <c r="G44"/>
  <c r="K48"/>
  <c r="I50"/>
  <c r="K54"/>
  <c r="I56"/>
  <c r="K60"/>
  <c r="I62"/>
  <c r="G64"/>
  <c r="K68"/>
  <c r="G70"/>
  <c r="K72"/>
  <c r="I74"/>
  <c r="I78"/>
  <c r="I82"/>
  <c r="M84"/>
  <c r="G86"/>
  <c r="K88"/>
  <c r="G90"/>
  <c r="K92"/>
  <c r="G94"/>
  <c r="I96"/>
  <c r="I100"/>
  <c r="I104"/>
  <c r="K106"/>
  <c r="G108"/>
  <c r="I110"/>
  <c r="K112"/>
  <c r="M114"/>
  <c r="G116"/>
  <c r="K118"/>
  <c r="G120"/>
  <c r="K122"/>
  <c r="G124"/>
  <c r="K126"/>
  <c r="G128"/>
  <c r="K130"/>
  <c r="G132"/>
  <c r="K134"/>
  <c r="G150" i="6"/>
  <c r="AK9" i="20" s="1"/>
  <c r="AK27" s="1"/>
  <c r="AK45" s="1"/>
  <c r="M68" i="5"/>
  <c r="M112"/>
  <c r="M134"/>
  <c r="AK28" i="20"/>
  <c r="AK32" s="1"/>
  <c r="AK14"/>
  <c r="F140" i="5"/>
  <c r="K15"/>
  <c r="H17"/>
  <c r="K18"/>
  <c r="G20"/>
  <c r="K22"/>
  <c r="G24"/>
  <c r="K26"/>
  <c r="G28"/>
  <c r="K32"/>
  <c r="K38"/>
  <c r="K44"/>
  <c r="G48"/>
  <c r="M50"/>
  <c r="G54"/>
  <c r="M56"/>
  <c r="G60"/>
  <c r="K64"/>
  <c r="G68"/>
  <c r="K70"/>
  <c r="G72"/>
  <c r="K86"/>
  <c r="G88"/>
  <c r="K90"/>
  <c r="G92"/>
  <c r="K94"/>
  <c r="M104"/>
  <c r="G106"/>
  <c r="K108"/>
  <c r="M110"/>
  <c r="G112"/>
  <c r="I114"/>
  <c r="K116"/>
  <c r="G118"/>
  <c r="K120"/>
  <c r="G122"/>
  <c r="K124"/>
  <c r="G126"/>
  <c r="K128"/>
  <c r="G130"/>
  <c r="K132"/>
  <c r="G134"/>
  <c r="I136"/>
  <c r="AK24" i="20"/>
  <c r="M12" i="5"/>
  <c r="K12"/>
  <c r="I12"/>
  <c r="G12"/>
  <c r="M14"/>
  <c r="K14"/>
  <c r="I14"/>
  <c r="G14"/>
  <c r="K17"/>
  <c r="K144" s="1"/>
  <c r="I17"/>
  <c r="G17"/>
  <c r="K19"/>
  <c r="I19"/>
  <c r="G19"/>
  <c r="K21"/>
  <c r="I21"/>
  <c r="G21"/>
  <c r="M23"/>
  <c r="K23"/>
  <c r="I23"/>
  <c r="G23"/>
  <c r="L23" s="1"/>
  <c r="N23" s="1"/>
  <c r="K25"/>
  <c r="I25"/>
  <c r="G25"/>
  <c r="K27"/>
  <c r="I27"/>
  <c r="G27"/>
  <c r="L16"/>
  <c r="J12"/>
  <c r="J14"/>
  <c r="J17"/>
  <c r="J19"/>
  <c r="J21"/>
  <c r="J23"/>
  <c r="J25"/>
  <c r="J27"/>
  <c r="K75"/>
  <c r="I75"/>
  <c r="G75"/>
  <c r="M77"/>
  <c r="K77"/>
  <c r="I77"/>
  <c r="G77"/>
  <c r="K79"/>
  <c r="I79"/>
  <c r="G79"/>
  <c r="M81"/>
  <c r="K81"/>
  <c r="I81"/>
  <c r="G81"/>
  <c r="K83"/>
  <c r="I83"/>
  <c r="G83"/>
  <c r="K85"/>
  <c r="I85"/>
  <c r="G85"/>
  <c r="K87"/>
  <c r="I87"/>
  <c r="G87"/>
  <c r="K89"/>
  <c r="I89"/>
  <c r="G89"/>
  <c r="M91"/>
  <c r="K91"/>
  <c r="I91"/>
  <c r="G91"/>
  <c r="K93"/>
  <c r="I93"/>
  <c r="G93"/>
  <c r="K95"/>
  <c r="I95"/>
  <c r="G95"/>
  <c r="M97"/>
  <c r="K97"/>
  <c r="I97"/>
  <c r="G97"/>
  <c r="K99"/>
  <c r="I99"/>
  <c r="G99"/>
  <c r="K101"/>
  <c r="I101"/>
  <c r="G101"/>
  <c r="M103"/>
  <c r="K103"/>
  <c r="I103"/>
  <c r="G103"/>
  <c r="M105"/>
  <c r="K105"/>
  <c r="I105"/>
  <c r="G105"/>
  <c r="M107"/>
  <c r="K107"/>
  <c r="I107"/>
  <c r="G107"/>
  <c r="M109"/>
  <c r="K109"/>
  <c r="I109"/>
  <c r="G109"/>
  <c r="K111"/>
  <c r="I111"/>
  <c r="G111"/>
  <c r="K113"/>
  <c r="I113"/>
  <c r="G113"/>
  <c r="K115"/>
  <c r="I115"/>
  <c r="G115"/>
  <c r="K117"/>
  <c r="I117"/>
  <c r="G117"/>
  <c r="M119"/>
  <c r="K119"/>
  <c r="I119"/>
  <c r="I145" s="1"/>
  <c r="G119"/>
  <c r="K121"/>
  <c r="I121"/>
  <c r="G121"/>
  <c r="K123"/>
  <c r="I123"/>
  <c r="G123"/>
  <c r="K125"/>
  <c r="I125"/>
  <c r="G125"/>
  <c r="K127"/>
  <c r="I127"/>
  <c r="G127"/>
  <c r="K129"/>
  <c r="I129"/>
  <c r="G129"/>
  <c r="M131"/>
  <c r="K131"/>
  <c r="I131"/>
  <c r="G131"/>
  <c r="M133"/>
  <c r="K133"/>
  <c r="I133"/>
  <c r="G133"/>
  <c r="M135"/>
  <c r="K135"/>
  <c r="K146" s="1"/>
  <c r="I135"/>
  <c r="G135"/>
  <c r="G146" s="1"/>
  <c r="H29"/>
  <c r="J29"/>
  <c r="H31"/>
  <c r="J31"/>
  <c r="H33"/>
  <c r="J33"/>
  <c r="H35"/>
  <c r="J35"/>
  <c r="H37"/>
  <c r="J37"/>
  <c r="H39"/>
  <c r="J39"/>
  <c r="H41"/>
  <c r="J41"/>
  <c r="H43"/>
  <c r="J43"/>
  <c r="H45"/>
  <c r="J45"/>
  <c r="H47"/>
  <c r="J47"/>
  <c r="H49"/>
  <c r="J49"/>
  <c r="H51"/>
  <c r="J51"/>
  <c r="H53"/>
  <c r="J53"/>
  <c r="H55"/>
  <c r="J55"/>
  <c r="H57"/>
  <c r="J57"/>
  <c r="H59"/>
  <c r="J59"/>
  <c r="H61"/>
  <c r="J61"/>
  <c r="H63"/>
  <c r="J63"/>
  <c r="H65"/>
  <c r="J65"/>
  <c r="H67"/>
  <c r="J67"/>
  <c r="H69"/>
  <c r="J69"/>
  <c r="H71"/>
  <c r="J71"/>
  <c r="H73"/>
  <c r="J73"/>
  <c r="P7"/>
  <c r="H11"/>
  <c r="J11"/>
  <c r="H13"/>
  <c r="L13" s="1"/>
  <c r="N13" s="1"/>
  <c r="H15"/>
  <c r="L15" s="1"/>
  <c r="H18"/>
  <c r="L18" s="1"/>
  <c r="H20"/>
  <c r="H22"/>
  <c r="L22" s="1"/>
  <c r="H24"/>
  <c r="H26"/>
  <c r="L26" s="1"/>
  <c r="H28"/>
  <c r="G29"/>
  <c r="I29"/>
  <c r="K29"/>
  <c r="H30"/>
  <c r="G31"/>
  <c r="I31"/>
  <c r="K31"/>
  <c r="H32"/>
  <c r="G33"/>
  <c r="I33"/>
  <c r="K33"/>
  <c r="H34"/>
  <c r="G35"/>
  <c r="I35"/>
  <c r="K35"/>
  <c r="H36"/>
  <c r="L36" s="1"/>
  <c r="G37"/>
  <c r="I37"/>
  <c r="K37"/>
  <c r="H38"/>
  <c r="G39"/>
  <c r="I39"/>
  <c r="K39"/>
  <c r="H40"/>
  <c r="L40" s="1"/>
  <c r="G41"/>
  <c r="I41"/>
  <c r="K41"/>
  <c r="H42"/>
  <c r="G43"/>
  <c r="I43"/>
  <c r="K43"/>
  <c r="H44"/>
  <c r="L44" s="1"/>
  <c r="G45"/>
  <c r="I45"/>
  <c r="K45"/>
  <c r="H46"/>
  <c r="G47"/>
  <c r="I47"/>
  <c r="K47"/>
  <c r="H48"/>
  <c r="G49"/>
  <c r="I49"/>
  <c r="K49"/>
  <c r="H50"/>
  <c r="G51"/>
  <c r="I51"/>
  <c r="K51"/>
  <c r="H52"/>
  <c r="L52" s="1"/>
  <c r="G53"/>
  <c r="I53"/>
  <c r="K53"/>
  <c r="H54"/>
  <c r="G55"/>
  <c r="I55"/>
  <c r="K55"/>
  <c r="H56"/>
  <c r="L56" s="1"/>
  <c r="N56" s="1"/>
  <c r="G57"/>
  <c r="I57"/>
  <c r="K57"/>
  <c r="H58"/>
  <c r="L58" s="1"/>
  <c r="G59"/>
  <c r="I59"/>
  <c r="K59"/>
  <c r="H60"/>
  <c r="G61"/>
  <c r="I61"/>
  <c r="K61"/>
  <c r="H62"/>
  <c r="G63"/>
  <c r="I63"/>
  <c r="K63"/>
  <c r="H64"/>
  <c r="G65"/>
  <c r="I65"/>
  <c r="K65"/>
  <c r="H66"/>
  <c r="L66" s="1"/>
  <c r="G67"/>
  <c r="I67"/>
  <c r="K67"/>
  <c r="H68"/>
  <c r="G69"/>
  <c r="I69"/>
  <c r="K69"/>
  <c r="H70"/>
  <c r="G71"/>
  <c r="I71"/>
  <c r="K71"/>
  <c r="H72"/>
  <c r="G73"/>
  <c r="I73"/>
  <c r="K73"/>
  <c r="J75"/>
  <c r="J77"/>
  <c r="J79"/>
  <c r="J81"/>
  <c r="J83"/>
  <c r="J85"/>
  <c r="J87"/>
  <c r="J89"/>
  <c r="J91"/>
  <c r="J93"/>
  <c r="J95"/>
  <c r="J97"/>
  <c r="J99"/>
  <c r="J101"/>
  <c r="J103"/>
  <c r="J105"/>
  <c r="J107"/>
  <c r="J109"/>
  <c r="J111"/>
  <c r="J113"/>
  <c r="J115"/>
  <c r="J117"/>
  <c r="J119"/>
  <c r="J121"/>
  <c r="J123"/>
  <c r="J125"/>
  <c r="J127"/>
  <c r="J129"/>
  <c r="J131"/>
  <c r="J133"/>
  <c r="J135"/>
  <c r="P4"/>
  <c r="P6"/>
  <c r="H74"/>
  <c r="H76"/>
  <c r="L76" s="1"/>
  <c r="H78"/>
  <c r="L78" s="1"/>
  <c r="H80"/>
  <c r="L80" s="1"/>
  <c r="H82"/>
  <c r="L82" s="1"/>
  <c r="H84"/>
  <c r="L84" s="1"/>
  <c r="H86"/>
  <c r="L86" s="1"/>
  <c r="H88"/>
  <c r="H90"/>
  <c r="H92"/>
  <c r="H94"/>
  <c r="L94" s="1"/>
  <c r="N94" s="1"/>
  <c r="H96"/>
  <c r="L96" s="1"/>
  <c r="H98"/>
  <c r="L98" s="1"/>
  <c r="H100"/>
  <c r="H102"/>
  <c r="L102" s="1"/>
  <c r="H104"/>
  <c r="H106"/>
  <c r="L106" s="1"/>
  <c r="H108"/>
  <c r="H110"/>
  <c r="L110" s="1"/>
  <c r="N110" s="1"/>
  <c r="H112"/>
  <c r="H114"/>
  <c r="L114" s="1"/>
  <c r="N114" s="1"/>
  <c r="H116"/>
  <c r="H118"/>
  <c r="L118" s="1"/>
  <c r="H120"/>
  <c r="H122"/>
  <c r="L122" s="1"/>
  <c r="H124"/>
  <c r="H126"/>
  <c r="L126" s="1"/>
  <c r="H128"/>
  <c r="H130"/>
  <c r="L130" s="1"/>
  <c r="H132"/>
  <c r="H134"/>
  <c r="H146" s="1"/>
  <c r="H136"/>
  <c r="L150" i="6" l="1"/>
  <c r="L153" s="1"/>
  <c r="L90" i="5"/>
  <c r="N84"/>
  <c r="L74"/>
  <c r="I140"/>
  <c r="G153" i="6"/>
  <c r="L104" i="5"/>
  <c r="L62"/>
  <c r="L50"/>
  <c r="N50" s="1"/>
  <c r="L46"/>
  <c r="N40"/>
  <c r="L34"/>
  <c r="L32"/>
  <c r="K140"/>
  <c r="L134"/>
  <c r="N134" s="1"/>
  <c r="J144"/>
  <c r="L27"/>
  <c r="L17"/>
  <c r="G144"/>
  <c r="G140"/>
  <c r="L136"/>
  <c r="L128"/>
  <c r="L120"/>
  <c r="L112"/>
  <c r="N112" s="1"/>
  <c r="N104"/>
  <c r="L88"/>
  <c r="L72"/>
  <c r="L70"/>
  <c r="N70" s="1"/>
  <c r="L68"/>
  <c r="N68" s="1"/>
  <c r="L64"/>
  <c r="L60"/>
  <c r="L54"/>
  <c r="L48"/>
  <c r="L42"/>
  <c r="L38"/>
  <c r="N34"/>
  <c r="L30"/>
  <c r="L28"/>
  <c r="L20"/>
  <c r="J140"/>
  <c r="G145"/>
  <c r="L19"/>
  <c r="I144"/>
  <c r="AK15" i="20"/>
  <c r="L11" i="5"/>
  <c r="H140"/>
  <c r="I143"/>
  <c r="L21"/>
  <c r="K151"/>
  <c r="AI22" i="20" s="1"/>
  <c r="AH22"/>
  <c r="H144" i="5"/>
  <c r="AK46" i="20"/>
  <c r="AK47" s="1"/>
  <c r="AK33"/>
  <c r="AI38"/>
  <c r="H145" i="5"/>
  <c r="H143" s="1"/>
  <c r="L132"/>
  <c r="L124"/>
  <c r="L116"/>
  <c r="L108"/>
  <c r="N108" s="1"/>
  <c r="L100"/>
  <c r="L92"/>
  <c r="J146"/>
  <c r="J145"/>
  <c r="J143" s="1"/>
  <c r="L24"/>
  <c r="I146"/>
  <c r="L146" s="1"/>
  <c r="AH17" i="20" s="1"/>
  <c r="K145" i="5"/>
  <c r="K143" s="1"/>
  <c r="L25"/>
  <c r="L14"/>
  <c r="N14" s="1"/>
  <c r="L12"/>
  <c r="N12" s="1"/>
  <c r="H152"/>
  <c r="AI39" i="20" s="1"/>
  <c r="AI40" s="1"/>
  <c r="AI41" s="1"/>
  <c r="AI59" s="1"/>
  <c r="AH39"/>
  <c r="AH40" s="1"/>
  <c r="AH41" s="1"/>
  <c r="P5" i="5"/>
  <c r="M136"/>
  <c r="M132"/>
  <c r="M130"/>
  <c r="N130" s="1"/>
  <c r="M128"/>
  <c r="N128" s="1"/>
  <c r="M126"/>
  <c r="N126" s="1"/>
  <c r="M124"/>
  <c r="N124" s="1"/>
  <c r="M122"/>
  <c r="N122" s="1"/>
  <c r="M120"/>
  <c r="N120" s="1"/>
  <c r="M118"/>
  <c r="M116"/>
  <c r="N116" s="1"/>
  <c r="M106"/>
  <c r="N106" s="1"/>
  <c r="M102"/>
  <c r="N102" s="1"/>
  <c r="M100"/>
  <c r="M98"/>
  <c r="N98" s="1"/>
  <c r="M96"/>
  <c r="N96" s="1"/>
  <c r="M92"/>
  <c r="N92" s="1"/>
  <c r="M90"/>
  <c r="M88"/>
  <c r="N88" s="1"/>
  <c r="M86"/>
  <c r="N86" s="1"/>
  <c r="M82"/>
  <c r="N82" s="1"/>
  <c r="M80"/>
  <c r="N80" s="1"/>
  <c r="M78"/>
  <c r="M76"/>
  <c r="N76" s="1"/>
  <c r="M74"/>
  <c r="M72"/>
  <c r="M66"/>
  <c r="N66" s="1"/>
  <c r="M64"/>
  <c r="N64" s="1"/>
  <c r="M62"/>
  <c r="M60"/>
  <c r="M58"/>
  <c r="N58" s="1"/>
  <c r="M54"/>
  <c r="N54" s="1"/>
  <c r="M52"/>
  <c r="N52" s="1"/>
  <c r="M48"/>
  <c r="M46"/>
  <c r="N46" s="1"/>
  <c r="M44"/>
  <c r="N44" s="1"/>
  <c r="M42"/>
  <c r="N42" s="1"/>
  <c r="M38"/>
  <c r="M36"/>
  <c r="N36" s="1"/>
  <c r="M32"/>
  <c r="N32" s="1"/>
  <c r="M30"/>
  <c r="N30" s="1"/>
  <c r="M28"/>
  <c r="N28" s="1"/>
  <c r="M26"/>
  <c r="N26" s="1"/>
  <c r="M24"/>
  <c r="N24" s="1"/>
  <c r="M22"/>
  <c r="N22" s="1"/>
  <c r="M20"/>
  <c r="M18"/>
  <c r="M16"/>
  <c r="M15"/>
  <c r="N15" s="1"/>
  <c r="M11"/>
  <c r="N118"/>
  <c r="N78"/>
  <c r="L73"/>
  <c r="N73" s="1"/>
  <c r="L71"/>
  <c r="L69"/>
  <c r="N69" s="1"/>
  <c r="L67"/>
  <c r="N67" s="1"/>
  <c r="L65"/>
  <c r="N65" s="1"/>
  <c r="L63"/>
  <c r="L61"/>
  <c r="N61" s="1"/>
  <c r="L59"/>
  <c r="L57"/>
  <c r="N57" s="1"/>
  <c r="L55"/>
  <c r="N55" s="1"/>
  <c r="L53"/>
  <c r="L51"/>
  <c r="N51" s="1"/>
  <c r="L49"/>
  <c r="N49" s="1"/>
  <c r="L47"/>
  <c r="L45"/>
  <c r="L43"/>
  <c r="L41"/>
  <c r="L39"/>
  <c r="N39" s="1"/>
  <c r="L37"/>
  <c r="L35"/>
  <c r="L33"/>
  <c r="N33" s="1"/>
  <c r="L31"/>
  <c r="N31" s="1"/>
  <c r="L29"/>
  <c r="L135"/>
  <c r="N135" s="1"/>
  <c r="L133"/>
  <c r="N133" s="1"/>
  <c r="L131"/>
  <c r="N131" s="1"/>
  <c r="L129"/>
  <c r="L127"/>
  <c r="L125"/>
  <c r="L123"/>
  <c r="L121"/>
  <c r="L119"/>
  <c r="N119" s="1"/>
  <c r="L117"/>
  <c r="L115"/>
  <c r="L113"/>
  <c r="L111"/>
  <c r="L109"/>
  <c r="N109" s="1"/>
  <c r="L107"/>
  <c r="N107" s="1"/>
  <c r="L105"/>
  <c r="N105" s="1"/>
  <c r="L103"/>
  <c r="N103" s="1"/>
  <c r="L101"/>
  <c r="L99"/>
  <c r="L97"/>
  <c r="N97" s="1"/>
  <c r="L95"/>
  <c r="L93"/>
  <c r="L91"/>
  <c r="N91" s="1"/>
  <c r="L89"/>
  <c r="L87"/>
  <c r="L85"/>
  <c r="L83"/>
  <c r="L81"/>
  <c r="N81" s="1"/>
  <c r="L79"/>
  <c r="L77"/>
  <c r="N77" s="1"/>
  <c r="L75"/>
  <c r="M35"/>
  <c r="M27"/>
  <c r="N27" s="1"/>
  <c r="M25"/>
  <c r="M21"/>
  <c r="M19"/>
  <c r="M17"/>
  <c r="N90"/>
  <c r="M129"/>
  <c r="M127"/>
  <c r="M125"/>
  <c r="M123"/>
  <c r="M121"/>
  <c r="M117"/>
  <c r="M115"/>
  <c r="M113"/>
  <c r="M111"/>
  <c r="M101"/>
  <c r="M99"/>
  <c r="M95"/>
  <c r="M93"/>
  <c r="M89"/>
  <c r="M87"/>
  <c r="M85"/>
  <c r="M83"/>
  <c r="M79"/>
  <c r="M75"/>
  <c r="M45"/>
  <c r="M41"/>
  <c r="M29"/>
  <c r="M71"/>
  <c r="M63"/>
  <c r="M59"/>
  <c r="M53"/>
  <c r="M47"/>
  <c r="M43"/>
  <c r="M37"/>
  <c r="N19"/>
  <c r="N132" l="1"/>
  <c r="N25"/>
  <c r="N100"/>
  <c r="N62"/>
  <c r="N74"/>
  <c r="J150"/>
  <c r="AH12" i="20"/>
  <c r="J148" i="5"/>
  <c r="H150"/>
  <c r="AH10" i="20"/>
  <c r="H148" i="5"/>
  <c r="C7" i="25"/>
  <c r="D7" s="1"/>
  <c r="L140" i="5"/>
  <c r="L145"/>
  <c r="AH8" i="20" s="1"/>
  <c r="AH26" s="1"/>
  <c r="G143" i="5"/>
  <c r="N21"/>
  <c r="N16"/>
  <c r="E147"/>
  <c r="AH52" i="20" s="1"/>
  <c r="K150" i="5"/>
  <c r="AH13" i="20"/>
  <c r="AH31" s="1"/>
  <c r="K148" i="5"/>
  <c r="L152"/>
  <c r="H151"/>
  <c r="AH19" i="20"/>
  <c r="I150" i="5"/>
  <c r="AH11" i="20"/>
  <c r="I148" i="5"/>
  <c r="N18"/>
  <c r="E143"/>
  <c r="I151"/>
  <c r="AI20" i="20" s="1"/>
  <c r="AH20"/>
  <c r="J151" i="5"/>
  <c r="AI21" i="20" s="1"/>
  <c r="AH21"/>
  <c r="N17" i="5"/>
  <c r="E144"/>
  <c r="AH51" i="20" s="1"/>
  <c r="N11" i="5"/>
  <c r="N20"/>
  <c r="N38"/>
  <c r="N48"/>
  <c r="N60"/>
  <c r="N72"/>
  <c r="N136"/>
  <c r="AK43" i="20"/>
  <c r="AK58"/>
  <c r="AK60" s="1"/>
  <c r="AH18"/>
  <c r="L144" i="5"/>
  <c r="N85"/>
  <c r="N89"/>
  <c r="N101"/>
  <c r="N75"/>
  <c r="N79"/>
  <c r="N83"/>
  <c r="N87"/>
  <c r="N95"/>
  <c r="N99"/>
  <c r="N111"/>
  <c r="N115"/>
  <c r="N123"/>
  <c r="N127"/>
  <c r="N35"/>
  <c r="N43"/>
  <c r="N47"/>
  <c r="N59"/>
  <c r="N63"/>
  <c r="N71"/>
  <c r="N93"/>
  <c r="N113"/>
  <c r="N117"/>
  <c r="N121"/>
  <c r="N125"/>
  <c r="N129"/>
  <c r="N29"/>
  <c r="N37"/>
  <c r="N41"/>
  <c r="N45"/>
  <c r="N53"/>
  <c r="M138"/>
  <c r="E148" l="1"/>
  <c r="AH50" i="20"/>
  <c r="AH53" s="1"/>
  <c r="I153" i="5"/>
  <c r="AI11" i="20"/>
  <c r="AI29" s="1"/>
  <c r="AH28"/>
  <c r="AH14"/>
  <c r="J153" i="5"/>
  <c r="AI12" i="20"/>
  <c r="AI30" s="1"/>
  <c r="AI19"/>
  <c r="AI23" s="1"/>
  <c r="G151" i="5"/>
  <c r="K153"/>
  <c r="AI13" i="20"/>
  <c r="AI31" s="1"/>
  <c r="G148" i="5"/>
  <c r="AH9" i="20"/>
  <c r="AH27" s="1"/>
  <c r="AH45" s="1"/>
  <c r="L143" i="5"/>
  <c r="L148" s="1"/>
  <c r="AH29" i="20"/>
  <c r="AH30"/>
  <c r="AH23"/>
  <c r="AH24" s="1"/>
  <c r="H153" i="5"/>
  <c r="AI10" i="20"/>
  <c r="N138" i="5"/>
  <c r="F136" i="4"/>
  <c r="M136" s="1"/>
  <c r="F135"/>
  <c r="J135" s="1"/>
  <c r="F134"/>
  <c r="J134" s="1"/>
  <c r="F133"/>
  <c r="J133" s="1"/>
  <c r="F132"/>
  <c r="J132" s="1"/>
  <c r="F131"/>
  <c r="J131" s="1"/>
  <c r="F130"/>
  <c r="J130" s="1"/>
  <c r="F129"/>
  <c r="J129" s="1"/>
  <c r="F128"/>
  <c r="J128" s="1"/>
  <c r="F127"/>
  <c r="J127" s="1"/>
  <c r="F126"/>
  <c r="J126" s="1"/>
  <c r="F125"/>
  <c r="J125" s="1"/>
  <c r="F124"/>
  <c r="J124" s="1"/>
  <c r="F123"/>
  <c r="J123" s="1"/>
  <c r="F122"/>
  <c r="J122" s="1"/>
  <c r="F121"/>
  <c r="J121" s="1"/>
  <c r="F120"/>
  <c r="J120" s="1"/>
  <c r="F119"/>
  <c r="J119" s="1"/>
  <c r="F118"/>
  <c r="J118" s="1"/>
  <c r="F117"/>
  <c r="J117" s="1"/>
  <c r="F116"/>
  <c r="J116" s="1"/>
  <c r="F115"/>
  <c r="J115" s="1"/>
  <c r="F114"/>
  <c r="J114" s="1"/>
  <c r="F113"/>
  <c r="J113" s="1"/>
  <c r="F112"/>
  <c r="J112" s="1"/>
  <c r="F111"/>
  <c r="J111" s="1"/>
  <c r="F110"/>
  <c r="J110" s="1"/>
  <c r="F109"/>
  <c r="J109" s="1"/>
  <c r="F108"/>
  <c r="J108" s="1"/>
  <c r="F107"/>
  <c r="J107" s="1"/>
  <c r="F106"/>
  <c r="J106" s="1"/>
  <c r="F105"/>
  <c r="J105" s="1"/>
  <c r="F104"/>
  <c r="J104" s="1"/>
  <c r="F103"/>
  <c r="J103" s="1"/>
  <c r="F102"/>
  <c r="J102" s="1"/>
  <c r="F101"/>
  <c r="J101" s="1"/>
  <c r="F100"/>
  <c r="J100" s="1"/>
  <c r="F99"/>
  <c r="H99" s="1"/>
  <c r="F98"/>
  <c r="J98" s="1"/>
  <c r="F97"/>
  <c r="H97" s="1"/>
  <c r="F96"/>
  <c r="J96" s="1"/>
  <c r="F95"/>
  <c r="H95" s="1"/>
  <c r="F94"/>
  <c r="J94" s="1"/>
  <c r="F93"/>
  <c r="H93" s="1"/>
  <c r="F92"/>
  <c r="J92" s="1"/>
  <c r="F91"/>
  <c r="H91" s="1"/>
  <c r="F90"/>
  <c r="J90" s="1"/>
  <c r="H89"/>
  <c r="F89"/>
  <c r="F88"/>
  <c r="J88" s="1"/>
  <c r="F87"/>
  <c r="H87" s="1"/>
  <c r="F86"/>
  <c r="J86" s="1"/>
  <c r="F85"/>
  <c r="H85" s="1"/>
  <c r="F84"/>
  <c r="J84" s="1"/>
  <c r="F83"/>
  <c r="H83" s="1"/>
  <c r="G82"/>
  <c r="F82"/>
  <c r="J82" s="1"/>
  <c r="F81"/>
  <c r="H81" s="1"/>
  <c r="F80"/>
  <c r="J80" s="1"/>
  <c r="F79"/>
  <c r="H79" s="1"/>
  <c r="K78"/>
  <c r="G78"/>
  <c r="F78"/>
  <c r="J78" s="1"/>
  <c r="F77"/>
  <c r="H77" s="1"/>
  <c r="F76"/>
  <c r="J76" s="1"/>
  <c r="F75"/>
  <c r="H75" s="1"/>
  <c r="F74"/>
  <c r="J74" s="1"/>
  <c r="F73"/>
  <c r="M73" s="1"/>
  <c r="F72"/>
  <c r="J72" s="1"/>
  <c r="F71"/>
  <c r="M71" s="1"/>
  <c r="F70"/>
  <c r="J70" s="1"/>
  <c r="F69"/>
  <c r="M69" s="1"/>
  <c r="F68"/>
  <c r="J68" s="1"/>
  <c r="F67"/>
  <c r="M67" s="1"/>
  <c r="F66"/>
  <c r="J66" s="1"/>
  <c r="F65"/>
  <c r="M65" s="1"/>
  <c r="F64"/>
  <c r="J64" s="1"/>
  <c r="F63"/>
  <c r="M63" s="1"/>
  <c r="F62"/>
  <c r="J62" s="1"/>
  <c r="F61"/>
  <c r="M61" s="1"/>
  <c r="F60"/>
  <c r="J60" s="1"/>
  <c r="F59"/>
  <c r="M59" s="1"/>
  <c r="F58"/>
  <c r="J58" s="1"/>
  <c r="F57"/>
  <c r="M57" s="1"/>
  <c r="F56"/>
  <c r="J56" s="1"/>
  <c r="F55"/>
  <c r="M55" s="1"/>
  <c r="F54"/>
  <c r="J54" s="1"/>
  <c r="F53"/>
  <c r="M53" s="1"/>
  <c r="F52"/>
  <c r="J52" s="1"/>
  <c r="F51"/>
  <c r="M51" s="1"/>
  <c r="F50"/>
  <c r="J50" s="1"/>
  <c r="F49"/>
  <c r="H49" s="1"/>
  <c r="F48"/>
  <c r="J48" s="1"/>
  <c r="F47"/>
  <c r="H47" s="1"/>
  <c r="F46"/>
  <c r="J46" s="1"/>
  <c r="F45"/>
  <c r="H45" s="1"/>
  <c r="F44"/>
  <c r="J44" s="1"/>
  <c r="F43"/>
  <c r="H43" s="1"/>
  <c r="F42"/>
  <c r="J42" s="1"/>
  <c r="F41"/>
  <c r="H41" s="1"/>
  <c r="F40"/>
  <c r="J40" s="1"/>
  <c r="F39"/>
  <c r="H39" s="1"/>
  <c r="F38"/>
  <c r="J38" s="1"/>
  <c r="F37"/>
  <c r="H37" s="1"/>
  <c r="F36"/>
  <c r="J36" s="1"/>
  <c r="F35"/>
  <c r="H35" s="1"/>
  <c r="F34"/>
  <c r="J34" s="1"/>
  <c r="F33"/>
  <c r="H33" s="1"/>
  <c r="G32"/>
  <c r="F32"/>
  <c r="J32" s="1"/>
  <c r="F31"/>
  <c r="H31" s="1"/>
  <c r="F30"/>
  <c r="J30" s="1"/>
  <c r="F29"/>
  <c r="H29" s="1"/>
  <c r="K28"/>
  <c r="G28"/>
  <c r="F28"/>
  <c r="J28" s="1"/>
  <c r="F27"/>
  <c r="H27" s="1"/>
  <c r="F26"/>
  <c r="J26" s="1"/>
  <c r="F25"/>
  <c r="H25" s="1"/>
  <c r="F24"/>
  <c r="K24" s="1"/>
  <c r="F23"/>
  <c r="J23" s="1"/>
  <c r="F22"/>
  <c r="M22" s="1"/>
  <c r="F21"/>
  <c r="J21" s="1"/>
  <c r="F20"/>
  <c r="M20" s="1"/>
  <c r="F19"/>
  <c r="J19" s="1"/>
  <c r="F18"/>
  <c r="M18" s="1"/>
  <c r="F17"/>
  <c r="F16"/>
  <c r="F15"/>
  <c r="J15" s="1"/>
  <c r="F14"/>
  <c r="M14" s="1"/>
  <c r="F13"/>
  <c r="J13" s="1"/>
  <c r="F12"/>
  <c r="M12" s="1"/>
  <c r="F11"/>
  <c r="E7"/>
  <c r="K32" l="1"/>
  <c r="K82"/>
  <c r="G46"/>
  <c r="G48"/>
  <c r="G50"/>
  <c r="G52"/>
  <c r="G54"/>
  <c r="G56"/>
  <c r="G58"/>
  <c r="G60"/>
  <c r="G62"/>
  <c r="G64"/>
  <c r="G66"/>
  <c r="G68"/>
  <c r="G70"/>
  <c r="G72"/>
  <c r="G74"/>
  <c r="G90"/>
  <c r="G92"/>
  <c r="G94"/>
  <c r="G96"/>
  <c r="G98"/>
  <c r="G100"/>
  <c r="G102"/>
  <c r="G104"/>
  <c r="G106"/>
  <c r="G108"/>
  <c r="G110"/>
  <c r="G112"/>
  <c r="G114"/>
  <c r="G116"/>
  <c r="G118"/>
  <c r="G120"/>
  <c r="G122"/>
  <c r="G124"/>
  <c r="G126"/>
  <c r="G128"/>
  <c r="G130"/>
  <c r="G132"/>
  <c r="G134"/>
  <c r="G136"/>
  <c r="M16"/>
  <c r="E147" s="1"/>
  <c r="G152"/>
  <c r="G36"/>
  <c r="K40"/>
  <c r="K42"/>
  <c r="K44"/>
  <c r="K46"/>
  <c r="K48"/>
  <c r="K50"/>
  <c r="K52"/>
  <c r="K54"/>
  <c r="K56"/>
  <c r="K58"/>
  <c r="K60"/>
  <c r="K62"/>
  <c r="K64"/>
  <c r="K66"/>
  <c r="K68"/>
  <c r="K70"/>
  <c r="K72"/>
  <c r="K74"/>
  <c r="G86"/>
  <c r="K90"/>
  <c r="K92"/>
  <c r="K94"/>
  <c r="K96"/>
  <c r="K98"/>
  <c r="K100"/>
  <c r="K102"/>
  <c r="K104"/>
  <c r="K106"/>
  <c r="K108"/>
  <c r="K110"/>
  <c r="K112"/>
  <c r="K114"/>
  <c r="K116"/>
  <c r="K118"/>
  <c r="K120"/>
  <c r="K122"/>
  <c r="K124"/>
  <c r="K126"/>
  <c r="K128"/>
  <c r="K130"/>
  <c r="K132"/>
  <c r="K134"/>
  <c r="L151" i="5"/>
  <c r="AI18" i="20"/>
  <c r="AI24" s="1"/>
  <c r="G150" i="5"/>
  <c r="AH15" i="20"/>
  <c r="M11" i="4"/>
  <c r="F140"/>
  <c r="G40"/>
  <c r="G42"/>
  <c r="G44"/>
  <c r="J17"/>
  <c r="K36"/>
  <c r="K86"/>
  <c r="J146"/>
  <c r="AI28" i="20"/>
  <c r="AI32" s="1"/>
  <c r="AI14"/>
  <c r="AH32"/>
  <c r="I13" i="4"/>
  <c r="M13"/>
  <c r="I17"/>
  <c r="M17"/>
  <c r="G11"/>
  <c r="K11"/>
  <c r="G13"/>
  <c r="K13"/>
  <c r="G15"/>
  <c r="K15"/>
  <c r="G17"/>
  <c r="K17"/>
  <c r="G19"/>
  <c r="K19"/>
  <c r="G21"/>
  <c r="K21"/>
  <c r="G23"/>
  <c r="K23"/>
  <c r="G26"/>
  <c r="K26"/>
  <c r="I28"/>
  <c r="M28"/>
  <c r="G30"/>
  <c r="K30"/>
  <c r="I32"/>
  <c r="M32"/>
  <c r="G34"/>
  <c r="K34"/>
  <c r="I36"/>
  <c r="M36"/>
  <c r="G38"/>
  <c r="K38"/>
  <c r="I40"/>
  <c r="M40"/>
  <c r="I42"/>
  <c r="M42"/>
  <c r="I44"/>
  <c r="M44"/>
  <c r="I46"/>
  <c r="M46"/>
  <c r="I48"/>
  <c r="M48"/>
  <c r="I50"/>
  <c r="M50"/>
  <c r="I52"/>
  <c r="M52"/>
  <c r="I54"/>
  <c r="M54"/>
  <c r="I56"/>
  <c r="M56"/>
  <c r="I58"/>
  <c r="M58"/>
  <c r="I60"/>
  <c r="M60"/>
  <c r="I62"/>
  <c r="M62"/>
  <c r="I64"/>
  <c r="M64"/>
  <c r="I66"/>
  <c r="M66"/>
  <c r="I68"/>
  <c r="M68"/>
  <c r="I70"/>
  <c r="M70"/>
  <c r="I72"/>
  <c r="M72"/>
  <c r="I74"/>
  <c r="M74"/>
  <c r="G76"/>
  <c r="K76"/>
  <c r="I78"/>
  <c r="M78"/>
  <c r="G80"/>
  <c r="K80"/>
  <c r="I82"/>
  <c r="M82"/>
  <c r="G84"/>
  <c r="K84"/>
  <c r="I86"/>
  <c r="M86"/>
  <c r="G88"/>
  <c r="K88"/>
  <c r="I90"/>
  <c r="M90"/>
  <c r="I92"/>
  <c r="M92"/>
  <c r="I94"/>
  <c r="M94"/>
  <c r="I96"/>
  <c r="M96"/>
  <c r="I98"/>
  <c r="M98"/>
  <c r="I100"/>
  <c r="M100"/>
  <c r="I102"/>
  <c r="M102"/>
  <c r="I104"/>
  <c r="M104"/>
  <c r="I106"/>
  <c r="M106"/>
  <c r="I108"/>
  <c r="M108"/>
  <c r="I110"/>
  <c r="M110"/>
  <c r="I112"/>
  <c r="M112"/>
  <c r="I114"/>
  <c r="M114"/>
  <c r="I116"/>
  <c r="M116"/>
  <c r="I118"/>
  <c r="M118"/>
  <c r="I120"/>
  <c r="M120"/>
  <c r="I122"/>
  <c r="M122"/>
  <c r="I124"/>
  <c r="M124"/>
  <c r="I126"/>
  <c r="M126"/>
  <c r="I128"/>
  <c r="M128"/>
  <c r="I130"/>
  <c r="M130"/>
  <c r="I132"/>
  <c r="M132"/>
  <c r="I134"/>
  <c r="M134"/>
  <c r="I136"/>
  <c r="I11"/>
  <c r="I15"/>
  <c r="M15"/>
  <c r="I19"/>
  <c r="M19"/>
  <c r="I21"/>
  <c r="M21"/>
  <c r="I23"/>
  <c r="M23"/>
  <c r="I26"/>
  <c r="M26"/>
  <c r="I30"/>
  <c r="M30"/>
  <c r="I34"/>
  <c r="M34"/>
  <c r="I38"/>
  <c r="M38"/>
  <c r="I76"/>
  <c r="M76"/>
  <c r="I80"/>
  <c r="M80"/>
  <c r="I84"/>
  <c r="M84"/>
  <c r="I88"/>
  <c r="M88"/>
  <c r="H12"/>
  <c r="J14"/>
  <c r="H18"/>
  <c r="J20"/>
  <c r="H22"/>
  <c r="J22"/>
  <c r="H24"/>
  <c r="J24"/>
  <c r="M24"/>
  <c r="N6"/>
  <c r="N4"/>
  <c r="N5" s="1"/>
  <c r="N7"/>
  <c r="M25"/>
  <c r="K25"/>
  <c r="I25"/>
  <c r="G25"/>
  <c r="M27"/>
  <c r="K27"/>
  <c r="I27"/>
  <c r="G27"/>
  <c r="M29"/>
  <c r="K29"/>
  <c r="I29"/>
  <c r="G29"/>
  <c r="M31"/>
  <c r="K31"/>
  <c r="I31"/>
  <c r="G31"/>
  <c r="M33"/>
  <c r="K33"/>
  <c r="I33"/>
  <c r="G33"/>
  <c r="M35"/>
  <c r="K35"/>
  <c r="I35"/>
  <c r="G35"/>
  <c r="M37"/>
  <c r="K37"/>
  <c r="I37"/>
  <c r="G37"/>
  <c r="M39"/>
  <c r="K39"/>
  <c r="I39"/>
  <c r="G39"/>
  <c r="M41"/>
  <c r="K41"/>
  <c r="I41"/>
  <c r="G41"/>
  <c r="M43"/>
  <c r="K43"/>
  <c r="I43"/>
  <c r="G43"/>
  <c r="M45"/>
  <c r="K45"/>
  <c r="I45"/>
  <c r="G45"/>
  <c r="M47"/>
  <c r="K47"/>
  <c r="I47"/>
  <c r="G47"/>
  <c r="M49"/>
  <c r="K49"/>
  <c r="I49"/>
  <c r="G49"/>
  <c r="J12"/>
  <c r="H14"/>
  <c r="J18"/>
  <c r="H20"/>
  <c r="H11"/>
  <c r="J11"/>
  <c r="G12"/>
  <c r="I12"/>
  <c r="K12"/>
  <c r="H13"/>
  <c r="G14"/>
  <c r="I14"/>
  <c r="K14"/>
  <c r="H15"/>
  <c r="H16"/>
  <c r="H17"/>
  <c r="G18"/>
  <c r="I18"/>
  <c r="K18"/>
  <c r="H19"/>
  <c r="L19" s="1"/>
  <c r="N19" s="1"/>
  <c r="G20"/>
  <c r="I20"/>
  <c r="K20"/>
  <c r="H21"/>
  <c r="L21" s="1"/>
  <c r="N21" s="1"/>
  <c r="G22"/>
  <c r="I22"/>
  <c r="K22"/>
  <c r="H23"/>
  <c r="L23" s="1"/>
  <c r="N23" s="1"/>
  <c r="G24"/>
  <c r="I24"/>
  <c r="J25"/>
  <c r="J27"/>
  <c r="J29"/>
  <c r="J31"/>
  <c r="J33"/>
  <c r="J35"/>
  <c r="J37"/>
  <c r="J39"/>
  <c r="J41"/>
  <c r="J43"/>
  <c r="J45"/>
  <c r="J47"/>
  <c r="J49"/>
  <c r="H51"/>
  <c r="J51"/>
  <c r="H53"/>
  <c r="J53"/>
  <c r="H55"/>
  <c r="J55"/>
  <c r="H57"/>
  <c r="J57"/>
  <c r="H59"/>
  <c r="J59"/>
  <c r="H61"/>
  <c r="J61"/>
  <c r="H63"/>
  <c r="J63"/>
  <c r="H65"/>
  <c r="J65"/>
  <c r="H67"/>
  <c r="J67"/>
  <c r="H69"/>
  <c r="J69"/>
  <c r="H71"/>
  <c r="J71"/>
  <c r="H73"/>
  <c r="J73"/>
  <c r="M75"/>
  <c r="K75"/>
  <c r="I75"/>
  <c r="G75"/>
  <c r="M77"/>
  <c r="K77"/>
  <c r="I77"/>
  <c r="G77"/>
  <c r="M79"/>
  <c r="K79"/>
  <c r="I79"/>
  <c r="G79"/>
  <c r="M81"/>
  <c r="K81"/>
  <c r="I81"/>
  <c r="G81"/>
  <c r="M83"/>
  <c r="K83"/>
  <c r="I83"/>
  <c r="G83"/>
  <c r="M85"/>
  <c r="K85"/>
  <c r="I85"/>
  <c r="G85"/>
  <c r="M87"/>
  <c r="K87"/>
  <c r="I87"/>
  <c r="G87"/>
  <c r="M89"/>
  <c r="K89"/>
  <c r="I89"/>
  <c r="G89"/>
  <c r="M91"/>
  <c r="K91"/>
  <c r="I91"/>
  <c r="G91"/>
  <c r="M93"/>
  <c r="K93"/>
  <c r="I93"/>
  <c r="G93"/>
  <c r="M95"/>
  <c r="K95"/>
  <c r="I95"/>
  <c r="G95"/>
  <c r="M97"/>
  <c r="K97"/>
  <c r="I97"/>
  <c r="G97"/>
  <c r="M99"/>
  <c r="K99"/>
  <c r="I99"/>
  <c r="G99"/>
  <c r="H26"/>
  <c r="L26" s="1"/>
  <c r="N26" s="1"/>
  <c r="H28"/>
  <c r="H30"/>
  <c r="H32"/>
  <c r="L32" s="1"/>
  <c r="H34"/>
  <c r="L34" s="1"/>
  <c r="N34" s="1"/>
  <c r="H36"/>
  <c r="H38"/>
  <c r="H40"/>
  <c r="H42"/>
  <c r="L42" s="1"/>
  <c r="N42" s="1"/>
  <c r="H44"/>
  <c r="H46"/>
  <c r="H48"/>
  <c r="H50"/>
  <c r="L50" s="1"/>
  <c r="N50" s="1"/>
  <c r="G51"/>
  <c r="I51"/>
  <c r="K51"/>
  <c r="H52"/>
  <c r="L52" s="1"/>
  <c r="N52" s="1"/>
  <c r="G53"/>
  <c r="I53"/>
  <c r="K53"/>
  <c r="H54"/>
  <c r="L54" s="1"/>
  <c r="N54" s="1"/>
  <c r="G55"/>
  <c r="I55"/>
  <c r="K55"/>
  <c r="H56"/>
  <c r="L56" s="1"/>
  <c r="N56" s="1"/>
  <c r="G57"/>
  <c r="I57"/>
  <c r="K57"/>
  <c r="H58"/>
  <c r="L58" s="1"/>
  <c r="N58" s="1"/>
  <c r="G59"/>
  <c r="I59"/>
  <c r="K59"/>
  <c r="H60"/>
  <c r="L60" s="1"/>
  <c r="N60" s="1"/>
  <c r="G61"/>
  <c r="I61"/>
  <c r="K61"/>
  <c r="H62"/>
  <c r="L62" s="1"/>
  <c r="N62" s="1"/>
  <c r="G63"/>
  <c r="I63"/>
  <c r="K63"/>
  <c r="H64"/>
  <c r="L64" s="1"/>
  <c r="N64" s="1"/>
  <c r="G65"/>
  <c r="I65"/>
  <c r="K65"/>
  <c r="H66"/>
  <c r="L66" s="1"/>
  <c r="N66" s="1"/>
  <c r="G67"/>
  <c r="I67"/>
  <c r="K67"/>
  <c r="H68"/>
  <c r="L68" s="1"/>
  <c r="N68" s="1"/>
  <c r="G69"/>
  <c r="I69"/>
  <c r="K69"/>
  <c r="H70"/>
  <c r="L70" s="1"/>
  <c r="N70" s="1"/>
  <c r="G71"/>
  <c r="I71"/>
  <c r="K71"/>
  <c r="H72"/>
  <c r="L72" s="1"/>
  <c r="N72" s="1"/>
  <c r="G73"/>
  <c r="I73"/>
  <c r="K73"/>
  <c r="J75"/>
  <c r="J77"/>
  <c r="J79"/>
  <c r="J81"/>
  <c r="J83"/>
  <c r="J85"/>
  <c r="J87"/>
  <c r="J89"/>
  <c r="J91"/>
  <c r="J93"/>
  <c r="J95"/>
  <c r="J97"/>
  <c r="J99"/>
  <c r="H74"/>
  <c r="H76"/>
  <c r="H78"/>
  <c r="L78" s="1"/>
  <c r="H80"/>
  <c r="L80" s="1"/>
  <c r="N80" s="1"/>
  <c r="H82"/>
  <c r="L82" s="1"/>
  <c r="H84"/>
  <c r="H86"/>
  <c r="H88"/>
  <c r="L88" s="1"/>
  <c r="N88" s="1"/>
  <c r="H90"/>
  <c r="H92"/>
  <c r="H94"/>
  <c r="H96"/>
  <c r="L96" s="1"/>
  <c r="N96" s="1"/>
  <c r="H98"/>
  <c r="H100"/>
  <c r="G101"/>
  <c r="I101"/>
  <c r="K101"/>
  <c r="M101"/>
  <c r="H102"/>
  <c r="G103"/>
  <c r="I103"/>
  <c r="K103"/>
  <c r="M103"/>
  <c r="H104"/>
  <c r="L104" s="1"/>
  <c r="N104" s="1"/>
  <c r="G105"/>
  <c r="I105"/>
  <c r="K105"/>
  <c r="M105"/>
  <c r="H106"/>
  <c r="G107"/>
  <c r="I107"/>
  <c r="K107"/>
  <c r="M107"/>
  <c r="H108"/>
  <c r="G109"/>
  <c r="I109"/>
  <c r="K109"/>
  <c r="M109"/>
  <c r="H110"/>
  <c r="G111"/>
  <c r="I111"/>
  <c r="K111"/>
  <c r="M111"/>
  <c r="H112"/>
  <c r="L112" s="1"/>
  <c r="N112" s="1"/>
  <c r="G113"/>
  <c r="I113"/>
  <c r="K113"/>
  <c r="M113"/>
  <c r="H114"/>
  <c r="G115"/>
  <c r="I115"/>
  <c r="K115"/>
  <c r="M115"/>
  <c r="H116"/>
  <c r="G117"/>
  <c r="I117"/>
  <c r="K117"/>
  <c r="M117"/>
  <c r="H118"/>
  <c r="G119"/>
  <c r="G145" s="1"/>
  <c r="I119"/>
  <c r="K119"/>
  <c r="M119"/>
  <c r="H120"/>
  <c r="L120" s="1"/>
  <c r="N120" s="1"/>
  <c r="G121"/>
  <c r="I121"/>
  <c r="K121"/>
  <c r="M121"/>
  <c r="H122"/>
  <c r="G123"/>
  <c r="I123"/>
  <c r="K123"/>
  <c r="M123"/>
  <c r="H124"/>
  <c r="G125"/>
  <c r="I125"/>
  <c r="K125"/>
  <c r="M125"/>
  <c r="H126"/>
  <c r="G127"/>
  <c r="I127"/>
  <c r="K127"/>
  <c r="M127"/>
  <c r="H128"/>
  <c r="L128" s="1"/>
  <c r="N128" s="1"/>
  <c r="G129"/>
  <c r="I129"/>
  <c r="K129"/>
  <c r="M129"/>
  <c r="H130"/>
  <c r="G131"/>
  <c r="I131"/>
  <c r="K131"/>
  <c r="M131"/>
  <c r="H132"/>
  <c r="G133"/>
  <c r="I133"/>
  <c r="K133"/>
  <c r="M133"/>
  <c r="H134"/>
  <c r="G135"/>
  <c r="G146" s="1"/>
  <c r="I135"/>
  <c r="K135"/>
  <c r="M135"/>
  <c r="H136"/>
  <c r="J136"/>
  <c r="H101"/>
  <c r="H103"/>
  <c r="H105"/>
  <c r="H107"/>
  <c r="H109"/>
  <c r="H111"/>
  <c r="H113"/>
  <c r="H115"/>
  <c r="H117"/>
  <c r="H119"/>
  <c r="H121"/>
  <c r="H123"/>
  <c r="H125"/>
  <c r="H127"/>
  <c r="H129"/>
  <c r="H131"/>
  <c r="H133"/>
  <c r="H135"/>
  <c r="K136"/>
  <c r="L124" l="1"/>
  <c r="N124" s="1"/>
  <c r="L116"/>
  <c r="N116" s="1"/>
  <c r="L108"/>
  <c r="N108" s="1"/>
  <c r="L100"/>
  <c r="N100" s="1"/>
  <c r="L92"/>
  <c r="N92" s="1"/>
  <c r="L84"/>
  <c r="N84" s="1"/>
  <c r="L76"/>
  <c r="N76" s="1"/>
  <c r="L46"/>
  <c r="N46" s="1"/>
  <c r="L38"/>
  <c r="N38" s="1"/>
  <c r="L30"/>
  <c r="N30" s="1"/>
  <c r="L13"/>
  <c r="E143"/>
  <c r="J145"/>
  <c r="J143" s="1"/>
  <c r="L132"/>
  <c r="N132" s="1"/>
  <c r="L28"/>
  <c r="J150"/>
  <c r="J153" s="1"/>
  <c r="G143"/>
  <c r="K146"/>
  <c r="K145"/>
  <c r="K143" s="1"/>
  <c r="L15"/>
  <c r="N15" s="1"/>
  <c r="N13"/>
  <c r="J140"/>
  <c r="K144"/>
  <c r="K151" s="1"/>
  <c r="E144"/>
  <c r="E148" s="1"/>
  <c r="AH46" i="20"/>
  <c r="AH47" s="1"/>
  <c r="AH33"/>
  <c r="AH43" s="1"/>
  <c r="I146" i="4"/>
  <c r="L130"/>
  <c r="N130" s="1"/>
  <c r="L122"/>
  <c r="N122" s="1"/>
  <c r="I145"/>
  <c r="I143" s="1"/>
  <c r="L114"/>
  <c r="N114" s="1"/>
  <c r="L106"/>
  <c r="N106" s="1"/>
  <c r="L98"/>
  <c r="N98" s="1"/>
  <c r="L90"/>
  <c r="N90" s="1"/>
  <c r="N82"/>
  <c r="L74"/>
  <c r="N74" s="1"/>
  <c r="L44"/>
  <c r="N44" s="1"/>
  <c r="L36"/>
  <c r="N36" s="1"/>
  <c r="N28"/>
  <c r="H140"/>
  <c r="G144"/>
  <c r="I144"/>
  <c r="I151" s="1"/>
  <c r="J144"/>
  <c r="J151" s="1"/>
  <c r="AI9" i="20"/>
  <c r="AI27" s="1"/>
  <c r="AI45" s="1"/>
  <c r="G153" i="5"/>
  <c r="L150"/>
  <c r="L153" s="1"/>
  <c r="L17" i="4"/>
  <c r="N17" s="1"/>
  <c r="H144"/>
  <c r="H151" s="1"/>
  <c r="G151" s="1"/>
  <c r="L151" s="1"/>
  <c r="I140"/>
  <c r="K140"/>
  <c r="H146"/>
  <c r="L146" s="1"/>
  <c r="H145"/>
  <c r="H143" s="1"/>
  <c r="L134"/>
  <c r="N134" s="1"/>
  <c r="L126"/>
  <c r="N126" s="1"/>
  <c r="L118"/>
  <c r="N118" s="1"/>
  <c r="L110"/>
  <c r="N110" s="1"/>
  <c r="L102"/>
  <c r="N102" s="1"/>
  <c r="L94"/>
  <c r="N94" s="1"/>
  <c r="L86"/>
  <c r="N86" s="1"/>
  <c r="N78"/>
  <c r="L48"/>
  <c r="N48" s="1"/>
  <c r="L40"/>
  <c r="N40" s="1"/>
  <c r="N32"/>
  <c r="L16"/>
  <c r="N16" s="1"/>
  <c r="H147"/>
  <c r="G140"/>
  <c r="AI46" i="20"/>
  <c r="AI47" s="1"/>
  <c r="L136" i="4"/>
  <c r="N136" s="1"/>
  <c r="L11"/>
  <c r="M138"/>
  <c r="L133"/>
  <c r="N133" s="1"/>
  <c r="L129"/>
  <c r="N129" s="1"/>
  <c r="L125"/>
  <c r="N125" s="1"/>
  <c r="L121"/>
  <c r="N121" s="1"/>
  <c r="L117"/>
  <c r="N117" s="1"/>
  <c r="L113"/>
  <c r="N113" s="1"/>
  <c r="L109"/>
  <c r="N109" s="1"/>
  <c r="L105"/>
  <c r="N105" s="1"/>
  <c r="L101"/>
  <c r="N101" s="1"/>
  <c r="L73"/>
  <c r="N73" s="1"/>
  <c r="L71"/>
  <c r="N71" s="1"/>
  <c r="L69"/>
  <c r="N69" s="1"/>
  <c r="L67"/>
  <c r="N67" s="1"/>
  <c r="L65"/>
  <c r="N65" s="1"/>
  <c r="L63"/>
  <c r="N63" s="1"/>
  <c r="L61"/>
  <c r="N61" s="1"/>
  <c r="L59"/>
  <c r="N59" s="1"/>
  <c r="L57"/>
  <c r="N57" s="1"/>
  <c r="L55"/>
  <c r="N55" s="1"/>
  <c r="L53"/>
  <c r="N53" s="1"/>
  <c r="L51"/>
  <c r="N51" s="1"/>
  <c r="L99"/>
  <c r="N99" s="1"/>
  <c r="L97"/>
  <c r="N97" s="1"/>
  <c r="L95"/>
  <c r="N95" s="1"/>
  <c r="L93"/>
  <c r="N93" s="1"/>
  <c r="L91"/>
  <c r="N91" s="1"/>
  <c r="L89"/>
  <c r="N89" s="1"/>
  <c r="L87"/>
  <c r="N87" s="1"/>
  <c r="L85"/>
  <c r="N85" s="1"/>
  <c r="L83"/>
  <c r="N83" s="1"/>
  <c r="L81"/>
  <c r="N81" s="1"/>
  <c r="L79"/>
  <c r="N79" s="1"/>
  <c r="L77"/>
  <c r="N77" s="1"/>
  <c r="L75"/>
  <c r="N75" s="1"/>
  <c r="L24"/>
  <c r="N24" s="1"/>
  <c r="L22"/>
  <c r="N22" s="1"/>
  <c r="L20"/>
  <c r="N20" s="1"/>
  <c r="L18"/>
  <c r="N18" s="1"/>
  <c r="L14"/>
  <c r="N14" s="1"/>
  <c r="L12"/>
  <c r="N12" s="1"/>
  <c r="L135"/>
  <c r="N135" s="1"/>
  <c r="L131"/>
  <c r="N131" s="1"/>
  <c r="L127"/>
  <c r="N127" s="1"/>
  <c r="L123"/>
  <c r="N123" s="1"/>
  <c r="L119"/>
  <c r="N119" s="1"/>
  <c r="L115"/>
  <c r="N115" s="1"/>
  <c r="L111"/>
  <c r="N111" s="1"/>
  <c r="L107"/>
  <c r="N107" s="1"/>
  <c r="L103"/>
  <c r="N103" s="1"/>
  <c r="L49"/>
  <c r="N49" s="1"/>
  <c r="L47"/>
  <c r="N47" s="1"/>
  <c r="L45"/>
  <c r="N45" s="1"/>
  <c r="L43"/>
  <c r="N43" s="1"/>
  <c r="L41"/>
  <c r="N41" s="1"/>
  <c r="L39"/>
  <c r="N39" s="1"/>
  <c r="L37"/>
  <c r="N37" s="1"/>
  <c r="L35"/>
  <c r="N35" s="1"/>
  <c r="L33"/>
  <c r="N33" s="1"/>
  <c r="L31"/>
  <c r="N31" s="1"/>
  <c r="L29"/>
  <c r="N29" s="1"/>
  <c r="L27"/>
  <c r="N27" s="1"/>
  <c r="L25"/>
  <c r="N25" s="1"/>
  <c r="AI15" i="20" l="1"/>
  <c r="AI33"/>
  <c r="AI58" s="1"/>
  <c r="H152" i="4"/>
  <c r="L152" s="1"/>
  <c r="L147"/>
  <c r="L145"/>
  <c r="H150"/>
  <c r="H153" s="1"/>
  <c r="G150" s="1"/>
  <c r="H148"/>
  <c r="K150"/>
  <c r="K153" s="1"/>
  <c r="K148"/>
  <c r="J148"/>
  <c r="N11"/>
  <c r="L140"/>
  <c r="C8" i="25"/>
  <c r="D8" s="1"/>
  <c r="I150" i="4"/>
  <c r="I153" s="1"/>
  <c r="I148"/>
  <c r="L144"/>
  <c r="G148"/>
  <c r="L143"/>
  <c r="N138"/>
  <c r="F136" i="3"/>
  <c r="G136" s="1"/>
  <c r="F135"/>
  <c r="J135" s="1"/>
  <c r="F134"/>
  <c r="J134" s="1"/>
  <c r="F133"/>
  <c r="J133" s="1"/>
  <c r="G132"/>
  <c r="F132"/>
  <c r="J132" s="1"/>
  <c r="F131"/>
  <c r="J131" s="1"/>
  <c r="F130"/>
  <c r="J130" s="1"/>
  <c r="F129"/>
  <c r="J129" s="1"/>
  <c r="F128"/>
  <c r="J128" s="1"/>
  <c r="F127"/>
  <c r="J127" s="1"/>
  <c r="F126"/>
  <c r="J126" s="1"/>
  <c r="F125"/>
  <c r="J125" s="1"/>
  <c r="K124"/>
  <c r="I124"/>
  <c r="G124"/>
  <c r="F124"/>
  <c r="J124" s="1"/>
  <c r="F123"/>
  <c r="J123" s="1"/>
  <c r="I122"/>
  <c r="F122"/>
  <c r="J122" s="1"/>
  <c r="F121"/>
  <c r="J121" s="1"/>
  <c r="K120"/>
  <c r="F120"/>
  <c r="J120" s="1"/>
  <c r="F119"/>
  <c r="J119" s="1"/>
  <c r="F118"/>
  <c r="J118" s="1"/>
  <c r="F117"/>
  <c r="J117" s="1"/>
  <c r="G116"/>
  <c r="F116"/>
  <c r="J116" s="1"/>
  <c r="F115"/>
  <c r="J115" s="1"/>
  <c r="G114"/>
  <c r="F114"/>
  <c r="J114" s="1"/>
  <c r="F113"/>
  <c r="J113" s="1"/>
  <c r="I112"/>
  <c r="F112"/>
  <c r="J112" s="1"/>
  <c r="F111"/>
  <c r="J111" s="1"/>
  <c r="I110"/>
  <c r="F110"/>
  <c r="J110" s="1"/>
  <c r="F109"/>
  <c r="J109" s="1"/>
  <c r="F108"/>
  <c r="J108" s="1"/>
  <c r="F107"/>
  <c r="J107" s="1"/>
  <c r="F106"/>
  <c r="J106" s="1"/>
  <c r="F105"/>
  <c r="J105" s="1"/>
  <c r="F104"/>
  <c r="J104" s="1"/>
  <c r="F103"/>
  <c r="J103" s="1"/>
  <c r="F102"/>
  <c r="J102" s="1"/>
  <c r="F101"/>
  <c r="H101" s="1"/>
  <c r="K100"/>
  <c r="I100"/>
  <c r="F100"/>
  <c r="J100" s="1"/>
  <c r="F99"/>
  <c r="H99" s="1"/>
  <c r="F98"/>
  <c r="J98" s="1"/>
  <c r="F97"/>
  <c r="H97" s="1"/>
  <c r="F96"/>
  <c r="J96" s="1"/>
  <c r="F95"/>
  <c r="H95" s="1"/>
  <c r="G94"/>
  <c r="F94"/>
  <c r="J94" s="1"/>
  <c r="F93"/>
  <c r="H93" s="1"/>
  <c r="F92"/>
  <c r="J92" s="1"/>
  <c r="F91"/>
  <c r="H91" s="1"/>
  <c r="F90"/>
  <c r="J90" s="1"/>
  <c r="F89"/>
  <c r="H89" s="1"/>
  <c r="F88"/>
  <c r="J88" s="1"/>
  <c r="F87"/>
  <c r="H87" s="1"/>
  <c r="K86"/>
  <c r="G86"/>
  <c r="F86"/>
  <c r="J86" s="1"/>
  <c r="F85"/>
  <c r="H85" s="1"/>
  <c r="K84"/>
  <c r="I84"/>
  <c r="G84"/>
  <c r="F84"/>
  <c r="J84" s="1"/>
  <c r="F83"/>
  <c r="H83" s="1"/>
  <c r="F82"/>
  <c r="J82" s="1"/>
  <c r="F81"/>
  <c r="H81" s="1"/>
  <c r="G80"/>
  <c r="F80"/>
  <c r="J80" s="1"/>
  <c r="F79"/>
  <c r="H79" s="1"/>
  <c r="F78"/>
  <c r="J78" s="1"/>
  <c r="F77"/>
  <c r="H77" s="1"/>
  <c r="G76"/>
  <c r="F76"/>
  <c r="J76" s="1"/>
  <c r="F75"/>
  <c r="H75" s="1"/>
  <c r="F74"/>
  <c r="J74" s="1"/>
  <c r="F73"/>
  <c r="M73" s="1"/>
  <c r="K72"/>
  <c r="G72"/>
  <c r="F72"/>
  <c r="J72" s="1"/>
  <c r="F71"/>
  <c r="F70"/>
  <c r="J70" s="1"/>
  <c r="F69"/>
  <c r="M69" s="1"/>
  <c r="F68"/>
  <c r="J68" s="1"/>
  <c r="F67"/>
  <c r="I66"/>
  <c r="F66"/>
  <c r="J66" s="1"/>
  <c r="F65"/>
  <c r="M65" s="1"/>
  <c r="F64"/>
  <c r="J64" s="1"/>
  <c r="F63"/>
  <c r="F62"/>
  <c r="J62" s="1"/>
  <c r="F61"/>
  <c r="M61" s="1"/>
  <c r="K60"/>
  <c r="F60"/>
  <c r="J60" s="1"/>
  <c r="F59"/>
  <c r="I58"/>
  <c r="F58"/>
  <c r="J58" s="1"/>
  <c r="F57"/>
  <c r="M57" s="1"/>
  <c r="F56"/>
  <c r="J56" s="1"/>
  <c r="F55"/>
  <c r="M55" s="1"/>
  <c r="K54"/>
  <c r="G54"/>
  <c r="F54"/>
  <c r="J54" s="1"/>
  <c r="F53"/>
  <c r="F52"/>
  <c r="J52" s="1"/>
  <c r="F51"/>
  <c r="M51" s="1"/>
  <c r="F50"/>
  <c r="J50" s="1"/>
  <c r="F49"/>
  <c r="M49" s="1"/>
  <c r="F48"/>
  <c r="J48" s="1"/>
  <c r="F47"/>
  <c r="F46"/>
  <c r="J46" s="1"/>
  <c r="F45"/>
  <c r="F44"/>
  <c r="J44" s="1"/>
  <c r="F43"/>
  <c r="H43" s="1"/>
  <c r="I42"/>
  <c r="F42"/>
  <c r="J42" s="1"/>
  <c r="F41"/>
  <c r="H41" s="1"/>
  <c r="G40"/>
  <c r="F40"/>
  <c r="J40" s="1"/>
  <c r="H39"/>
  <c r="F39"/>
  <c r="K38"/>
  <c r="I38"/>
  <c r="G38"/>
  <c r="F38"/>
  <c r="J38" s="1"/>
  <c r="H37"/>
  <c r="F37"/>
  <c r="F36"/>
  <c r="J36" s="1"/>
  <c r="F35"/>
  <c r="H35" s="1"/>
  <c r="F34"/>
  <c r="J34" s="1"/>
  <c r="F33"/>
  <c r="H33" s="1"/>
  <c r="F32"/>
  <c r="J32" s="1"/>
  <c r="F31"/>
  <c r="H31" s="1"/>
  <c r="F30"/>
  <c r="J30" s="1"/>
  <c r="F29"/>
  <c r="H29" s="1"/>
  <c r="F28"/>
  <c r="J28" s="1"/>
  <c r="F27"/>
  <c r="H27" s="1"/>
  <c r="F26"/>
  <c r="J26" s="1"/>
  <c r="F25"/>
  <c r="H25" s="1"/>
  <c r="F24"/>
  <c r="J24" s="1"/>
  <c r="F23"/>
  <c r="H23" s="1"/>
  <c r="F22"/>
  <c r="J22" s="1"/>
  <c r="F21"/>
  <c r="K20"/>
  <c r="F20"/>
  <c r="J20" s="1"/>
  <c r="F19"/>
  <c r="J19" s="1"/>
  <c r="I18"/>
  <c r="F18"/>
  <c r="J18" s="1"/>
  <c r="F17"/>
  <c r="J17" s="1"/>
  <c r="F16"/>
  <c r="G152" s="1"/>
  <c r="F15"/>
  <c r="I14"/>
  <c r="F14"/>
  <c r="J14" s="1"/>
  <c r="F13"/>
  <c r="H13" s="1"/>
  <c r="F12"/>
  <c r="J12" s="1"/>
  <c r="F11"/>
  <c r="E7"/>
  <c r="AI43" i="20" l="1"/>
  <c r="G12" i="3"/>
  <c r="H16"/>
  <c r="I24"/>
  <c r="G36"/>
  <c r="K40"/>
  <c r="G46"/>
  <c r="G50"/>
  <c r="G52"/>
  <c r="G64"/>
  <c r="G68"/>
  <c r="G70"/>
  <c r="I76"/>
  <c r="I78"/>
  <c r="K80"/>
  <c r="G90"/>
  <c r="I92"/>
  <c r="K94"/>
  <c r="G104"/>
  <c r="G106"/>
  <c r="K112"/>
  <c r="K114"/>
  <c r="I116"/>
  <c r="G128"/>
  <c r="I130"/>
  <c r="I132"/>
  <c r="I28"/>
  <c r="K36"/>
  <c r="I46"/>
  <c r="I48"/>
  <c r="K50"/>
  <c r="I52"/>
  <c r="I64"/>
  <c r="K68"/>
  <c r="I70"/>
  <c r="K76"/>
  <c r="K90"/>
  <c r="G98"/>
  <c r="G100"/>
  <c r="K104"/>
  <c r="I106"/>
  <c r="K116"/>
  <c r="K128"/>
  <c r="K132"/>
  <c r="I12"/>
  <c r="F140"/>
  <c r="K12"/>
  <c r="G20"/>
  <c r="I32"/>
  <c r="K46"/>
  <c r="K52"/>
  <c r="G60"/>
  <c r="K64"/>
  <c r="K70"/>
  <c r="K98"/>
  <c r="K106"/>
  <c r="G112"/>
  <c r="G120"/>
  <c r="G153" i="4"/>
  <c r="L150"/>
  <c r="L153" s="1"/>
  <c r="D157" i="23" s="1"/>
  <c r="D160" s="1"/>
  <c r="D167" s="1"/>
  <c r="M34" i="3"/>
  <c r="I22"/>
  <c r="I26"/>
  <c r="I30"/>
  <c r="I34"/>
  <c r="I44"/>
  <c r="I56"/>
  <c r="I62"/>
  <c r="I74"/>
  <c r="I82"/>
  <c r="I88"/>
  <c r="I96"/>
  <c r="I102"/>
  <c r="I108"/>
  <c r="I118"/>
  <c r="I126"/>
  <c r="I134"/>
  <c r="G14"/>
  <c r="AW38" i="20"/>
  <c r="Y38" s="1"/>
  <c r="G18" i="3"/>
  <c r="K22"/>
  <c r="G24"/>
  <c r="K26"/>
  <c r="G28"/>
  <c r="K30"/>
  <c r="G32"/>
  <c r="K34"/>
  <c r="M40"/>
  <c r="G42"/>
  <c r="K44"/>
  <c r="G48"/>
  <c r="M50"/>
  <c r="K56"/>
  <c r="G58"/>
  <c r="K62"/>
  <c r="G66"/>
  <c r="M68"/>
  <c r="K74"/>
  <c r="G78"/>
  <c r="K82"/>
  <c r="K88"/>
  <c r="I90"/>
  <c r="G92"/>
  <c r="K96"/>
  <c r="I98"/>
  <c r="K102"/>
  <c r="I104"/>
  <c r="K108"/>
  <c r="G110"/>
  <c r="M112"/>
  <c r="I114"/>
  <c r="K118"/>
  <c r="I120"/>
  <c r="G122"/>
  <c r="K126"/>
  <c r="I128"/>
  <c r="G130"/>
  <c r="K134"/>
  <c r="L16"/>
  <c r="H147"/>
  <c r="M56"/>
  <c r="M108"/>
  <c r="M134"/>
  <c r="AI60" i="20"/>
  <c r="K14" i="3"/>
  <c r="K18"/>
  <c r="I20"/>
  <c r="G22"/>
  <c r="K24"/>
  <c r="G26"/>
  <c r="K28"/>
  <c r="G30"/>
  <c r="K32"/>
  <c r="G34"/>
  <c r="I36"/>
  <c r="I40"/>
  <c r="K42"/>
  <c r="G44"/>
  <c r="K48"/>
  <c r="I50"/>
  <c r="M52"/>
  <c r="I54"/>
  <c r="G56"/>
  <c r="K58"/>
  <c r="I60"/>
  <c r="G62"/>
  <c r="K66"/>
  <c r="I68"/>
  <c r="M70"/>
  <c r="I72"/>
  <c r="G74"/>
  <c r="K78"/>
  <c r="I80"/>
  <c r="G82"/>
  <c r="M84"/>
  <c r="I86"/>
  <c r="G88"/>
  <c r="L88" s="1"/>
  <c r="K92"/>
  <c r="I94"/>
  <c r="G96"/>
  <c r="M98"/>
  <c r="G102"/>
  <c r="M104"/>
  <c r="G108"/>
  <c r="K110"/>
  <c r="M114"/>
  <c r="G118"/>
  <c r="K122"/>
  <c r="G126"/>
  <c r="K130"/>
  <c r="G134"/>
  <c r="J146"/>
  <c r="L148" i="4"/>
  <c r="C157" i="23" s="1"/>
  <c r="C160" s="1"/>
  <c r="C167" s="1"/>
  <c r="M23" i="3"/>
  <c r="K23"/>
  <c r="I23"/>
  <c r="G23"/>
  <c r="K25"/>
  <c r="I25"/>
  <c r="G25"/>
  <c r="K27"/>
  <c r="I27"/>
  <c r="G27"/>
  <c r="K29"/>
  <c r="I29"/>
  <c r="G29"/>
  <c r="M31"/>
  <c r="K31"/>
  <c r="I31"/>
  <c r="G31"/>
  <c r="M33"/>
  <c r="K33"/>
  <c r="I33"/>
  <c r="G33"/>
  <c r="K35"/>
  <c r="I35"/>
  <c r="G35"/>
  <c r="K37"/>
  <c r="I37"/>
  <c r="G37"/>
  <c r="M39"/>
  <c r="K39"/>
  <c r="I39"/>
  <c r="G39"/>
  <c r="K41"/>
  <c r="I41"/>
  <c r="G41"/>
  <c r="K43"/>
  <c r="I43"/>
  <c r="G43"/>
  <c r="H11"/>
  <c r="J13"/>
  <c r="H15"/>
  <c r="J15"/>
  <c r="H17"/>
  <c r="H19"/>
  <c r="H21"/>
  <c r="J21"/>
  <c r="G11"/>
  <c r="I11"/>
  <c r="K11"/>
  <c r="H12"/>
  <c r="G13"/>
  <c r="I13"/>
  <c r="K13"/>
  <c r="M13"/>
  <c r="H14"/>
  <c r="G15"/>
  <c r="I15"/>
  <c r="K15"/>
  <c r="G17"/>
  <c r="I17"/>
  <c r="K17"/>
  <c r="K144" s="1"/>
  <c r="H18"/>
  <c r="G19"/>
  <c r="I19"/>
  <c r="K19"/>
  <c r="H20"/>
  <c r="L20" s="1"/>
  <c r="G21"/>
  <c r="I21"/>
  <c r="K21"/>
  <c r="H22"/>
  <c r="J23"/>
  <c r="J25"/>
  <c r="J27"/>
  <c r="J29"/>
  <c r="J31"/>
  <c r="J33"/>
  <c r="J35"/>
  <c r="J37"/>
  <c r="J39"/>
  <c r="J41"/>
  <c r="J43"/>
  <c r="N6"/>
  <c r="N4"/>
  <c r="M19" s="1"/>
  <c r="N7"/>
  <c r="J11"/>
  <c r="H45"/>
  <c r="J45"/>
  <c r="H47"/>
  <c r="J47"/>
  <c r="H49"/>
  <c r="J49"/>
  <c r="H51"/>
  <c r="J51"/>
  <c r="H53"/>
  <c r="J53"/>
  <c r="H55"/>
  <c r="J55"/>
  <c r="H57"/>
  <c r="J57"/>
  <c r="H59"/>
  <c r="J59"/>
  <c r="H61"/>
  <c r="J61"/>
  <c r="H63"/>
  <c r="J63"/>
  <c r="H65"/>
  <c r="J65"/>
  <c r="H67"/>
  <c r="J67"/>
  <c r="H69"/>
  <c r="J69"/>
  <c r="H71"/>
  <c r="J71"/>
  <c r="H73"/>
  <c r="J73"/>
  <c r="K75"/>
  <c r="I75"/>
  <c r="G75"/>
  <c r="M77"/>
  <c r="K77"/>
  <c r="I77"/>
  <c r="G77"/>
  <c r="K79"/>
  <c r="I79"/>
  <c r="G79"/>
  <c r="M81"/>
  <c r="K81"/>
  <c r="I81"/>
  <c r="G81"/>
  <c r="K83"/>
  <c r="I83"/>
  <c r="G83"/>
  <c r="K85"/>
  <c r="I85"/>
  <c r="G85"/>
  <c r="K87"/>
  <c r="I87"/>
  <c r="G87"/>
  <c r="K89"/>
  <c r="I89"/>
  <c r="G89"/>
  <c r="M91"/>
  <c r="K91"/>
  <c r="I91"/>
  <c r="G91"/>
  <c r="K93"/>
  <c r="I93"/>
  <c r="G93"/>
  <c r="K95"/>
  <c r="I95"/>
  <c r="G95"/>
  <c r="M97"/>
  <c r="K97"/>
  <c r="I97"/>
  <c r="G97"/>
  <c r="K99"/>
  <c r="I99"/>
  <c r="G99"/>
  <c r="K101"/>
  <c r="I101"/>
  <c r="G101"/>
  <c r="H24"/>
  <c r="H26"/>
  <c r="L26" s="1"/>
  <c r="H28"/>
  <c r="H30"/>
  <c r="H32"/>
  <c r="H34"/>
  <c r="H36"/>
  <c r="H38"/>
  <c r="L38" s="1"/>
  <c r="H40"/>
  <c r="L40" s="1"/>
  <c r="N40" s="1"/>
  <c r="H42"/>
  <c r="H44"/>
  <c r="G45"/>
  <c r="I45"/>
  <c r="K45"/>
  <c r="H46"/>
  <c r="G47"/>
  <c r="I47"/>
  <c r="K47"/>
  <c r="H48"/>
  <c r="L48" s="1"/>
  <c r="G49"/>
  <c r="I49"/>
  <c r="K49"/>
  <c r="H50"/>
  <c r="G51"/>
  <c r="I51"/>
  <c r="K51"/>
  <c r="H52"/>
  <c r="G53"/>
  <c r="I53"/>
  <c r="K53"/>
  <c r="H54"/>
  <c r="L54" s="1"/>
  <c r="G55"/>
  <c r="I55"/>
  <c r="K55"/>
  <c r="H56"/>
  <c r="G57"/>
  <c r="I57"/>
  <c r="K57"/>
  <c r="H58"/>
  <c r="G59"/>
  <c r="I59"/>
  <c r="K59"/>
  <c r="H60"/>
  <c r="G61"/>
  <c r="I61"/>
  <c r="K61"/>
  <c r="H62"/>
  <c r="L62" s="1"/>
  <c r="G63"/>
  <c r="I63"/>
  <c r="K63"/>
  <c r="H64"/>
  <c r="G65"/>
  <c r="I65"/>
  <c r="K65"/>
  <c r="H66"/>
  <c r="G67"/>
  <c r="I67"/>
  <c r="K67"/>
  <c r="H68"/>
  <c r="G69"/>
  <c r="I69"/>
  <c r="K69"/>
  <c r="H70"/>
  <c r="L70" s="1"/>
  <c r="G71"/>
  <c r="I71"/>
  <c r="K71"/>
  <c r="H72"/>
  <c r="L72" s="1"/>
  <c r="G73"/>
  <c r="I73"/>
  <c r="K73"/>
  <c r="J75"/>
  <c r="J77"/>
  <c r="J145" s="1"/>
  <c r="J143" s="1"/>
  <c r="J79"/>
  <c r="J81"/>
  <c r="J83"/>
  <c r="L84"/>
  <c r="N84" s="1"/>
  <c r="J85"/>
  <c r="J87"/>
  <c r="J89"/>
  <c r="J91"/>
  <c r="J93"/>
  <c r="J95"/>
  <c r="J97"/>
  <c r="J99"/>
  <c r="J101"/>
  <c r="H74"/>
  <c r="L74" s="1"/>
  <c r="H76"/>
  <c r="H78"/>
  <c r="H80"/>
  <c r="H82"/>
  <c r="L82" s="1"/>
  <c r="H84"/>
  <c r="H86"/>
  <c r="H88"/>
  <c r="H90"/>
  <c r="L90" s="1"/>
  <c r="H92"/>
  <c r="H94"/>
  <c r="L94" s="1"/>
  <c r="H96"/>
  <c r="H98"/>
  <c r="L98" s="1"/>
  <c r="N98" s="1"/>
  <c r="H100"/>
  <c r="L100" s="1"/>
  <c r="H102"/>
  <c r="G103"/>
  <c r="I103"/>
  <c r="K103"/>
  <c r="M103"/>
  <c r="H104"/>
  <c r="L104" s="1"/>
  <c r="N104" s="1"/>
  <c r="G105"/>
  <c r="I105"/>
  <c r="K105"/>
  <c r="M105"/>
  <c r="H106"/>
  <c r="L106" s="1"/>
  <c r="G107"/>
  <c r="I107"/>
  <c r="K107"/>
  <c r="M107"/>
  <c r="H108"/>
  <c r="G109"/>
  <c r="I109"/>
  <c r="K109"/>
  <c r="H110"/>
  <c r="G111"/>
  <c r="I111"/>
  <c r="K111"/>
  <c r="H112"/>
  <c r="G113"/>
  <c r="I113"/>
  <c r="K113"/>
  <c r="H114"/>
  <c r="L114" s="1"/>
  <c r="N114" s="1"/>
  <c r="G115"/>
  <c r="I115"/>
  <c r="K115"/>
  <c r="M115"/>
  <c r="H116"/>
  <c r="L116" s="1"/>
  <c r="G117"/>
  <c r="I117"/>
  <c r="K117"/>
  <c r="H118"/>
  <c r="G119"/>
  <c r="I119"/>
  <c r="I145" s="1"/>
  <c r="I143" s="1"/>
  <c r="K119"/>
  <c r="M119"/>
  <c r="H120"/>
  <c r="G121"/>
  <c r="I121"/>
  <c r="K121"/>
  <c r="H122"/>
  <c r="L122" s="1"/>
  <c r="G123"/>
  <c r="I123"/>
  <c r="K123"/>
  <c r="M123"/>
  <c r="H124"/>
  <c r="L124" s="1"/>
  <c r="G125"/>
  <c r="I125"/>
  <c r="K125"/>
  <c r="H126"/>
  <c r="G127"/>
  <c r="I127"/>
  <c r="K127"/>
  <c r="H128"/>
  <c r="L128" s="1"/>
  <c r="G129"/>
  <c r="I129"/>
  <c r="K129"/>
  <c r="H130"/>
  <c r="L130" s="1"/>
  <c r="G131"/>
  <c r="I131"/>
  <c r="K131"/>
  <c r="M131"/>
  <c r="H132"/>
  <c r="L132" s="1"/>
  <c r="G133"/>
  <c r="I133"/>
  <c r="K133"/>
  <c r="M133"/>
  <c r="H134"/>
  <c r="G135"/>
  <c r="I135"/>
  <c r="I146" s="1"/>
  <c r="K135"/>
  <c r="M135"/>
  <c r="H136"/>
  <c r="J136"/>
  <c r="J144" s="1"/>
  <c r="H103"/>
  <c r="H105"/>
  <c r="H107"/>
  <c r="H109"/>
  <c r="H111"/>
  <c r="H113"/>
  <c r="H115"/>
  <c r="H117"/>
  <c r="H119"/>
  <c r="H121"/>
  <c r="H123"/>
  <c r="H125"/>
  <c r="H127"/>
  <c r="H129"/>
  <c r="H131"/>
  <c r="H133"/>
  <c r="H135"/>
  <c r="I136"/>
  <c r="K136"/>
  <c r="G146" l="1"/>
  <c r="L80"/>
  <c r="L64"/>
  <c r="L52"/>
  <c r="N52" s="1"/>
  <c r="L46"/>
  <c r="L36"/>
  <c r="L96"/>
  <c r="L42"/>
  <c r="L34"/>
  <c r="N34" s="1"/>
  <c r="L112"/>
  <c r="N112" s="1"/>
  <c r="L92"/>
  <c r="L76"/>
  <c r="L12"/>
  <c r="J151"/>
  <c r="AW21" i="20" s="1"/>
  <c r="AV21"/>
  <c r="J150" i="3"/>
  <c r="AV12" i="20"/>
  <c r="J148" i="3"/>
  <c r="M71"/>
  <c r="M53"/>
  <c r="AV22" i="20"/>
  <c r="K151" i="3"/>
  <c r="AW22" i="20" s="1"/>
  <c r="M121" i="3"/>
  <c r="G145"/>
  <c r="M113"/>
  <c r="L24"/>
  <c r="M99"/>
  <c r="M95"/>
  <c r="M87"/>
  <c r="M85"/>
  <c r="M79"/>
  <c r="M75"/>
  <c r="M67"/>
  <c r="M45"/>
  <c r="I144"/>
  <c r="I140"/>
  <c r="L134"/>
  <c r="N134" s="1"/>
  <c r="M127"/>
  <c r="L126"/>
  <c r="L118"/>
  <c r="M111"/>
  <c r="L110"/>
  <c r="L102"/>
  <c r="L86"/>
  <c r="L78"/>
  <c r="L30"/>
  <c r="M63"/>
  <c r="J140"/>
  <c r="M47"/>
  <c r="L22"/>
  <c r="G144"/>
  <c r="L14"/>
  <c r="G140"/>
  <c r="H144"/>
  <c r="H140"/>
  <c r="I150"/>
  <c r="AV11" i="20"/>
  <c r="K140" i="3"/>
  <c r="H152"/>
  <c r="AV39" i="20"/>
  <c r="L147" i="3"/>
  <c r="L136"/>
  <c r="N136" s="1"/>
  <c r="M129"/>
  <c r="L120"/>
  <c r="M136"/>
  <c r="L32"/>
  <c r="M101"/>
  <c r="M93"/>
  <c r="M89"/>
  <c r="M83"/>
  <c r="H146"/>
  <c r="L146" s="1"/>
  <c r="AV17" i="20" s="1"/>
  <c r="H145" i="3"/>
  <c r="H143" s="1"/>
  <c r="K146"/>
  <c r="M125"/>
  <c r="K145"/>
  <c r="K143" s="1"/>
  <c r="M117"/>
  <c r="M109"/>
  <c r="L108"/>
  <c r="N108" s="1"/>
  <c r="N70"/>
  <c r="L68"/>
  <c r="N68" s="1"/>
  <c r="L66"/>
  <c r="L60"/>
  <c r="L58"/>
  <c r="L56"/>
  <c r="N56" s="1"/>
  <c r="L50"/>
  <c r="N50" s="1"/>
  <c r="L44"/>
  <c r="L28"/>
  <c r="M59"/>
  <c r="L18"/>
  <c r="N106"/>
  <c r="M132"/>
  <c r="N132" s="1"/>
  <c r="M130"/>
  <c r="N130" s="1"/>
  <c r="M128"/>
  <c r="N128" s="1"/>
  <c r="M126"/>
  <c r="N126" s="1"/>
  <c r="M124"/>
  <c r="N124" s="1"/>
  <c r="M122"/>
  <c r="N122" s="1"/>
  <c r="M120"/>
  <c r="M118"/>
  <c r="M116"/>
  <c r="N116" s="1"/>
  <c r="M110"/>
  <c r="N110" s="1"/>
  <c r="M106"/>
  <c r="M102"/>
  <c r="N102" s="1"/>
  <c r="N5"/>
  <c r="M100"/>
  <c r="N100" s="1"/>
  <c r="M96"/>
  <c r="N96" s="1"/>
  <c r="M94"/>
  <c r="N94" s="1"/>
  <c r="M92"/>
  <c r="M90"/>
  <c r="N90" s="1"/>
  <c r="M88"/>
  <c r="N88" s="1"/>
  <c r="M86"/>
  <c r="M82"/>
  <c r="N82" s="1"/>
  <c r="M80"/>
  <c r="M78"/>
  <c r="N78" s="1"/>
  <c r="M76"/>
  <c r="M74"/>
  <c r="N74" s="1"/>
  <c r="M72"/>
  <c r="N72" s="1"/>
  <c r="M66"/>
  <c r="N66" s="1"/>
  <c r="M64"/>
  <c r="N64" s="1"/>
  <c r="M62"/>
  <c r="N62" s="1"/>
  <c r="M60"/>
  <c r="M58"/>
  <c r="M54"/>
  <c r="N54" s="1"/>
  <c r="M48"/>
  <c r="N48" s="1"/>
  <c r="M46"/>
  <c r="N46" s="1"/>
  <c r="M44"/>
  <c r="M42"/>
  <c r="M38"/>
  <c r="N38" s="1"/>
  <c r="M36"/>
  <c r="N36" s="1"/>
  <c r="M32"/>
  <c r="N32" s="1"/>
  <c r="M30"/>
  <c r="N30" s="1"/>
  <c r="M28"/>
  <c r="N28" s="1"/>
  <c r="M26"/>
  <c r="N26" s="1"/>
  <c r="M22"/>
  <c r="N22" s="1"/>
  <c r="M12"/>
  <c r="N12" s="1"/>
  <c r="M24"/>
  <c r="N24" s="1"/>
  <c r="M20"/>
  <c r="N20" s="1"/>
  <c r="M18"/>
  <c r="M16"/>
  <c r="M14"/>
  <c r="L133"/>
  <c r="N133" s="1"/>
  <c r="L129"/>
  <c r="L125"/>
  <c r="N125" s="1"/>
  <c r="L121"/>
  <c r="L113"/>
  <c r="N113" s="1"/>
  <c r="L109"/>
  <c r="N109" s="1"/>
  <c r="N92"/>
  <c r="L135"/>
  <c r="N135" s="1"/>
  <c r="L131"/>
  <c r="N131" s="1"/>
  <c r="L127"/>
  <c r="N127" s="1"/>
  <c r="L123"/>
  <c r="N123" s="1"/>
  <c r="L119"/>
  <c r="N119" s="1"/>
  <c r="L115"/>
  <c r="N115" s="1"/>
  <c r="L111"/>
  <c r="N111" s="1"/>
  <c r="L107"/>
  <c r="N107" s="1"/>
  <c r="L103"/>
  <c r="N103" s="1"/>
  <c r="L73"/>
  <c r="N73" s="1"/>
  <c r="L71"/>
  <c r="N71" s="1"/>
  <c r="L69"/>
  <c r="N69" s="1"/>
  <c r="L67"/>
  <c r="N67" s="1"/>
  <c r="L65"/>
  <c r="N65" s="1"/>
  <c r="L63"/>
  <c r="L61"/>
  <c r="N61" s="1"/>
  <c r="L59"/>
  <c r="N59" s="1"/>
  <c r="L57"/>
  <c r="N57" s="1"/>
  <c r="L55"/>
  <c r="N55" s="1"/>
  <c r="L53"/>
  <c r="N53" s="1"/>
  <c r="L51"/>
  <c r="N51" s="1"/>
  <c r="L49"/>
  <c r="N49" s="1"/>
  <c r="L47"/>
  <c r="N47" s="1"/>
  <c r="L45"/>
  <c r="N45" s="1"/>
  <c r="L101"/>
  <c r="N101" s="1"/>
  <c r="L99"/>
  <c r="L97"/>
  <c r="N97" s="1"/>
  <c r="L95"/>
  <c r="L93"/>
  <c r="L91"/>
  <c r="N91" s="1"/>
  <c r="L89"/>
  <c r="N89" s="1"/>
  <c r="L87"/>
  <c r="N87" s="1"/>
  <c r="L85"/>
  <c r="N85" s="1"/>
  <c r="L83"/>
  <c r="L81"/>
  <c r="N81" s="1"/>
  <c r="L79"/>
  <c r="N79" s="1"/>
  <c r="L77"/>
  <c r="N77" s="1"/>
  <c r="L75"/>
  <c r="L19"/>
  <c r="N19" s="1"/>
  <c r="M17"/>
  <c r="L15"/>
  <c r="L43"/>
  <c r="L41"/>
  <c r="L39"/>
  <c r="N39" s="1"/>
  <c r="L37"/>
  <c r="L35"/>
  <c r="L33"/>
  <c r="N33" s="1"/>
  <c r="L31"/>
  <c r="N31" s="1"/>
  <c r="L29"/>
  <c r="L27"/>
  <c r="L25"/>
  <c r="L23"/>
  <c r="N23" s="1"/>
  <c r="M15"/>
  <c r="M11"/>
  <c r="L117"/>
  <c r="L105"/>
  <c r="N105" s="1"/>
  <c r="N80"/>
  <c r="L21"/>
  <c r="L17"/>
  <c r="L13"/>
  <c r="N13" s="1"/>
  <c r="L11"/>
  <c r="M43"/>
  <c r="M41"/>
  <c r="M37"/>
  <c r="M35"/>
  <c r="M29"/>
  <c r="M27"/>
  <c r="M25"/>
  <c r="M21"/>
  <c r="N42" l="1"/>
  <c r="N76"/>
  <c r="N86"/>
  <c r="N118"/>
  <c r="N120"/>
  <c r="N117"/>
  <c r="N93"/>
  <c r="X17" i="20"/>
  <c r="N16" i="3"/>
  <c r="E147"/>
  <c r="AV52" i="20" s="1"/>
  <c r="X52" s="1"/>
  <c r="K150" i="3"/>
  <c r="AV13" i="20"/>
  <c r="K148" i="3"/>
  <c r="AW39" i="20"/>
  <c r="L152" i="3"/>
  <c r="AW11" i="20"/>
  <c r="X22"/>
  <c r="N11" i="3"/>
  <c r="L140"/>
  <c r="N18"/>
  <c r="E143"/>
  <c r="N58"/>
  <c r="L144"/>
  <c r="AV18" i="20"/>
  <c r="AV20"/>
  <c r="AV29" s="1"/>
  <c r="I151" i="3"/>
  <c r="AW20" i="20" s="1"/>
  <c r="J153" i="3"/>
  <c r="AW12" i="20"/>
  <c r="N63" i="3"/>
  <c r="N60"/>
  <c r="I148"/>
  <c r="H151"/>
  <c r="AV19" i="20"/>
  <c r="X21"/>
  <c r="L145" i="3"/>
  <c r="AV8" i="20" s="1"/>
  <c r="G143" i="3"/>
  <c r="AV30" i="20"/>
  <c r="X12"/>
  <c r="E144" i="3"/>
  <c r="AV51" i="20" s="1"/>
  <c r="X51" s="1"/>
  <c r="N95" i="3"/>
  <c r="N129"/>
  <c r="N44"/>
  <c r="N17"/>
  <c r="N43"/>
  <c r="N75"/>
  <c r="N83"/>
  <c r="N99"/>
  <c r="N121"/>
  <c r="N14"/>
  <c r="H150"/>
  <c r="AV10" i="20"/>
  <c r="H148" i="3"/>
  <c r="X39" i="20"/>
  <c r="X40" s="1"/>
  <c r="X41" s="1"/>
  <c r="AV40"/>
  <c r="AV41" s="1"/>
  <c r="X11"/>
  <c r="Y22"/>
  <c r="Y21"/>
  <c r="M138" i="3"/>
  <c r="N21"/>
  <c r="N25"/>
  <c r="N29"/>
  <c r="N37"/>
  <c r="N41"/>
  <c r="N15"/>
  <c r="N27"/>
  <c r="N35"/>
  <c r="H153" l="1"/>
  <c r="AW10" i="20"/>
  <c r="AV26"/>
  <c r="X8"/>
  <c r="Y12"/>
  <c r="AW30"/>
  <c r="X30"/>
  <c r="AW29"/>
  <c r="Y11"/>
  <c r="Y20"/>
  <c r="I153" i="3"/>
  <c r="X13" i="20"/>
  <c r="AV31"/>
  <c r="G151" i="3"/>
  <c r="AW19" i="20"/>
  <c r="X18"/>
  <c r="Y39"/>
  <c r="Y40" s="1"/>
  <c r="Y41" s="1"/>
  <c r="AW40"/>
  <c r="AW41" s="1"/>
  <c r="AW59" s="1"/>
  <c r="AV28"/>
  <c r="AV14"/>
  <c r="AV15" s="1"/>
  <c r="X10"/>
  <c r="G148" i="3"/>
  <c r="AV9" i="20"/>
  <c r="L143" i="3"/>
  <c r="L148" s="1"/>
  <c r="X19" i="20"/>
  <c r="AV23"/>
  <c r="AV24" s="1"/>
  <c r="X20"/>
  <c r="E148" i="3"/>
  <c r="AV50" i="20"/>
  <c r="K153" i="3"/>
  <c r="AW13" i="20"/>
  <c r="N138" i="3"/>
  <c r="F136" i="2"/>
  <c r="J136" s="1"/>
  <c r="F135"/>
  <c r="J135" s="1"/>
  <c r="F134"/>
  <c r="J134" s="1"/>
  <c r="F133"/>
  <c r="J133" s="1"/>
  <c r="F132"/>
  <c r="J132" s="1"/>
  <c r="F131"/>
  <c r="J131" s="1"/>
  <c r="F130"/>
  <c r="J130" s="1"/>
  <c r="F129"/>
  <c r="J129" s="1"/>
  <c r="F128"/>
  <c r="J128" s="1"/>
  <c r="F127"/>
  <c r="J127" s="1"/>
  <c r="F126"/>
  <c r="J126" s="1"/>
  <c r="F125"/>
  <c r="J125" s="1"/>
  <c r="F124"/>
  <c r="J124" s="1"/>
  <c r="F123"/>
  <c r="J123" s="1"/>
  <c r="K122"/>
  <c r="F122"/>
  <c r="J122" s="1"/>
  <c r="F121"/>
  <c r="J121" s="1"/>
  <c r="F120"/>
  <c r="J120" s="1"/>
  <c r="F119"/>
  <c r="J119" s="1"/>
  <c r="F118"/>
  <c r="J118" s="1"/>
  <c r="F117"/>
  <c r="J117" s="1"/>
  <c r="F116"/>
  <c r="J116" s="1"/>
  <c r="F115"/>
  <c r="J115" s="1"/>
  <c r="F114"/>
  <c r="J114" s="1"/>
  <c r="F113"/>
  <c r="J113" s="1"/>
  <c r="F112"/>
  <c r="J112" s="1"/>
  <c r="F111"/>
  <c r="J111" s="1"/>
  <c r="F110"/>
  <c r="J110" s="1"/>
  <c r="F109"/>
  <c r="J109" s="1"/>
  <c r="K108"/>
  <c r="F108"/>
  <c r="J108" s="1"/>
  <c r="F107"/>
  <c r="J107" s="1"/>
  <c r="F106"/>
  <c r="J106" s="1"/>
  <c r="F105"/>
  <c r="J105" s="1"/>
  <c r="F104"/>
  <c r="J104" s="1"/>
  <c r="F103"/>
  <c r="H103" s="1"/>
  <c r="F102"/>
  <c r="J102" s="1"/>
  <c r="F101"/>
  <c r="H101" s="1"/>
  <c r="F100"/>
  <c r="J100" s="1"/>
  <c r="F99"/>
  <c r="H99" s="1"/>
  <c r="F98"/>
  <c r="J98" s="1"/>
  <c r="F97"/>
  <c r="H97" s="1"/>
  <c r="F96"/>
  <c r="J96" s="1"/>
  <c r="F95"/>
  <c r="H95" s="1"/>
  <c r="F94"/>
  <c r="J94" s="1"/>
  <c r="F93"/>
  <c r="H93" s="1"/>
  <c r="F92"/>
  <c r="J92" s="1"/>
  <c r="F91"/>
  <c r="H91" s="1"/>
  <c r="F90"/>
  <c r="J90" s="1"/>
  <c r="F89"/>
  <c r="H89" s="1"/>
  <c r="F88"/>
  <c r="J88" s="1"/>
  <c r="F87"/>
  <c r="H87" s="1"/>
  <c r="F86"/>
  <c r="J86" s="1"/>
  <c r="F85"/>
  <c r="H85" s="1"/>
  <c r="F84"/>
  <c r="J84" s="1"/>
  <c r="F83"/>
  <c r="H83" s="1"/>
  <c r="F82"/>
  <c r="J82" s="1"/>
  <c r="F81"/>
  <c r="H81" s="1"/>
  <c r="F80"/>
  <c r="J80" s="1"/>
  <c r="F79"/>
  <c r="H79" s="1"/>
  <c r="F78"/>
  <c r="J78" s="1"/>
  <c r="F77"/>
  <c r="H77" s="1"/>
  <c r="F76"/>
  <c r="J76" s="1"/>
  <c r="F75"/>
  <c r="H75" s="1"/>
  <c r="F74"/>
  <c r="J74" s="1"/>
  <c r="F73"/>
  <c r="M73" s="1"/>
  <c r="F72"/>
  <c r="J72" s="1"/>
  <c r="F71"/>
  <c r="F70"/>
  <c r="J70" s="1"/>
  <c r="F69"/>
  <c r="M69" s="1"/>
  <c r="F68"/>
  <c r="J68" s="1"/>
  <c r="F67"/>
  <c r="F66"/>
  <c r="J66" s="1"/>
  <c r="F65"/>
  <c r="M65" s="1"/>
  <c r="F64"/>
  <c r="J64" s="1"/>
  <c r="F63"/>
  <c r="G62"/>
  <c r="F62"/>
  <c r="J62" s="1"/>
  <c r="F61"/>
  <c r="M61" s="1"/>
  <c r="F60"/>
  <c r="J60" s="1"/>
  <c r="F59"/>
  <c r="G58"/>
  <c r="F58"/>
  <c r="J58" s="1"/>
  <c r="F57"/>
  <c r="M57" s="1"/>
  <c r="G56"/>
  <c r="F56"/>
  <c r="J56" s="1"/>
  <c r="F55"/>
  <c r="M55" s="1"/>
  <c r="F54"/>
  <c r="J54" s="1"/>
  <c r="F53"/>
  <c r="F52"/>
  <c r="J52" s="1"/>
  <c r="F51"/>
  <c r="M51" s="1"/>
  <c r="F50"/>
  <c r="J50" s="1"/>
  <c r="F49"/>
  <c r="M49" s="1"/>
  <c r="F48"/>
  <c r="J48" s="1"/>
  <c r="F47"/>
  <c r="G46"/>
  <c r="F46"/>
  <c r="J46" s="1"/>
  <c r="F45"/>
  <c r="F44"/>
  <c r="J44" s="1"/>
  <c r="F43"/>
  <c r="G42"/>
  <c r="F42"/>
  <c r="J42" s="1"/>
  <c r="F41"/>
  <c r="F40"/>
  <c r="M40" s="1"/>
  <c r="F39"/>
  <c r="J39" s="1"/>
  <c r="F38"/>
  <c r="F37"/>
  <c r="J37" s="1"/>
  <c r="F36"/>
  <c r="F35"/>
  <c r="J35" s="1"/>
  <c r="F34"/>
  <c r="M34" s="1"/>
  <c r="F33"/>
  <c r="J33" s="1"/>
  <c r="F32"/>
  <c r="F31"/>
  <c r="J31" s="1"/>
  <c r="F30"/>
  <c r="F29"/>
  <c r="J29" s="1"/>
  <c r="F28"/>
  <c r="F27"/>
  <c r="J27" s="1"/>
  <c r="F26"/>
  <c r="F25"/>
  <c r="J25" s="1"/>
  <c r="F24"/>
  <c r="F23"/>
  <c r="J23" s="1"/>
  <c r="F22"/>
  <c r="F21"/>
  <c r="J21" s="1"/>
  <c r="F20"/>
  <c r="K19"/>
  <c r="F19"/>
  <c r="J19" s="1"/>
  <c r="F18"/>
  <c r="F17"/>
  <c r="G16"/>
  <c r="G147" s="1"/>
  <c r="F16"/>
  <c r="G152" s="1"/>
  <c r="F15"/>
  <c r="F14"/>
  <c r="J14" s="1"/>
  <c r="F13"/>
  <c r="M13" s="1"/>
  <c r="F12"/>
  <c r="J12" s="1"/>
  <c r="F11"/>
  <c r="E7"/>
  <c r="AV32" i="20" l="1"/>
  <c r="AV46" s="1"/>
  <c r="K29" i="2"/>
  <c r="K46"/>
  <c r="G52"/>
  <c r="G66"/>
  <c r="G78"/>
  <c r="K80"/>
  <c r="G82"/>
  <c r="K130"/>
  <c r="G50"/>
  <c r="K66"/>
  <c r="K78"/>
  <c r="K14"/>
  <c r="K56"/>
  <c r="K58"/>
  <c r="G74"/>
  <c r="K110"/>
  <c r="AW23" i="20"/>
  <c r="Y19"/>
  <c r="Y29"/>
  <c r="X26"/>
  <c r="G23" i="2"/>
  <c r="G25"/>
  <c r="G37"/>
  <c r="K42"/>
  <c r="K50"/>
  <c r="K52"/>
  <c r="K62"/>
  <c r="K74"/>
  <c r="G76"/>
  <c r="K82"/>
  <c r="G84"/>
  <c r="G118"/>
  <c r="G126"/>
  <c r="G134"/>
  <c r="G136"/>
  <c r="Y13" i="20"/>
  <c r="AW31"/>
  <c r="X23"/>
  <c r="X24" s="1"/>
  <c r="AW18"/>
  <c r="L151" i="3"/>
  <c r="G150"/>
  <c r="J17" i="2"/>
  <c r="AO38" i="20"/>
  <c r="K23" i="2"/>
  <c r="K25"/>
  <c r="K37"/>
  <c r="K76"/>
  <c r="K84"/>
  <c r="K118"/>
  <c r="K126"/>
  <c r="K134"/>
  <c r="K136"/>
  <c r="X29" i="20"/>
  <c r="Y30"/>
  <c r="Y10"/>
  <c r="AW28"/>
  <c r="AW32" s="1"/>
  <c r="AW14"/>
  <c r="F140" i="2"/>
  <c r="G14"/>
  <c r="AN38" i="20"/>
  <c r="G19" i="2"/>
  <c r="G29"/>
  <c r="G80"/>
  <c r="G108"/>
  <c r="G110"/>
  <c r="G122"/>
  <c r="G130"/>
  <c r="J146"/>
  <c r="AV53" i="20"/>
  <c r="X50"/>
  <c r="X9"/>
  <c r="AV27"/>
  <c r="AV45" s="1"/>
  <c r="X28"/>
  <c r="X14"/>
  <c r="X31"/>
  <c r="I12" i="2"/>
  <c r="I17"/>
  <c r="I27"/>
  <c r="G12"/>
  <c r="K12"/>
  <c r="I14"/>
  <c r="G17"/>
  <c r="K17"/>
  <c r="I19"/>
  <c r="G21"/>
  <c r="K21"/>
  <c r="I23"/>
  <c r="M23"/>
  <c r="I25"/>
  <c r="G27"/>
  <c r="K27"/>
  <c r="I29"/>
  <c r="G31"/>
  <c r="K31"/>
  <c r="G33"/>
  <c r="K33"/>
  <c r="G35"/>
  <c r="K35"/>
  <c r="I37"/>
  <c r="G39"/>
  <c r="K39"/>
  <c r="I42"/>
  <c r="G44"/>
  <c r="K44"/>
  <c r="I46"/>
  <c r="G48"/>
  <c r="K48"/>
  <c r="I50"/>
  <c r="M50"/>
  <c r="I52"/>
  <c r="G54"/>
  <c r="K54"/>
  <c r="I56"/>
  <c r="M56"/>
  <c r="I58"/>
  <c r="G60"/>
  <c r="K60"/>
  <c r="I62"/>
  <c r="G64"/>
  <c r="K64"/>
  <c r="I66"/>
  <c r="G68"/>
  <c r="K68"/>
  <c r="G70"/>
  <c r="K70"/>
  <c r="G72"/>
  <c r="K72"/>
  <c r="I74"/>
  <c r="I76"/>
  <c r="I78"/>
  <c r="I80"/>
  <c r="I82"/>
  <c r="I84"/>
  <c r="M84"/>
  <c r="G86"/>
  <c r="K86"/>
  <c r="G88"/>
  <c r="K88"/>
  <c r="G90"/>
  <c r="K90"/>
  <c r="G92"/>
  <c r="K92"/>
  <c r="G94"/>
  <c r="K94"/>
  <c r="G96"/>
  <c r="K96"/>
  <c r="G98"/>
  <c r="K98"/>
  <c r="G100"/>
  <c r="K100"/>
  <c r="G102"/>
  <c r="K102"/>
  <c r="G104"/>
  <c r="K104"/>
  <c r="G106"/>
  <c r="K106"/>
  <c r="I108"/>
  <c r="M108"/>
  <c r="I110"/>
  <c r="G112"/>
  <c r="K112"/>
  <c r="G114"/>
  <c r="K114"/>
  <c r="G116"/>
  <c r="K116"/>
  <c r="I118"/>
  <c r="G120"/>
  <c r="K120"/>
  <c r="I122"/>
  <c r="G124"/>
  <c r="K124"/>
  <c r="I126"/>
  <c r="G128"/>
  <c r="K128"/>
  <c r="I130"/>
  <c r="G132"/>
  <c r="K132"/>
  <c r="I134"/>
  <c r="M134"/>
  <c r="I136"/>
  <c r="I21"/>
  <c r="I31"/>
  <c r="M31"/>
  <c r="I33"/>
  <c r="M33"/>
  <c r="I35"/>
  <c r="I39"/>
  <c r="M39"/>
  <c r="I44"/>
  <c r="I48"/>
  <c r="I54"/>
  <c r="I60"/>
  <c r="I64"/>
  <c r="I68"/>
  <c r="M68"/>
  <c r="I70"/>
  <c r="M70"/>
  <c r="I72"/>
  <c r="I86"/>
  <c r="I88"/>
  <c r="I90"/>
  <c r="I92"/>
  <c r="I94"/>
  <c r="I96"/>
  <c r="I98"/>
  <c r="I100"/>
  <c r="I102"/>
  <c r="I104"/>
  <c r="M104"/>
  <c r="I106"/>
  <c r="I112"/>
  <c r="M112"/>
  <c r="I114"/>
  <c r="M114"/>
  <c r="I116"/>
  <c r="I120"/>
  <c r="I124"/>
  <c r="I128"/>
  <c r="I132"/>
  <c r="P6"/>
  <c r="P4"/>
  <c r="M117" s="1"/>
  <c r="P7"/>
  <c r="H11"/>
  <c r="J11"/>
  <c r="H13"/>
  <c r="J13"/>
  <c r="H15"/>
  <c r="J15"/>
  <c r="H18"/>
  <c r="J18"/>
  <c r="H20"/>
  <c r="J20"/>
  <c r="H22"/>
  <c r="J22"/>
  <c r="H24"/>
  <c r="J24"/>
  <c r="H26"/>
  <c r="J26"/>
  <c r="H28"/>
  <c r="J28"/>
  <c r="H30"/>
  <c r="J30"/>
  <c r="H32"/>
  <c r="J32"/>
  <c r="H34"/>
  <c r="J34"/>
  <c r="H36"/>
  <c r="J36"/>
  <c r="H38"/>
  <c r="J38"/>
  <c r="H40"/>
  <c r="J40"/>
  <c r="G11"/>
  <c r="I11"/>
  <c r="K11"/>
  <c r="H12"/>
  <c r="G13"/>
  <c r="I13"/>
  <c r="K13"/>
  <c r="H14"/>
  <c r="G15"/>
  <c r="I15"/>
  <c r="K15"/>
  <c r="H16"/>
  <c r="H17"/>
  <c r="G18"/>
  <c r="I18"/>
  <c r="K18"/>
  <c r="H19"/>
  <c r="L19" s="1"/>
  <c r="G20"/>
  <c r="I20"/>
  <c r="K20"/>
  <c r="H21"/>
  <c r="G22"/>
  <c r="I22"/>
  <c r="K22"/>
  <c r="H23"/>
  <c r="L23" s="1"/>
  <c r="N23" s="1"/>
  <c r="G24"/>
  <c r="I24"/>
  <c r="K24"/>
  <c r="H25"/>
  <c r="L25" s="1"/>
  <c r="G26"/>
  <c r="I26"/>
  <c r="K26"/>
  <c r="H27"/>
  <c r="G28"/>
  <c r="I28"/>
  <c r="K28"/>
  <c r="H29"/>
  <c r="G30"/>
  <c r="I30"/>
  <c r="K30"/>
  <c r="H31"/>
  <c r="G32"/>
  <c r="I32"/>
  <c r="K32"/>
  <c r="H33"/>
  <c r="L33" s="1"/>
  <c r="N33" s="1"/>
  <c r="G34"/>
  <c r="I34"/>
  <c r="K34"/>
  <c r="H35"/>
  <c r="G36"/>
  <c r="I36"/>
  <c r="K36"/>
  <c r="H37"/>
  <c r="G38"/>
  <c r="I38"/>
  <c r="K38"/>
  <c r="H39"/>
  <c r="L39" s="1"/>
  <c r="N39" s="1"/>
  <c r="G40"/>
  <c r="I40"/>
  <c r="K40"/>
  <c r="H41"/>
  <c r="J41"/>
  <c r="H43"/>
  <c r="J43"/>
  <c r="H45"/>
  <c r="J45"/>
  <c r="H47"/>
  <c r="J47"/>
  <c r="H49"/>
  <c r="J49"/>
  <c r="H51"/>
  <c r="J51"/>
  <c r="H53"/>
  <c r="J53"/>
  <c r="H55"/>
  <c r="J55"/>
  <c r="H57"/>
  <c r="J57"/>
  <c r="H59"/>
  <c r="J59"/>
  <c r="H61"/>
  <c r="J61"/>
  <c r="H63"/>
  <c r="J63"/>
  <c r="H65"/>
  <c r="J65"/>
  <c r="H67"/>
  <c r="J67"/>
  <c r="H69"/>
  <c r="J69"/>
  <c r="H71"/>
  <c r="J71"/>
  <c r="H73"/>
  <c r="J73"/>
  <c r="K75"/>
  <c r="I75"/>
  <c r="G75"/>
  <c r="M77"/>
  <c r="K77"/>
  <c r="I77"/>
  <c r="G77"/>
  <c r="K79"/>
  <c r="I79"/>
  <c r="G79"/>
  <c r="M81"/>
  <c r="K81"/>
  <c r="I81"/>
  <c r="G81"/>
  <c r="K83"/>
  <c r="I83"/>
  <c r="G83"/>
  <c r="K85"/>
  <c r="I85"/>
  <c r="G85"/>
  <c r="K87"/>
  <c r="I87"/>
  <c r="G87"/>
  <c r="K89"/>
  <c r="I89"/>
  <c r="G89"/>
  <c r="M91"/>
  <c r="K91"/>
  <c r="I91"/>
  <c r="G91"/>
  <c r="K93"/>
  <c r="I93"/>
  <c r="G93"/>
  <c r="K95"/>
  <c r="I95"/>
  <c r="G95"/>
  <c r="M97"/>
  <c r="K97"/>
  <c r="I97"/>
  <c r="G97"/>
  <c r="K99"/>
  <c r="I99"/>
  <c r="G99"/>
  <c r="K101"/>
  <c r="I101"/>
  <c r="G101"/>
  <c r="M103"/>
  <c r="K103"/>
  <c r="I103"/>
  <c r="G103"/>
  <c r="G41"/>
  <c r="I41"/>
  <c r="K41"/>
  <c r="H42"/>
  <c r="G43"/>
  <c r="I43"/>
  <c r="K43"/>
  <c r="H44"/>
  <c r="G45"/>
  <c r="I45"/>
  <c r="K45"/>
  <c r="H46"/>
  <c r="G47"/>
  <c r="I47"/>
  <c r="K47"/>
  <c r="H48"/>
  <c r="G49"/>
  <c r="I49"/>
  <c r="K49"/>
  <c r="H50"/>
  <c r="L50" s="1"/>
  <c r="G51"/>
  <c r="I51"/>
  <c r="K51"/>
  <c r="H52"/>
  <c r="G53"/>
  <c r="I53"/>
  <c r="K53"/>
  <c r="H54"/>
  <c r="G55"/>
  <c r="I55"/>
  <c r="K55"/>
  <c r="H56"/>
  <c r="G57"/>
  <c r="I57"/>
  <c r="K57"/>
  <c r="H58"/>
  <c r="G59"/>
  <c r="I59"/>
  <c r="K59"/>
  <c r="H60"/>
  <c r="G61"/>
  <c r="I61"/>
  <c r="K61"/>
  <c r="H62"/>
  <c r="G63"/>
  <c r="I63"/>
  <c r="K63"/>
  <c r="H64"/>
  <c r="G65"/>
  <c r="I65"/>
  <c r="K65"/>
  <c r="H66"/>
  <c r="G67"/>
  <c r="I67"/>
  <c r="K67"/>
  <c r="H68"/>
  <c r="G69"/>
  <c r="I69"/>
  <c r="K69"/>
  <c r="H70"/>
  <c r="G71"/>
  <c r="I71"/>
  <c r="K71"/>
  <c r="H72"/>
  <c r="G73"/>
  <c r="I73"/>
  <c r="K73"/>
  <c r="J75"/>
  <c r="J77"/>
  <c r="J79"/>
  <c r="J81"/>
  <c r="J83"/>
  <c r="J85"/>
  <c r="J87"/>
  <c r="J89"/>
  <c r="J91"/>
  <c r="J93"/>
  <c r="J95"/>
  <c r="J97"/>
  <c r="J99"/>
  <c r="J101"/>
  <c r="J103"/>
  <c r="H74"/>
  <c r="H76"/>
  <c r="H78"/>
  <c r="H80"/>
  <c r="H82"/>
  <c r="L82" s="1"/>
  <c r="H84"/>
  <c r="H86"/>
  <c r="L86" s="1"/>
  <c r="H88"/>
  <c r="H90"/>
  <c r="L90" s="1"/>
  <c r="H92"/>
  <c r="H94"/>
  <c r="L94" s="1"/>
  <c r="H96"/>
  <c r="H98"/>
  <c r="L98" s="1"/>
  <c r="H100"/>
  <c r="H102"/>
  <c r="L102" s="1"/>
  <c r="H104"/>
  <c r="G105"/>
  <c r="I105"/>
  <c r="K105"/>
  <c r="M105"/>
  <c r="H106"/>
  <c r="G107"/>
  <c r="I107"/>
  <c r="K107"/>
  <c r="M107"/>
  <c r="H108"/>
  <c r="G109"/>
  <c r="I109"/>
  <c r="K109"/>
  <c r="H110"/>
  <c r="G111"/>
  <c r="I111"/>
  <c r="K111"/>
  <c r="H112"/>
  <c r="L112" s="1"/>
  <c r="N112" s="1"/>
  <c r="G113"/>
  <c r="I113"/>
  <c r="K113"/>
  <c r="M113"/>
  <c r="H114"/>
  <c r="G115"/>
  <c r="I115"/>
  <c r="K115"/>
  <c r="H116"/>
  <c r="G117"/>
  <c r="I117"/>
  <c r="K117"/>
  <c r="H118"/>
  <c r="G119"/>
  <c r="I119"/>
  <c r="K119"/>
  <c r="M119"/>
  <c r="H120"/>
  <c r="G121"/>
  <c r="I121"/>
  <c r="K121"/>
  <c r="H122"/>
  <c r="L122" s="1"/>
  <c r="G123"/>
  <c r="I123"/>
  <c r="K123"/>
  <c r="H124"/>
  <c r="L124" s="1"/>
  <c r="G125"/>
  <c r="I125"/>
  <c r="K125"/>
  <c r="M125"/>
  <c r="H126"/>
  <c r="G127"/>
  <c r="I127"/>
  <c r="K127"/>
  <c r="H128"/>
  <c r="G129"/>
  <c r="I129"/>
  <c r="K129"/>
  <c r="H130"/>
  <c r="G131"/>
  <c r="I131"/>
  <c r="K131"/>
  <c r="M131"/>
  <c r="H132"/>
  <c r="G133"/>
  <c r="I133"/>
  <c r="K133"/>
  <c r="M133"/>
  <c r="H134"/>
  <c r="G135"/>
  <c r="I135"/>
  <c r="K135"/>
  <c r="M135"/>
  <c r="H136"/>
  <c r="H105"/>
  <c r="H107"/>
  <c r="H109"/>
  <c r="H111"/>
  <c r="H113"/>
  <c r="H115"/>
  <c r="H117"/>
  <c r="H119"/>
  <c r="H121"/>
  <c r="H123"/>
  <c r="H125"/>
  <c r="H127"/>
  <c r="H129"/>
  <c r="H131"/>
  <c r="H133"/>
  <c r="H135"/>
  <c r="AV33" i="20" l="1"/>
  <c r="AV43" s="1"/>
  <c r="X15"/>
  <c r="L118" i="2"/>
  <c r="L78"/>
  <c r="N78" s="1"/>
  <c r="L37"/>
  <c r="L35"/>
  <c r="L31"/>
  <c r="N31" s="1"/>
  <c r="L29"/>
  <c r="L27"/>
  <c r="L21"/>
  <c r="J144"/>
  <c r="L134"/>
  <c r="N134" s="1"/>
  <c r="L62"/>
  <c r="L110"/>
  <c r="L130"/>
  <c r="I145"/>
  <c r="I143" s="1"/>
  <c r="I150" s="1"/>
  <c r="AO11" i="20" s="1"/>
  <c r="L106" i="2"/>
  <c r="L74"/>
  <c r="J145"/>
  <c r="J143" s="1"/>
  <c r="J150" s="1"/>
  <c r="AO12" i="20" s="1"/>
  <c r="AN12"/>
  <c r="J148" i="2"/>
  <c r="L17"/>
  <c r="H144"/>
  <c r="G140"/>
  <c r="I144"/>
  <c r="AW46" i="20"/>
  <c r="Y31"/>
  <c r="K146" i="2"/>
  <c r="L132"/>
  <c r="M121"/>
  <c r="L120"/>
  <c r="G145"/>
  <c r="M109"/>
  <c r="L108"/>
  <c r="N108" s="1"/>
  <c r="L100"/>
  <c r="L92"/>
  <c r="L84"/>
  <c r="N84" s="1"/>
  <c r="L76"/>
  <c r="L72"/>
  <c r="L70"/>
  <c r="N70" s="1"/>
  <c r="L68"/>
  <c r="N68" s="1"/>
  <c r="L66"/>
  <c r="L64"/>
  <c r="L60"/>
  <c r="L58"/>
  <c r="L56"/>
  <c r="N56" s="1"/>
  <c r="L54"/>
  <c r="L52"/>
  <c r="N50"/>
  <c r="L48"/>
  <c r="L46"/>
  <c r="L44"/>
  <c r="L42"/>
  <c r="L16"/>
  <c r="H147"/>
  <c r="L14"/>
  <c r="L12"/>
  <c r="J140"/>
  <c r="Y14" i="20"/>
  <c r="Y28"/>
  <c r="Y18"/>
  <c r="I146" i="2"/>
  <c r="K140"/>
  <c r="H140"/>
  <c r="K144"/>
  <c r="X27" i="20"/>
  <c r="X45" s="1"/>
  <c r="J151" i="2"/>
  <c r="AO21" i="20" s="1"/>
  <c r="P21" s="1"/>
  <c r="Q21" s="1"/>
  <c r="AN21"/>
  <c r="O21" s="1"/>
  <c r="Y23"/>
  <c r="H146" i="2"/>
  <c r="H145"/>
  <c r="H143" s="1"/>
  <c r="L136"/>
  <c r="G146"/>
  <c r="L146" s="1"/>
  <c r="AN17" i="20" s="1"/>
  <c r="O17" s="1"/>
  <c r="M129" i="2"/>
  <c r="L128"/>
  <c r="L126"/>
  <c r="K145"/>
  <c r="K143" s="1"/>
  <c r="L116"/>
  <c r="L114"/>
  <c r="N114" s="1"/>
  <c r="L104"/>
  <c r="N104" s="1"/>
  <c r="L96"/>
  <c r="L88"/>
  <c r="L80"/>
  <c r="I140"/>
  <c r="G144"/>
  <c r="X32" i="20"/>
  <c r="X53"/>
  <c r="AW9"/>
  <c r="AW15" s="1"/>
  <c r="L150" i="3"/>
  <c r="L153" s="1"/>
  <c r="G153"/>
  <c r="AV47" i="20"/>
  <c r="AW24"/>
  <c r="L99" i="2"/>
  <c r="L93"/>
  <c r="L87"/>
  <c r="L83"/>
  <c r="L77"/>
  <c r="L75"/>
  <c r="L103"/>
  <c r="N103" s="1"/>
  <c r="L101"/>
  <c r="L97"/>
  <c r="N97" s="1"/>
  <c r="L95"/>
  <c r="L91"/>
  <c r="N91" s="1"/>
  <c r="L89"/>
  <c r="L85"/>
  <c r="L81"/>
  <c r="N81" s="1"/>
  <c r="L79"/>
  <c r="N77"/>
  <c r="M136"/>
  <c r="M132"/>
  <c r="N132" s="1"/>
  <c r="M130"/>
  <c r="N130" s="1"/>
  <c r="M128"/>
  <c r="N128" s="1"/>
  <c r="M126"/>
  <c r="M124"/>
  <c r="N124" s="1"/>
  <c r="M122"/>
  <c r="M120"/>
  <c r="M118"/>
  <c r="N118" s="1"/>
  <c r="M116"/>
  <c r="N116" s="1"/>
  <c r="M110"/>
  <c r="M106"/>
  <c r="N106" s="1"/>
  <c r="P5"/>
  <c r="M102"/>
  <c r="M100"/>
  <c r="M98"/>
  <c r="N98" s="1"/>
  <c r="M96"/>
  <c r="M94"/>
  <c r="N94" s="1"/>
  <c r="M92"/>
  <c r="N92" s="1"/>
  <c r="M90"/>
  <c r="M88"/>
  <c r="N88" s="1"/>
  <c r="M86"/>
  <c r="N86" s="1"/>
  <c r="M82"/>
  <c r="M80"/>
  <c r="N80" s="1"/>
  <c r="M78"/>
  <c r="M76"/>
  <c r="N76" s="1"/>
  <c r="M74"/>
  <c r="M72"/>
  <c r="M66"/>
  <c r="M64"/>
  <c r="M62"/>
  <c r="N62" s="1"/>
  <c r="M60"/>
  <c r="N60" s="1"/>
  <c r="M58"/>
  <c r="M54"/>
  <c r="M52"/>
  <c r="N52" s="1"/>
  <c r="M48"/>
  <c r="M46"/>
  <c r="M44"/>
  <c r="N44" s="1"/>
  <c r="M42"/>
  <c r="M37"/>
  <c r="M35"/>
  <c r="M29"/>
  <c r="N29" s="1"/>
  <c r="M27"/>
  <c r="N27" s="1"/>
  <c r="M25"/>
  <c r="N25" s="1"/>
  <c r="M21"/>
  <c r="M19"/>
  <c r="N19" s="1"/>
  <c r="M17"/>
  <c r="N17" s="1"/>
  <c r="M14"/>
  <c r="N14" s="1"/>
  <c r="M12"/>
  <c r="L135"/>
  <c r="N135" s="1"/>
  <c r="L131"/>
  <c r="N131" s="1"/>
  <c r="L127"/>
  <c r="L123"/>
  <c r="L119"/>
  <c r="N119" s="1"/>
  <c r="L115"/>
  <c r="L111"/>
  <c r="L107"/>
  <c r="N107" s="1"/>
  <c r="N102"/>
  <c r="N90"/>
  <c r="N82"/>
  <c r="N122"/>
  <c r="L40"/>
  <c r="N40" s="1"/>
  <c r="L38"/>
  <c r="L36"/>
  <c r="L34"/>
  <c r="N34" s="1"/>
  <c r="L32"/>
  <c r="L30"/>
  <c r="L28"/>
  <c r="L26"/>
  <c r="L24"/>
  <c r="L22"/>
  <c r="L20"/>
  <c r="L18"/>
  <c r="L11"/>
  <c r="N37"/>
  <c r="M16"/>
  <c r="M67"/>
  <c r="M63"/>
  <c r="M59"/>
  <c r="M53"/>
  <c r="M47"/>
  <c r="M43"/>
  <c r="M38"/>
  <c r="N21"/>
  <c r="M15"/>
  <c r="L133"/>
  <c r="N133" s="1"/>
  <c r="L129"/>
  <c r="N129" s="1"/>
  <c r="M127"/>
  <c r="L125"/>
  <c r="N125" s="1"/>
  <c r="M123"/>
  <c r="L121"/>
  <c r="L117"/>
  <c r="N117" s="1"/>
  <c r="M115"/>
  <c r="L113"/>
  <c r="N113" s="1"/>
  <c r="M111"/>
  <c r="L109"/>
  <c r="N109" s="1"/>
  <c r="L105"/>
  <c r="N105" s="1"/>
  <c r="L73"/>
  <c r="N73" s="1"/>
  <c r="L71"/>
  <c r="L69"/>
  <c r="N69" s="1"/>
  <c r="L67"/>
  <c r="N67" s="1"/>
  <c r="L65"/>
  <c r="N65" s="1"/>
  <c r="L63"/>
  <c r="L61"/>
  <c r="N61" s="1"/>
  <c r="L59"/>
  <c r="L57"/>
  <c r="N57" s="1"/>
  <c r="L55"/>
  <c r="N55" s="1"/>
  <c r="L53"/>
  <c r="N53" s="1"/>
  <c r="L51"/>
  <c r="N51" s="1"/>
  <c r="L49"/>
  <c r="N49" s="1"/>
  <c r="L47"/>
  <c r="N47" s="1"/>
  <c r="L45"/>
  <c r="L43"/>
  <c r="L41"/>
  <c r="M101"/>
  <c r="M99"/>
  <c r="N99" s="1"/>
  <c r="M95"/>
  <c r="M93"/>
  <c r="M89"/>
  <c r="M87"/>
  <c r="M85"/>
  <c r="N85" s="1"/>
  <c r="M83"/>
  <c r="N83" s="1"/>
  <c r="M79"/>
  <c r="M75"/>
  <c r="N75" s="1"/>
  <c r="L15"/>
  <c r="N15" s="1"/>
  <c r="L13"/>
  <c r="N13" s="1"/>
  <c r="M11"/>
  <c r="M45"/>
  <c r="M41"/>
  <c r="M36"/>
  <c r="M28"/>
  <c r="M24"/>
  <c r="M22"/>
  <c r="M18"/>
  <c r="M71"/>
  <c r="M32"/>
  <c r="M30"/>
  <c r="M26"/>
  <c r="M20"/>
  <c r="N95" l="1"/>
  <c r="N43"/>
  <c r="N59"/>
  <c r="N12"/>
  <c r="N35"/>
  <c r="N58"/>
  <c r="AN11" i="20"/>
  <c r="N89" i="2"/>
  <c r="N101"/>
  <c r="N42"/>
  <c r="N74"/>
  <c r="N100"/>
  <c r="N110"/>
  <c r="AN18" i="20"/>
  <c r="O18" s="1"/>
  <c r="L144" i="2"/>
  <c r="AN39" i="20"/>
  <c r="AN40" s="1"/>
  <c r="AN41" s="1"/>
  <c r="H152" i="2"/>
  <c r="L147"/>
  <c r="AN20" i="20"/>
  <c r="O20" s="1"/>
  <c r="I151" i="2"/>
  <c r="I148"/>
  <c r="N87"/>
  <c r="N64"/>
  <c r="AO30" i="20"/>
  <c r="P12"/>
  <c r="N79" i="2"/>
  <c r="N121"/>
  <c r="L140"/>
  <c r="N46"/>
  <c r="N66"/>
  <c r="N96"/>
  <c r="N126"/>
  <c r="N136"/>
  <c r="AN10" i="20"/>
  <c r="H150" i="2"/>
  <c r="AO10" i="20" s="1"/>
  <c r="H148" i="2"/>
  <c r="K151"/>
  <c r="AO22" i="20" s="1"/>
  <c r="P22" s="1"/>
  <c r="Q22" s="1"/>
  <c r="AN22"/>
  <c r="O22" s="1"/>
  <c r="Y32"/>
  <c r="AN19"/>
  <c r="H151" i="2"/>
  <c r="P11" i="20"/>
  <c r="AN30"/>
  <c r="O12"/>
  <c r="O30" s="1"/>
  <c r="O40" s="1"/>
  <c r="O41" s="1"/>
  <c r="E144" i="2"/>
  <c r="AN51" i="20" s="1"/>
  <c r="O51" s="1"/>
  <c r="K150" i="2"/>
  <c r="AO13" i="20" s="1"/>
  <c r="AN13"/>
  <c r="K148" i="2"/>
  <c r="N54"/>
  <c r="Y24" i="20"/>
  <c r="O11"/>
  <c r="O29" s="1"/>
  <c r="E143" i="2"/>
  <c r="N93"/>
  <c r="N16"/>
  <c r="E147"/>
  <c r="AN52" i="20" s="1"/>
  <c r="O52" s="1"/>
  <c r="N48" i="2"/>
  <c r="N72"/>
  <c r="N120"/>
  <c r="AW27" i="20"/>
  <c r="Y9"/>
  <c r="Y15" s="1"/>
  <c r="X33"/>
  <c r="X43" s="1"/>
  <c r="X46"/>
  <c r="X47" s="1"/>
  <c r="L145" i="2"/>
  <c r="AN8" i="20" s="1"/>
  <c r="G143" i="2"/>
  <c r="J153"/>
  <c r="N63"/>
  <c r="N41"/>
  <c r="N45"/>
  <c r="N18"/>
  <c r="N22"/>
  <c r="N26"/>
  <c r="N30"/>
  <c r="N38"/>
  <c r="N111"/>
  <c r="N127"/>
  <c r="M138"/>
  <c r="N71"/>
  <c r="N11"/>
  <c r="N20"/>
  <c r="N24"/>
  <c r="N28"/>
  <c r="N32"/>
  <c r="N36"/>
  <c r="N115"/>
  <c r="N123"/>
  <c r="AW45" i="20" l="1"/>
  <c r="AW47" s="1"/>
  <c r="AW33"/>
  <c r="AN26"/>
  <c r="O8"/>
  <c r="O26" s="1"/>
  <c r="AO19"/>
  <c r="AO28" s="1"/>
  <c r="G151" i="2"/>
  <c r="H153"/>
  <c r="AO31" i="20"/>
  <c r="P13"/>
  <c r="AN23"/>
  <c r="AN24" s="1"/>
  <c r="O19"/>
  <c r="O23" s="1"/>
  <c r="O24" s="1"/>
  <c r="Q12"/>
  <c r="Q30" s="1"/>
  <c r="P30"/>
  <c r="AO39"/>
  <c r="AO40" s="1"/>
  <c r="AO41" s="1"/>
  <c r="AO59" s="1"/>
  <c r="E59" s="1"/>
  <c r="C25" i="25" s="1"/>
  <c r="L152" i="2"/>
  <c r="G148"/>
  <c r="AN9" i="20"/>
  <c r="L143" i="2"/>
  <c r="L148" s="1"/>
  <c r="AN28" i="20"/>
  <c r="AN14"/>
  <c r="O10"/>
  <c r="AN29"/>
  <c r="AN31"/>
  <c r="O13"/>
  <c r="O31" s="1"/>
  <c r="Y27"/>
  <c r="Y45" s="1"/>
  <c r="E148" i="2"/>
  <c r="AN50" i="20"/>
  <c r="K153" i="2"/>
  <c r="Q11" i="20"/>
  <c r="Y46"/>
  <c r="AO14"/>
  <c r="P10"/>
  <c r="AO20"/>
  <c r="I153" i="2"/>
  <c r="N138"/>
  <c r="AN15" i="20" l="1"/>
  <c r="Y33"/>
  <c r="Y43" s="1"/>
  <c r="Y47"/>
  <c r="C13" i="25" s="1"/>
  <c r="P20" i="20"/>
  <c r="AO29"/>
  <c r="O14"/>
  <c r="O28"/>
  <c r="O32" s="1"/>
  <c r="AN27"/>
  <c r="AN45" s="1"/>
  <c r="O9"/>
  <c r="O27" s="1"/>
  <c r="O45" s="1"/>
  <c r="Q13"/>
  <c r="Q31" s="1"/>
  <c r="P31"/>
  <c r="L151" i="2"/>
  <c r="AO18" i="20"/>
  <c r="P18" s="1"/>
  <c r="Q18" s="1"/>
  <c r="G150" i="2"/>
  <c r="AW43" i="20"/>
  <c r="AW58"/>
  <c r="AW60" s="1"/>
  <c r="AN32"/>
  <c r="AO32"/>
  <c r="P14"/>
  <c r="Q10"/>
  <c r="AN53"/>
  <c r="O50"/>
  <c r="O53" s="1"/>
  <c r="AO23"/>
  <c r="P19"/>
  <c r="B13" i="25"/>
  <c r="E7" i="1"/>
  <c r="D13" i="25" l="1"/>
  <c r="AO24" i="20"/>
  <c r="Q14"/>
  <c r="AO46"/>
  <c r="O33"/>
  <c r="O43" s="1"/>
  <c r="O46"/>
  <c r="O47" s="1"/>
  <c r="Q20"/>
  <c r="Q29" s="1"/>
  <c r="P29"/>
  <c r="Q19"/>
  <c r="P23"/>
  <c r="P24" s="1"/>
  <c r="P28"/>
  <c r="AN46"/>
  <c r="AN47" s="1"/>
  <c r="AN33"/>
  <c r="AN43" s="1"/>
  <c r="AO9"/>
  <c r="G153" i="2"/>
  <c r="L150"/>
  <c r="L153" s="1"/>
  <c r="O15" i="20"/>
  <c r="F136" i="1"/>
  <c r="H136" s="1"/>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M91" s="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K108"/>
  <c r="G91"/>
  <c r="AF55" i="20" l="1"/>
  <c r="AB55"/>
  <c r="Z55"/>
  <c r="AD55"/>
  <c r="V55"/>
  <c r="R55"/>
  <c r="X55"/>
  <c r="T55"/>
  <c r="H16" i="1"/>
  <c r="G154"/>
  <c r="AO27" i="20"/>
  <c r="P9"/>
  <c r="AO15"/>
  <c r="Q23"/>
  <c r="Q24" s="1"/>
  <c r="Q28"/>
  <c r="Q32" s="1"/>
  <c r="F140" i="1"/>
  <c r="P32" i="20"/>
  <c r="K12" i="1"/>
  <c r="J14"/>
  <c r="I18"/>
  <c r="J20"/>
  <c r="I22"/>
  <c r="J24"/>
  <c r="I26"/>
  <c r="I28"/>
  <c r="I30"/>
  <c r="J32"/>
  <c r="M32"/>
  <c r="I34"/>
  <c r="M34"/>
  <c r="J36"/>
  <c r="I38"/>
  <c r="J40"/>
  <c r="M40"/>
  <c r="J42"/>
  <c r="J44"/>
  <c r="I46"/>
  <c r="M46"/>
  <c r="J48"/>
  <c r="I50"/>
  <c r="M50"/>
  <c r="J52"/>
  <c r="I54"/>
  <c r="J56"/>
  <c r="M56"/>
  <c r="J58"/>
  <c r="M58"/>
  <c r="J60"/>
  <c r="I62"/>
  <c r="M62"/>
  <c r="J64"/>
  <c r="H66"/>
  <c r="H68"/>
  <c r="M68"/>
  <c r="H70"/>
  <c r="M70"/>
  <c r="H72"/>
  <c r="M72"/>
  <c r="H74"/>
  <c r="H76"/>
  <c r="H78"/>
  <c r="H80"/>
  <c r="G82"/>
  <c r="J84"/>
  <c r="M84"/>
  <c r="H86"/>
  <c r="J88"/>
  <c r="G90"/>
  <c r="M90"/>
  <c r="I92"/>
  <c r="H94"/>
  <c r="M94"/>
  <c r="H96"/>
  <c r="M96"/>
  <c r="H98"/>
  <c r="M98"/>
  <c r="H100"/>
  <c r="M100"/>
  <c r="H102"/>
  <c r="M102"/>
  <c r="J104"/>
  <c r="M104"/>
  <c r="I106"/>
  <c r="G108"/>
  <c r="M108"/>
  <c r="H110"/>
  <c r="M110"/>
  <c r="H112"/>
  <c r="M112"/>
  <c r="H114"/>
  <c r="M114"/>
  <c r="J116"/>
  <c r="M116"/>
  <c r="H118"/>
  <c r="H120"/>
  <c r="M120"/>
  <c r="H122"/>
  <c r="M122"/>
  <c r="H124"/>
  <c r="M124"/>
  <c r="G126"/>
  <c r="M126"/>
  <c r="H128"/>
  <c r="M128"/>
  <c r="H130"/>
  <c r="J132"/>
  <c r="H134"/>
  <c r="M134"/>
  <c r="N6"/>
  <c r="N7"/>
  <c r="M16" s="1"/>
  <c r="J13"/>
  <c r="M13"/>
  <c r="K15"/>
  <c r="I17"/>
  <c r="J19"/>
  <c r="I21"/>
  <c r="J23"/>
  <c r="M23"/>
  <c r="I25"/>
  <c r="J27"/>
  <c r="M27"/>
  <c r="J29"/>
  <c r="J31"/>
  <c r="M31"/>
  <c r="G33"/>
  <c r="M33"/>
  <c r="H35"/>
  <c r="I37"/>
  <c r="M37"/>
  <c r="I39"/>
  <c r="M39"/>
  <c r="G41"/>
  <c r="M41"/>
  <c r="I43"/>
  <c r="G45"/>
  <c r="J47"/>
  <c r="I49"/>
  <c r="M49"/>
  <c r="I51"/>
  <c r="M51"/>
  <c r="I53"/>
  <c r="I55"/>
  <c r="M55"/>
  <c r="G57"/>
  <c r="M57"/>
  <c r="I59"/>
  <c r="M59"/>
  <c r="G61"/>
  <c r="M61"/>
  <c r="I63"/>
  <c r="J65"/>
  <c r="M65"/>
  <c r="I67"/>
  <c r="M67"/>
  <c r="H69"/>
  <c r="M69"/>
  <c r="J71"/>
  <c r="M71"/>
  <c r="H73"/>
  <c r="M73"/>
  <c r="H75"/>
  <c r="J77"/>
  <c r="M77"/>
  <c r="G79"/>
  <c r="H81"/>
  <c r="M81"/>
  <c r="G83"/>
  <c r="M83"/>
  <c r="H85"/>
  <c r="M85"/>
  <c r="G87"/>
  <c r="H89"/>
  <c r="M89"/>
  <c r="H93"/>
  <c r="G95"/>
  <c r="H97"/>
  <c r="M97"/>
  <c r="G99"/>
  <c r="H101"/>
  <c r="M101"/>
  <c r="J103"/>
  <c r="M103"/>
  <c r="J105"/>
  <c r="M105"/>
  <c r="G107"/>
  <c r="M107"/>
  <c r="H109"/>
  <c r="M109"/>
  <c r="I111"/>
  <c r="M111"/>
  <c r="H113"/>
  <c r="M113"/>
  <c r="K115"/>
  <c r="H117"/>
  <c r="M117"/>
  <c r="G119"/>
  <c r="M119"/>
  <c r="H121"/>
  <c r="K123"/>
  <c r="M123"/>
  <c r="H125"/>
  <c r="M125"/>
  <c r="I127"/>
  <c r="M127"/>
  <c r="K129"/>
  <c r="M129"/>
  <c r="G131"/>
  <c r="M131"/>
  <c r="H133"/>
  <c r="M133"/>
  <c r="J135"/>
  <c r="M135"/>
  <c r="G135"/>
  <c r="K130"/>
  <c r="H11"/>
  <c r="N4"/>
  <c r="N5" s="1"/>
  <c r="G116"/>
  <c r="J62"/>
  <c r="I24"/>
  <c r="G89"/>
  <c r="G125"/>
  <c r="K107"/>
  <c r="K35"/>
  <c r="G85"/>
  <c r="G101"/>
  <c r="K93"/>
  <c r="G133"/>
  <c r="G93"/>
  <c r="G77"/>
  <c r="J90"/>
  <c r="G94"/>
  <c r="I29"/>
  <c r="G130"/>
  <c r="G104"/>
  <c r="G96"/>
  <c r="G73"/>
  <c r="J22"/>
  <c r="J118"/>
  <c r="G122"/>
  <c r="J18"/>
  <c r="J46"/>
  <c r="I90"/>
  <c r="J114"/>
  <c r="G118"/>
  <c r="J50"/>
  <c r="G110"/>
  <c r="J34"/>
  <c r="H90"/>
  <c r="J63"/>
  <c r="G123"/>
  <c r="J67"/>
  <c r="I123"/>
  <c r="J39"/>
  <c r="J59"/>
  <c r="G103"/>
  <c r="J35"/>
  <c r="J87"/>
  <c r="J95"/>
  <c r="J115"/>
  <c r="K131"/>
  <c r="J51"/>
  <c r="G111"/>
  <c r="J12"/>
  <c r="I47"/>
  <c r="I71"/>
  <c r="H84"/>
  <c r="H108"/>
  <c r="H116"/>
  <c r="I20"/>
  <c r="G84"/>
  <c r="J43"/>
  <c r="J55"/>
  <c r="G88"/>
  <c r="G115"/>
  <c r="G127"/>
  <c r="H12"/>
  <c r="I35"/>
  <c r="I64"/>
  <c r="J80"/>
  <c r="K88"/>
  <c r="J92"/>
  <c r="J111"/>
  <c r="G132"/>
  <c r="G92"/>
  <c r="G80"/>
  <c r="J28"/>
  <c r="I12"/>
  <c r="I32"/>
  <c r="I80"/>
  <c r="H92"/>
  <c r="H132"/>
  <c r="I11"/>
  <c r="J26"/>
  <c r="H126"/>
  <c r="I58"/>
  <c r="K126"/>
  <c r="G114"/>
  <c r="J38"/>
  <c r="J54"/>
  <c r="K11"/>
  <c r="I42"/>
  <c r="K14"/>
  <c r="J30"/>
  <c r="J11"/>
  <c r="I41"/>
  <c r="I57"/>
  <c r="J82"/>
  <c r="H82"/>
  <c r="J121"/>
  <c r="G29"/>
  <c r="G129"/>
  <c r="G121"/>
  <c r="K13"/>
  <c r="J17"/>
  <c r="J21"/>
  <c r="J25"/>
  <c r="J33"/>
  <c r="I33"/>
  <c r="I45"/>
  <c r="I61"/>
  <c r="J85"/>
  <c r="J89"/>
  <c r="G97"/>
  <c r="G49"/>
  <c r="G37"/>
  <c r="J49"/>
  <c r="G53"/>
  <c r="J97"/>
  <c r="I125"/>
  <c r="H77"/>
  <c r="H105"/>
  <c r="H129"/>
  <c r="I27"/>
  <c r="I44"/>
  <c r="I48"/>
  <c r="I56"/>
  <c r="I60"/>
  <c r="I65"/>
  <c r="G13"/>
  <c r="I13"/>
  <c r="I14"/>
  <c r="I15"/>
  <c r="H17"/>
  <c r="H18"/>
  <c r="H19"/>
  <c r="H20"/>
  <c r="H21"/>
  <c r="H22"/>
  <c r="H23"/>
  <c r="H24"/>
  <c r="H25"/>
  <c r="H26"/>
  <c r="H27"/>
  <c r="H28"/>
  <c r="H29"/>
  <c r="H30"/>
  <c r="H31"/>
  <c r="H32"/>
  <c r="H33"/>
  <c r="H34"/>
  <c r="H36"/>
  <c r="H37"/>
  <c r="H38"/>
  <c r="H39"/>
  <c r="H40"/>
  <c r="H41"/>
  <c r="H42"/>
  <c r="H43"/>
  <c r="H44"/>
  <c r="H45"/>
  <c r="H46"/>
  <c r="H47"/>
  <c r="H48"/>
  <c r="H49"/>
  <c r="H50"/>
  <c r="H51"/>
  <c r="H52"/>
  <c r="H53"/>
  <c r="H54"/>
  <c r="H55"/>
  <c r="H56"/>
  <c r="H57"/>
  <c r="H58"/>
  <c r="H59"/>
  <c r="H60"/>
  <c r="H61"/>
  <c r="H62"/>
  <c r="H63"/>
  <c r="H64"/>
  <c r="H65"/>
  <c r="H67"/>
  <c r="H71"/>
  <c r="J15"/>
  <c r="H13"/>
  <c r="H14"/>
  <c r="H15"/>
  <c r="K17"/>
  <c r="K18"/>
  <c r="K19"/>
  <c r="K20"/>
  <c r="K21"/>
  <c r="K22"/>
  <c r="K23"/>
  <c r="K24"/>
  <c r="K25"/>
  <c r="K26"/>
  <c r="K27"/>
  <c r="K28"/>
  <c r="K29"/>
  <c r="K30"/>
  <c r="K31"/>
  <c r="K32"/>
  <c r="K33"/>
  <c r="K34"/>
  <c r="K36"/>
  <c r="K37"/>
  <c r="K38"/>
  <c r="K39"/>
  <c r="K40"/>
  <c r="K41"/>
  <c r="K42"/>
  <c r="K43"/>
  <c r="K44"/>
  <c r="K45"/>
  <c r="K46"/>
  <c r="K47"/>
  <c r="K48"/>
  <c r="K49"/>
  <c r="K50"/>
  <c r="K51"/>
  <c r="K52"/>
  <c r="K53"/>
  <c r="K54"/>
  <c r="K55"/>
  <c r="K56"/>
  <c r="K57"/>
  <c r="K58"/>
  <c r="K59"/>
  <c r="K60"/>
  <c r="K61"/>
  <c r="K62"/>
  <c r="K63"/>
  <c r="K64"/>
  <c r="K65"/>
  <c r="K70"/>
  <c r="J74"/>
  <c r="I19"/>
  <c r="I23"/>
  <c r="I31"/>
  <c r="I36"/>
  <c r="I40"/>
  <c r="I52"/>
  <c r="G65"/>
  <c r="J37"/>
  <c r="J41"/>
  <c r="J45"/>
  <c r="J53"/>
  <c r="J57"/>
  <c r="J61"/>
  <c r="J70"/>
  <c r="J73"/>
  <c r="K136"/>
  <c r="J136"/>
  <c r="I136"/>
  <c r="G136"/>
  <c r="K135"/>
  <c r="I135"/>
  <c r="H135"/>
  <c r="G134"/>
  <c r="K134"/>
  <c r="J134"/>
  <c r="I134"/>
  <c r="K133"/>
  <c r="J133"/>
  <c r="I133"/>
  <c r="K132"/>
  <c r="I132"/>
  <c r="J131"/>
  <c r="I131"/>
  <c r="H131"/>
  <c r="J130"/>
  <c r="I130"/>
  <c r="J129"/>
  <c r="I129"/>
  <c r="G128"/>
  <c r="K128"/>
  <c r="J128"/>
  <c r="I128"/>
  <c r="K127"/>
  <c r="J127"/>
  <c r="H127"/>
  <c r="J126"/>
  <c r="I126"/>
  <c r="K125"/>
  <c r="J125"/>
  <c r="K124"/>
  <c r="J124"/>
  <c r="I124"/>
  <c r="G124"/>
  <c r="J123"/>
  <c r="H123"/>
  <c r="K122"/>
  <c r="J122"/>
  <c r="I122"/>
  <c r="K121"/>
  <c r="I121"/>
  <c r="K120"/>
  <c r="J120"/>
  <c r="G120"/>
  <c r="I120"/>
  <c r="K119"/>
  <c r="J119"/>
  <c r="I119"/>
  <c r="H119"/>
  <c r="K118"/>
  <c r="I118"/>
  <c r="G117"/>
  <c r="K117"/>
  <c r="J117"/>
  <c r="I117"/>
  <c r="K116"/>
  <c r="I116"/>
  <c r="I115"/>
  <c r="H115"/>
  <c r="K114"/>
  <c r="I114"/>
  <c r="K113"/>
  <c r="J113"/>
  <c r="G113"/>
  <c r="I113"/>
  <c r="K112"/>
  <c r="J112"/>
  <c r="G112"/>
  <c r="I112"/>
  <c r="K111"/>
  <c r="H111"/>
  <c r="K110"/>
  <c r="J110"/>
  <c r="I110"/>
  <c r="K109"/>
  <c r="J109"/>
  <c r="I109"/>
  <c r="G109"/>
  <c r="J108"/>
  <c r="I108"/>
  <c r="J107"/>
  <c r="I107"/>
  <c r="H107"/>
  <c r="H106"/>
  <c r="K106"/>
  <c r="G106"/>
  <c r="J106"/>
  <c r="G105"/>
  <c r="K105"/>
  <c r="I105"/>
  <c r="K104"/>
  <c r="I104"/>
  <c r="H104"/>
  <c r="K103"/>
  <c r="I103"/>
  <c r="H103"/>
  <c r="K102"/>
  <c r="G102"/>
  <c r="J102"/>
  <c r="I102"/>
  <c r="K101"/>
  <c r="J101"/>
  <c r="I101"/>
  <c r="G100"/>
  <c r="K100"/>
  <c r="J100"/>
  <c r="I100"/>
  <c r="K99"/>
  <c r="J99"/>
  <c r="I99"/>
  <c r="H99"/>
  <c r="G98"/>
  <c r="K98"/>
  <c r="J98"/>
  <c r="I98"/>
  <c r="K97"/>
  <c r="I97"/>
  <c r="K96"/>
  <c r="J96"/>
  <c r="I96"/>
  <c r="K95"/>
  <c r="I95"/>
  <c r="H95"/>
  <c r="K94"/>
  <c r="J94"/>
  <c r="I94"/>
  <c r="J93"/>
  <c r="I93"/>
  <c r="K92"/>
  <c r="K91"/>
  <c r="J91"/>
  <c r="I91"/>
  <c r="H91"/>
  <c r="K90"/>
  <c r="K89"/>
  <c r="I89"/>
  <c r="I88"/>
  <c r="H88"/>
  <c r="K87"/>
  <c r="I87"/>
  <c r="H87"/>
  <c r="K86"/>
  <c r="J86"/>
  <c r="G86"/>
  <c r="I86"/>
  <c r="K85"/>
  <c r="I85"/>
  <c r="K84"/>
  <c r="I84"/>
  <c r="K83"/>
  <c r="J83"/>
  <c r="I83"/>
  <c r="H83"/>
  <c r="K82"/>
  <c r="I82"/>
  <c r="J81"/>
  <c r="G81"/>
  <c r="K81"/>
  <c r="I81"/>
  <c r="K80"/>
  <c r="K79"/>
  <c r="J79"/>
  <c r="I79"/>
  <c r="H79"/>
  <c r="K78"/>
  <c r="G78"/>
  <c r="J78"/>
  <c r="I78"/>
  <c r="K77"/>
  <c r="I77"/>
  <c r="K76"/>
  <c r="J76"/>
  <c r="G76"/>
  <c r="I76"/>
  <c r="K75"/>
  <c r="J75"/>
  <c r="I75"/>
  <c r="K74"/>
  <c r="I74"/>
  <c r="K73"/>
  <c r="I73"/>
  <c r="K72"/>
  <c r="J72"/>
  <c r="I72"/>
  <c r="K71"/>
  <c r="I70"/>
  <c r="K69"/>
  <c r="J69"/>
  <c r="G69"/>
  <c r="I69"/>
  <c r="J68"/>
  <c r="K68"/>
  <c r="I68"/>
  <c r="K67"/>
  <c r="J66"/>
  <c r="K66"/>
  <c r="I66"/>
  <c r="G19"/>
  <c r="G11"/>
  <c r="G25"/>
  <c r="G21"/>
  <c r="G17"/>
  <c r="G12"/>
  <c r="L12" s="1"/>
  <c r="G74"/>
  <c r="G70"/>
  <c r="G66"/>
  <c r="G62"/>
  <c r="G58"/>
  <c r="L58" s="1"/>
  <c r="G54"/>
  <c r="G50"/>
  <c r="G46"/>
  <c r="G42"/>
  <c r="L42" s="1"/>
  <c r="G38"/>
  <c r="G34"/>
  <c r="G30"/>
  <c r="L30" s="1"/>
  <c r="G26"/>
  <c r="G22"/>
  <c r="G18"/>
  <c r="G14"/>
  <c r="G75"/>
  <c r="G71"/>
  <c r="G67"/>
  <c r="G63"/>
  <c r="G59"/>
  <c r="G55"/>
  <c r="G51"/>
  <c r="G47"/>
  <c r="L47" s="1"/>
  <c r="G43"/>
  <c r="G39"/>
  <c r="G35"/>
  <c r="G31"/>
  <c r="G27"/>
  <c r="L27" s="1"/>
  <c r="G23"/>
  <c r="G15"/>
  <c r="G72"/>
  <c r="G68"/>
  <c r="G64"/>
  <c r="G60"/>
  <c r="G56"/>
  <c r="G52"/>
  <c r="G48"/>
  <c r="G44"/>
  <c r="G40"/>
  <c r="G36"/>
  <c r="L36" s="1"/>
  <c r="G32"/>
  <c r="G28"/>
  <c r="G24"/>
  <c r="L24" s="1"/>
  <c r="G20"/>
  <c r="L20" l="1"/>
  <c r="L52"/>
  <c r="L43"/>
  <c r="L59"/>
  <c r="L26"/>
  <c r="L25"/>
  <c r="K144"/>
  <c r="I145"/>
  <c r="I143" s="1"/>
  <c r="G146"/>
  <c r="Q46" i="20"/>
  <c r="L40" i="1"/>
  <c r="L72"/>
  <c r="L14"/>
  <c r="L46"/>
  <c r="N46" s="1"/>
  <c r="J145"/>
  <c r="J143" s="1"/>
  <c r="H146"/>
  <c r="J140"/>
  <c r="K140"/>
  <c r="P46" i="20"/>
  <c r="AO45"/>
  <c r="AO47" s="1"/>
  <c r="AO33"/>
  <c r="L28" i="1"/>
  <c r="L44"/>
  <c r="L60"/>
  <c r="L15"/>
  <c r="L35"/>
  <c r="L51"/>
  <c r="L67"/>
  <c r="N67" s="1"/>
  <c r="L18"/>
  <c r="L34"/>
  <c r="L50"/>
  <c r="L17"/>
  <c r="G144"/>
  <c r="L19"/>
  <c r="K145"/>
  <c r="K143" s="1"/>
  <c r="I146"/>
  <c r="H144"/>
  <c r="H140"/>
  <c r="J146"/>
  <c r="BE38" i="20"/>
  <c r="K153" i="1"/>
  <c r="BE22" i="20" s="1"/>
  <c r="M22" s="1"/>
  <c r="BD22"/>
  <c r="L22" s="1"/>
  <c r="G22" s="1"/>
  <c r="I22" s="1"/>
  <c r="Q9"/>
  <c r="P27"/>
  <c r="P45" s="1"/>
  <c r="P15"/>
  <c r="L56" i="1"/>
  <c r="N56" s="1"/>
  <c r="L31"/>
  <c r="N31" s="1"/>
  <c r="L63"/>
  <c r="L62"/>
  <c r="L11"/>
  <c r="G140"/>
  <c r="I140"/>
  <c r="G145"/>
  <c r="L32"/>
  <c r="N32" s="1"/>
  <c r="L48"/>
  <c r="L64"/>
  <c r="L23"/>
  <c r="L39"/>
  <c r="N39" s="1"/>
  <c r="L55"/>
  <c r="L71"/>
  <c r="L22"/>
  <c r="L38"/>
  <c r="L54"/>
  <c r="N54" s="1"/>
  <c r="L70"/>
  <c r="L21"/>
  <c r="L69"/>
  <c r="N69" s="1"/>
  <c r="L76"/>
  <c r="L91"/>
  <c r="N91" s="1"/>
  <c r="H145"/>
  <c r="H143" s="1"/>
  <c r="K146"/>
  <c r="J144"/>
  <c r="I144"/>
  <c r="L16"/>
  <c r="H147"/>
  <c r="M95"/>
  <c r="M63"/>
  <c r="M53"/>
  <c r="M43"/>
  <c r="M121"/>
  <c r="M115"/>
  <c r="M99"/>
  <c r="M87"/>
  <c r="M79"/>
  <c r="M21"/>
  <c r="N21" s="1"/>
  <c r="M19"/>
  <c r="M17"/>
  <c r="M60"/>
  <c r="M54"/>
  <c r="M52"/>
  <c r="M42"/>
  <c r="N42" s="1"/>
  <c r="M38"/>
  <c r="N38" s="1"/>
  <c r="M36"/>
  <c r="M30"/>
  <c r="M28"/>
  <c r="M26"/>
  <c r="N26" s="1"/>
  <c r="N16"/>
  <c r="E147"/>
  <c r="M132"/>
  <c r="M130"/>
  <c r="N130" s="1"/>
  <c r="M118"/>
  <c r="M106"/>
  <c r="M86"/>
  <c r="M82"/>
  <c r="M80"/>
  <c r="M78"/>
  <c r="M76"/>
  <c r="M22"/>
  <c r="N22" s="1"/>
  <c r="M20"/>
  <c r="M18"/>
  <c r="L29"/>
  <c r="L68"/>
  <c r="L75"/>
  <c r="L66"/>
  <c r="L74"/>
  <c r="L78"/>
  <c r="N78" s="1"/>
  <c r="L86"/>
  <c r="L98"/>
  <c r="L100"/>
  <c r="L102"/>
  <c r="N102" s="1"/>
  <c r="L105"/>
  <c r="N105" s="1"/>
  <c r="L106"/>
  <c r="N106" s="1"/>
  <c r="L109"/>
  <c r="N109" s="1"/>
  <c r="L112"/>
  <c r="N112" s="1"/>
  <c r="L113"/>
  <c r="N113" s="1"/>
  <c r="L117"/>
  <c r="N117" s="1"/>
  <c r="L120"/>
  <c r="L124"/>
  <c r="N124" s="1"/>
  <c r="L128"/>
  <c r="L134"/>
  <c r="L136"/>
  <c r="L65"/>
  <c r="N65" s="1"/>
  <c r="L13"/>
  <c r="N13" s="1"/>
  <c r="L53"/>
  <c r="N53" s="1"/>
  <c r="L37"/>
  <c r="N37" s="1"/>
  <c r="L97"/>
  <c r="N97" s="1"/>
  <c r="L129"/>
  <c r="N129" s="1"/>
  <c r="L114"/>
  <c r="L80"/>
  <c r="N80" s="1"/>
  <c r="L132"/>
  <c r="N132" s="1"/>
  <c r="L127"/>
  <c r="N127" s="1"/>
  <c r="L88"/>
  <c r="L103"/>
  <c r="N103" s="1"/>
  <c r="L122"/>
  <c r="N122" s="1"/>
  <c r="L96"/>
  <c r="L130"/>
  <c r="L94"/>
  <c r="L77"/>
  <c r="N77" s="1"/>
  <c r="L133"/>
  <c r="N133" s="1"/>
  <c r="L101"/>
  <c r="N101" s="1"/>
  <c r="L125"/>
  <c r="N125" s="1"/>
  <c r="L116"/>
  <c r="N116" s="1"/>
  <c r="L135"/>
  <c r="N135" s="1"/>
  <c r="M93"/>
  <c r="M75"/>
  <c r="N75" s="1"/>
  <c r="N71"/>
  <c r="N63"/>
  <c r="N59"/>
  <c r="N55"/>
  <c r="N51"/>
  <c r="M47"/>
  <c r="N47" s="1"/>
  <c r="M45"/>
  <c r="N43"/>
  <c r="M35"/>
  <c r="N35" s="1"/>
  <c r="M29"/>
  <c r="N29" s="1"/>
  <c r="N27"/>
  <c r="M25"/>
  <c r="N25" s="1"/>
  <c r="N23"/>
  <c r="N19"/>
  <c r="M15"/>
  <c r="M11"/>
  <c r="L126"/>
  <c r="N126" s="1"/>
  <c r="L108"/>
  <c r="N108" s="1"/>
  <c r="L90"/>
  <c r="L82"/>
  <c r="L81"/>
  <c r="N81" s="1"/>
  <c r="L49"/>
  <c r="N49" s="1"/>
  <c r="L121"/>
  <c r="L92"/>
  <c r="L115"/>
  <c r="N115" s="1"/>
  <c r="L84"/>
  <c r="L111"/>
  <c r="N111" s="1"/>
  <c r="L123"/>
  <c r="N123" s="1"/>
  <c r="L110"/>
  <c r="N110" s="1"/>
  <c r="L118"/>
  <c r="L73"/>
  <c r="N73" s="1"/>
  <c r="L104"/>
  <c r="N104" s="1"/>
  <c r="L93"/>
  <c r="L85"/>
  <c r="N85" s="1"/>
  <c r="L89"/>
  <c r="N89" s="1"/>
  <c r="L131"/>
  <c r="N131" s="1"/>
  <c r="L119"/>
  <c r="N119" s="1"/>
  <c r="L107"/>
  <c r="N107" s="1"/>
  <c r="L99"/>
  <c r="N99" s="1"/>
  <c r="L95"/>
  <c r="L87"/>
  <c r="N87" s="1"/>
  <c r="L83"/>
  <c r="N83" s="1"/>
  <c r="L79"/>
  <c r="L61"/>
  <c r="N61" s="1"/>
  <c r="L57"/>
  <c r="N57" s="1"/>
  <c r="L45"/>
  <c r="L41"/>
  <c r="N41" s="1"/>
  <c r="L33"/>
  <c r="N33" s="1"/>
  <c r="M136"/>
  <c r="N136" s="1"/>
  <c r="N134"/>
  <c r="N128"/>
  <c r="N120"/>
  <c r="N118"/>
  <c r="N114"/>
  <c r="N100"/>
  <c r="N98"/>
  <c r="N96"/>
  <c r="N94"/>
  <c r="M92"/>
  <c r="N92" s="1"/>
  <c r="N90"/>
  <c r="M88"/>
  <c r="N88" s="1"/>
  <c r="N86"/>
  <c r="N84"/>
  <c r="N76"/>
  <c r="M74"/>
  <c r="N72"/>
  <c r="N70"/>
  <c r="N68"/>
  <c r="M66"/>
  <c r="N66" s="1"/>
  <c r="M64"/>
  <c r="N64" s="1"/>
  <c r="N62"/>
  <c r="N60"/>
  <c r="N58"/>
  <c r="N52"/>
  <c r="N50"/>
  <c r="M48"/>
  <c r="M44"/>
  <c r="N44" s="1"/>
  <c r="N40"/>
  <c r="N36"/>
  <c r="N34"/>
  <c r="N30"/>
  <c r="N28"/>
  <c r="M24"/>
  <c r="N24" s="1"/>
  <c r="N20"/>
  <c r="M14"/>
  <c r="M12"/>
  <c r="N12" s="1"/>
  <c r="L140" l="1"/>
  <c r="N82"/>
  <c r="N18"/>
  <c r="J153"/>
  <c r="BE21" i="20" s="1"/>
  <c r="M21" s="1"/>
  <c r="BD21"/>
  <c r="L21" s="1"/>
  <c r="G21" s="1"/>
  <c r="I21" s="1"/>
  <c r="H152" i="1"/>
  <c r="BD10" i="20"/>
  <c r="H148" i="1"/>
  <c r="L145"/>
  <c r="BD8" i="20" s="1"/>
  <c r="G143" i="1"/>
  <c r="N22" i="20"/>
  <c r="H22"/>
  <c r="K152" i="1"/>
  <c r="BD13" i="20"/>
  <c r="K148" i="1"/>
  <c r="P33" i="20"/>
  <c r="P43" s="1"/>
  <c r="L146" i="1"/>
  <c r="BD17" i="20" s="1"/>
  <c r="L17" s="1"/>
  <c r="G17" s="1"/>
  <c r="I17" s="1"/>
  <c r="Q27"/>
  <c r="Q15"/>
  <c r="H153" i="1"/>
  <c r="BD19" i="20"/>
  <c r="BD18"/>
  <c r="L18" s="1"/>
  <c r="G18" s="1"/>
  <c r="I18" s="1"/>
  <c r="L144" i="1"/>
  <c r="AO43" i="20"/>
  <c r="AO58"/>
  <c r="H154" i="1"/>
  <c r="BD39" i="20"/>
  <c r="BD40" s="1"/>
  <c r="BD41" s="1"/>
  <c r="L147" i="1"/>
  <c r="C5" i="25"/>
  <c r="AG55" i="20"/>
  <c r="E9" i="25" s="1"/>
  <c r="AE55" i="20"/>
  <c r="E10" i="25" s="1"/>
  <c r="AA55" i="20"/>
  <c r="E12" i="25" s="1"/>
  <c r="AC55" i="20"/>
  <c r="E11" i="25" s="1"/>
  <c r="W55" i="20"/>
  <c r="E14" i="25" s="1"/>
  <c r="Y55" i="20"/>
  <c r="E13" i="25" s="1"/>
  <c r="U55" i="20"/>
  <c r="E15" i="25" s="1"/>
  <c r="S55" i="20"/>
  <c r="E16" i="25" s="1"/>
  <c r="N14" i="1"/>
  <c r="N48"/>
  <c r="N95"/>
  <c r="N74"/>
  <c r="N79"/>
  <c r="N121"/>
  <c r="N15"/>
  <c r="I153"/>
  <c r="BE20" i="20" s="1"/>
  <c r="M20" s="1"/>
  <c r="BD20"/>
  <c r="L20" s="1"/>
  <c r="G20" s="1"/>
  <c r="I20" s="1"/>
  <c r="P47"/>
  <c r="J152" i="1"/>
  <c r="BD12" i="20"/>
  <c r="J148" i="1"/>
  <c r="I152"/>
  <c r="BD11" i="20"/>
  <c r="I148" i="1"/>
  <c r="D152"/>
  <c r="E144"/>
  <c r="BD52" i="20"/>
  <c r="L52" s="1"/>
  <c r="G52" s="1"/>
  <c r="I52" s="1"/>
  <c r="E143" i="1"/>
  <c r="N17"/>
  <c r="N45"/>
  <c r="N11"/>
  <c r="M138"/>
  <c r="N93"/>
  <c r="BE39" i="20" l="1"/>
  <c r="BE40" s="1"/>
  <c r="BE41" s="1"/>
  <c r="L154" i="1"/>
  <c r="G148"/>
  <c r="BD9" i="20"/>
  <c r="L143" i="1"/>
  <c r="N20" i="20"/>
  <c r="H20"/>
  <c r="C17" i="25"/>
  <c r="C19"/>
  <c r="D5"/>
  <c r="AO60" i="20"/>
  <c r="E58"/>
  <c r="BD23"/>
  <c r="BD24" s="1"/>
  <c r="L19"/>
  <c r="BE13"/>
  <c r="K155" i="1"/>
  <c r="BD26" i="20"/>
  <c r="L8"/>
  <c r="BE11"/>
  <c r="I155" i="1"/>
  <c r="L148"/>
  <c r="BD28" i="20"/>
  <c r="BD14"/>
  <c r="L10"/>
  <c r="Q45"/>
  <c r="Q47" s="1"/>
  <c r="Q33"/>
  <c r="Q43" s="1"/>
  <c r="BD31"/>
  <c r="L13"/>
  <c r="H155" i="1"/>
  <c r="BE10" i="20"/>
  <c r="BD30"/>
  <c r="L12"/>
  <c r="BD29"/>
  <c r="L11"/>
  <c r="J155" i="1"/>
  <c r="BE12" i="20"/>
  <c r="BE19"/>
  <c r="G153" i="1"/>
  <c r="J22" i="20"/>
  <c r="G22" i="26" s="1"/>
  <c r="H22" s="1"/>
  <c r="F22"/>
  <c r="K22" i="20"/>
  <c r="I22" i="26" s="1"/>
  <c r="K22" s="1"/>
  <c r="L22" s="1"/>
  <c r="M22" s="1"/>
  <c r="H21" i="20"/>
  <c r="N21"/>
  <c r="BD51"/>
  <c r="L51" s="1"/>
  <c r="G51" s="1"/>
  <c r="I51" s="1"/>
  <c r="BD50"/>
  <c r="E148" i="1"/>
  <c r="E154" s="1"/>
  <c r="BE52" i="20" s="1"/>
  <c r="M52" s="1"/>
  <c r="N138" i="1"/>
  <c r="BD15" i="20" l="1"/>
  <c r="BE31"/>
  <c r="M13"/>
  <c r="C24" i="25"/>
  <c r="C26" s="1"/>
  <c r="E60" i="20"/>
  <c r="BD27"/>
  <c r="L9"/>
  <c r="L153" i="1"/>
  <c r="BE18" i="20"/>
  <c r="M18" s="1"/>
  <c r="G152" i="1"/>
  <c r="G8" i="20"/>
  <c r="L26"/>
  <c r="J20"/>
  <c r="G20" i="26" s="1"/>
  <c r="H20" s="1"/>
  <c r="F20"/>
  <c r="K20" i="20"/>
  <c r="I20" i="26" s="1"/>
  <c r="K20" s="1"/>
  <c r="L20" s="1"/>
  <c r="M20" s="1"/>
  <c r="BE23" i="20"/>
  <c r="M19"/>
  <c r="BD45"/>
  <c r="L23"/>
  <c r="L24" s="1"/>
  <c r="G19"/>
  <c r="BE29"/>
  <c r="M11"/>
  <c r="J21"/>
  <c r="G21" i="26" s="1"/>
  <c r="H21" s="1"/>
  <c r="F21"/>
  <c r="K21" i="20"/>
  <c r="I21" i="26" s="1"/>
  <c r="K21" s="1"/>
  <c r="L21" s="1"/>
  <c r="M21" s="1"/>
  <c r="G11" i="20"/>
  <c r="L29"/>
  <c r="BE14"/>
  <c r="BE28"/>
  <c r="M10"/>
  <c r="BD32"/>
  <c r="BE30"/>
  <c r="M12"/>
  <c r="L30"/>
  <c r="G12"/>
  <c r="G13"/>
  <c r="L31"/>
  <c r="G10"/>
  <c r="L28"/>
  <c r="L14"/>
  <c r="L15" s="1"/>
  <c r="H52"/>
  <c r="N52"/>
  <c r="BD53"/>
  <c r="L50"/>
  <c r="E152" i="1"/>
  <c r="E153"/>
  <c r="BE51" i="20" s="1"/>
  <c r="M51" s="1"/>
  <c r="BE32" l="1"/>
  <c r="BE46" s="1"/>
  <c r="N12"/>
  <c r="N30" s="1"/>
  <c r="H12"/>
  <c r="M30"/>
  <c r="N19"/>
  <c r="N23" s="1"/>
  <c r="M23"/>
  <c r="M24" s="1"/>
  <c r="H19"/>
  <c r="N18"/>
  <c r="H18"/>
  <c r="I13"/>
  <c r="I31" s="1"/>
  <c r="G31"/>
  <c r="BE24"/>
  <c r="L32"/>
  <c r="I12"/>
  <c r="I30" s="1"/>
  <c r="G30"/>
  <c r="BD33"/>
  <c r="BD43" s="1"/>
  <c r="BD46"/>
  <c r="BD47" s="1"/>
  <c r="I8"/>
  <c r="I26" s="1"/>
  <c r="G26"/>
  <c r="G9"/>
  <c r="L27"/>
  <c r="L45" s="1"/>
  <c r="N13"/>
  <c r="N31" s="1"/>
  <c r="H13"/>
  <c r="M31"/>
  <c r="I19"/>
  <c r="I23" s="1"/>
  <c r="I24" s="1"/>
  <c r="G23"/>
  <c r="G24" s="1"/>
  <c r="I10"/>
  <c r="G28"/>
  <c r="G14"/>
  <c r="H10"/>
  <c r="N10"/>
  <c r="M28"/>
  <c r="M14"/>
  <c r="I11"/>
  <c r="I29" s="1"/>
  <c r="G29"/>
  <c r="H11"/>
  <c r="N11"/>
  <c r="N29" s="1"/>
  <c r="M29"/>
  <c r="BE9"/>
  <c r="L152" i="1"/>
  <c r="L155" s="1"/>
  <c r="G155"/>
  <c r="L53" i="20"/>
  <c r="G50"/>
  <c r="E155" i="1"/>
  <c r="BE50" i="20"/>
  <c r="K52"/>
  <c r="J52"/>
  <c r="H51"/>
  <c r="N51"/>
  <c r="G15" l="1"/>
  <c r="M32"/>
  <c r="M46" s="1"/>
  <c r="N24"/>
  <c r="AP55"/>
  <c r="AN55"/>
  <c r="AL55"/>
  <c r="AH55"/>
  <c r="AJ55"/>
  <c r="L46"/>
  <c r="L47" s="1"/>
  <c r="L33"/>
  <c r="L43" s="1"/>
  <c r="J19"/>
  <c r="H23"/>
  <c r="H24" s="1"/>
  <c r="F19" i="26"/>
  <c r="F23" s="1"/>
  <c r="K19" i="20"/>
  <c r="J11"/>
  <c r="H29"/>
  <c r="F11" i="26"/>
  <c r="F29" s="1"/>
  <c r="K11" i="20"/>
  <c r="G32"/>
  <c r="I9"/>
  <c r="I27" s="1"/>
  <c r="I45" s="1"/>
  <c r="G27"/>
  <c r="G45" s="1"/>
  <c r="BE27"/>
  <c r="M9"/>
  <c r="N28"/>
  <c r="N32" s="1"/>
  <c r="N14"/>
  <c r="I28"/>
  <c r="I32" s="1"/>
  <c r="I14"/>
  <c r="J13"/>
  <c r="H31"/>
  <c r="K13"/>
  <c r="F13" i="26"/>
  <c r="F31" s="1"/>
  <c r="J18" i="20"/>
  <c r="G18" i="26" s="1"/>
  <c r="H18" s="1"/>
  <c r="K18" i="20"/>
  <c r="I18" i="26" s="1"/>
  <c r="K18" s="1"/>
  <c r="L18" s="1"/>
  <c r="M18" s="1"/>
  <c r="F18"/>
  <c r="J12" i="20"/>
  <c r="F12" i="26"/>
  <c r="F30" s="1"/>
  <c r="K12" i="20"/>
  <c r="H30"/>
  <c r="J10"/>
  <c r="K10"/>
  <c r="H28"/>
  <c r="F10" i="26"/>
  <c r="H14" i="20"/>
  <c r="BE15"/>
  <c r="J51"/>
  <c r="K51"/>
  <c r="BE53"/>
  <c r="M50"/>
  <c r="I50"/>
  <c r="I53" s="1"/>
  <c r="G53"/>
  <c r="F24" i="26" l="1"/>
  <c r="N46" i="20"/>
  <c r="F28" i="26"/>
  <c r="F32" s="1"/>
  <c r="F14"/>
  <c r="H32" i="20"/>
  <c r="G12" i="26"/>
  <c r="J30" i="20"/>
  <c r="I15"/>
  <c r="H9"/>
  <c r="H15" s="1"/>
  <c r="N9"/>
  <c r="N27" s="1"/>
  <c r="N45" s="1"/>
  <c r="M27"/>
  <c r="G46"/>
  <c r="G47" s="1"/>
  <c r="G33"/>
  <c r="G43" s="1"/>
  <c r="J29"/>
  <c r="G11" i="26"/>
  <c r="G19"/>
  <c r="J23" i="20"/>
  <c r="J24" s="1"/>
  <c r="M15"/>
  <c r="G10" i="26"/>
  <c r="J28" i="20"/>
  <c r="J14"/>
  <c r="K30"/>
  <c r="I12" i="26"/>
  <c r="N15" i="20"/>
  <c r="G13" i="26"/>
  <c r="J31" i="20"/>
  <c r="K28"/>
  <c r="I10" i="26"/>
  <c r="K14" i="20"/>
  <c r="K31"/>
  <c r="I13" i="26"/>
  <c r="I46" i="20"/>
  <c r="I47" s="1"/>
  <c r="I33"/>
  <c r="I43" s="1"/>
  <c r="BE45"/>
  <c r="BE47" s="1"/>
  <c r="BE33"/>
  <c r="BE43" s="1"/>
  <c r="K29"/>
  <c r="I11" i="26"/>
  <c r="I19"/>
  <c r="K23" i="20"/>
  <c r="K24" s="1"/>
  <c r="M53"/>
  <c r="N50"/>
  <c r="N53" s="1"/>
  <c r="H50"/>
  <c r="K32" l="1"/>
  <c r="K46" s="1"/>
  <c r="F46" i="26"/>
  <c r="H13"/>
  <c r="H31" s="1"/>
  <c r="G31"/>
  <c r="K10"/>
  <c r="I28"/>
  <c r="I14"/>
  <c r="G29"/>
  <c r="H11"/>
  <c r="H29" s="1"/>
  <c r="K13"/>
  <c r="I31"/>
  <c r="J32" i="20"/>
  <c r="H12" i="26"/>
  <c r="H30" s="1"/>
  <c r="G30"/>
  <c r="N33" i="20"/>
  <c r="N43" s="1"/>
  <c r="I29" i="26"/>
  <c r="K11"/>
  <c r="K12"/>
  <c r="I30"/>
  <c r="H10"/>
  <c r="G28"/>
  <c r="G14"/>
  <c r="G23"/>
  <c r="G24" s="1"/>
  <c r="H19"/>
  <c r="H23" s="1"/>
  <c r="H24" s="1"/>
  <c r="M45" i="20"/>
  <c r="M47" s="1"/>
  <c r="M33"/>
  <c r="M43" s="1"/>
  <c r="K19" i="26"/>
  <c r="I23"/>
  <c r="I24" s="1"/>
  <c r="B9" i="25"/>
  <c r="AQ55" i="20"/>
  <c r="AK55"/>
  <c r="E7" i="25" s="1"/>
  <c r="AM55" i="20"/>
  <c r="E6" i="25" s="1"/>
  <c r="AI55" i="20"/>
  <c r="E8" i="25" s="1"/>
  <c r="AO55" i="20"/>
  <c r="E5" i="25" s="1"/>
  <c r="J9" i="20"/>
  <c r="F9" i="26"/>
  <c r="F27" s="1"/>
  <c r="F45" s="1"/>
  <c r="K9" i="20"/>
  <c r="H27"/>
  <c r="H45" s="1"/>
  <c r="H46"/>
  <c r="N47"/>
  <c r="K50"/>
  <c r="H53"/>
  <c r="J50"/>
  <c r="J53" s="1"/>
  <c r="F33" i="26" l="1"/>
  <c r="F43" s="1"/>
  <c r="H47" i="20"/>
  <c r="H28" i="26"/>
  <c r="H14"/>
  <c r="L11"/>
  <c r="K29"/>
  <c r="L13"/>
  <c r="K31"/>
  <c r="I32"/>
  <c r="J46" i="20"/>
  <c r="H32" i="26"/>
  <c r="L10"/>
  <c r="K28"/>
  <c r="K14"/>
  <c r="J27" i="20"/>
  <c r="J45" s="1"/>
  <c r="G9" i="26"/>
  <c r="L19"/>
  <c r="K23"/>
  <c r="K24" s="1"/>
  <c r="K27" i="20"/>
  <c r="I9" i="26"/>
  <c r="I15" s="1"/>
  <c r="D9" i="25"/>
  <c r="B17"/>
  <c r="B19"/>
  <c r="D19" s="1"/>
  <c r="G15" i="26"/>
  <c r="K30"/>
  <c r="L12"/>
  <c r="J15" i="20"/>
  <c r="G32" i="26"/>
  <c r="H33" i="20"/>
  <c r="H43" s="1"/>
  <c r="F15" i="26"/>
  <c r="K15" i="20"/>
  <c r="F47" i="26"/>
  <c r="K53" i="20"/>
  <c r="K45" l="1"/>
  <c r="K47" s="1"/>
  <c r="K33"/>
  <c r="K43" s="1"/>
  <c r="L23" i="26"/>
  <c r="L24" s="1"/>
  <c r="M19"/>
  <c r="M23" s="1"/>
  <c r="M24" s="1"/>
  <c r="J47" i="20"/>
  <c r="K32" i="26"/>
  <c r="G46"/>
  <c r="I27"/>
  <c r="I45" s="1"/>
  <c r="K9"/>
  <c r="K15" s="1"/>
  <c r="G27"/>
  <c r="G45" s="1"/>
  <c r="H9"/>
  <c r="H27" s="1"/>
  <c r="H45" s="1"/>
  <c r="M10"/>
  <c r="L28"/>
  <c r="L14"/>
  <c r="I46"/>
  <c r="I47" s="1"/>
  <c r="I33"/>
  <c r="I43" s="1"/>
  <c r="M11"/>
  <c r="M29" s="1"/>
  <c r="L29"/>
  <c r="H46"/>
  <c r="M12"/>
  <c r="M30" s="1"/>
  <c r="L30"/>
  <c r="E21" i="25"/>
  <c r="D17"/>
  <c r="E22"/>
  <c r="J33" i="20"/>
  <c r="J43" s="1"/>
  <c r="M13" i="26"/>
  <c r="M31" s="1"/>
  <c r="L31"/>
  <c r="H33" l="1"/>
  <c r="H43" s="1"/>
  <c r="G33"/>
  <c r="G43" s="1"/>
  <c r="H15"/>
  <c r="L32"/>
  <c r="G47"/>
  <c r="L9"/>
  <c r="L15" s="1"/>
  <c r="K27"/>
  <c r="K45" s="1"/>
  <c r="K46"/>
  <c r="H47"/>
  <c r="M28"/>
  <c r="M32" s="1"/>
  <c r="M14"/>
  <c r="K33" l="1"/>
  <c r="K43" s="1"/>
  <c r="K47"/>
  <c r="M46"/>
  <c r="M9"/>
  <c r="M27" s="1"/>
  <c r="M45" s="1"/>
  <c r="L27"/>
  <c r="L45" s="1"/>
  <c r="L46"/>
  <c r="L33" l="1"/>
  <c r="L43" s="1"/>
  <c r="M47"/>
  <c r="L47"/>
  <c r="M33"/>
  <c r="M43" s="1"/>
  <c r="M15"/>
</calcChain>
</file>

<file path=xl/sharedStrings.xml><?xml version="1.0" encoding="utf-8"?>
<sst xmlns="http://schemas.openxmlformats.org/spreadsheetml/2006/main" count="6562" uniqueCount="414">
  <si>
    <t>Customer</t>
  </si>
  <si>
    <t>B/A-1,2</t>
  </si>
  <si>
    <t>B/A-3</t>
  </si>
  <si>
    <t>B/A-4</t>
  </si>
  <si>
    <t>B/A-5</t>
  </si>
  <si>
    <t>B/A-6</t>
  </si>
  <si>
    <t>BLM</t>
  </si>
  <si>
    <t>DEHAAN</t>
  </si>
  <si>
    <t>LOT 001</t>
  </si>
  <si>
    <t>LOT 002</t>
  </si>
  <si>
    <t>LOT 003</t>
  </si>
  <si>
    <t>LOT 004</t>
  </si>
  <si>
    <t>LOT 005</t>
  </si>
  <si>
    <t>LOT 006</t>
  </si>
  <si>
    <t>LOT 007</t>
  </si>
  <si>
    <t>LOT 008</t>
  </si>
  <si>
    <t>LOT 009</t>
  </si>
  <si>
    <t>LOT 010</t>
  </si>
  <si>
    <t>LOT 011</t>
  </si>
  <si>
    <t>LOT 012</t>
  </si>
  <si>
    <t>LOT 013</t>
  </si>
  <si>
    <t>LOT 014</t>
  </si>
  <si>
    <t>LOT 015</t>
  </si>
  <si>
    <t>LOT 016</t>
  </si>
  <si>
    <t>LOT 016.5</t>
  </si>
  <si>
    <t>LOT 017</t>
  </si>
  <si>
    <t>LOT 018</t>
  </si>
  <si>
    <t>LOT 019</t>
  </si>
  <si>
    <t>LOT 020</t>
  </si>
  <si>
    <t>LOT 021</t>
  </si>
  <si>
    <t>LOT 022</t>
  </si>
  <si>
    <t>LOT 023</t>
  </si>
  <si>
    <t>LOT 024</t>
  </si>
  <si>
    <t>LOT 025</t>
  </si>
  <si>
    <t>LOT 026</t>
  </si>
  <si>
    <t>LOT 027</t>
  </si>
  <si>
    <t>LOT 028</t>
  </si>
  <si>
    <t>LOT 029</t>
  </si>
  <si>
    <t>LOT 030</t>
  </si>
  <si>
    <t>LOT 031</t>
  </si>
  <si>
    <t>LOT 032</t>
  </si>
  <si>
    <t>LOT 033</t>
  </si>
  <si>
    <t>LOT 034</t>
  </si>
  <si>
    <t>LOT 035</t>
  </si>
  <si>
    <t>LOT 036</t>
  </si>
  <si>
    <t>LOT 037</t>
  </si>
  <si>
    <t>LOT 038</t>
  </si>
  <si>
    <t>LOT 039</t>
  </si>
  <si>
    <t>LOT 040</t>
  </si>
  <si>
    <t>LOT 041</t>
  </si>
  <si>
    <t>LOT 042</t>
  </si>
  <si>
    <t>LOT 043</t>
  </si>
  <si>
    <t>LOT 044</t>
  </si>
  <si>
    <t>LOT 045</t>
  </si>
  <si>
    <t>LOT 046</t>
  </si>
  <si>
    <t>LOT 047</t>
  </si>
  <si>
    <t>LOT 048</t>
  </si>
  <si>
    <t>LOT 049</t>
  </si>
  <si>
    <t>LOT 050</t>
  </si>
  <si>
    <t>LOT 051</t>
  </si>
  <si>
    <t>LOT 052</t>
  </si>
  <si>
    <t>LOT 053</t>
  </si>
  <si>
    <t>LOT 054</t>
  </si>
  <si>
    <t>LOT 055</t>
  </si>
  <si>
    <t>LOT 056</t>
  </si>
  <si>
    <t>LOT 057</t>
  </si>
  <si>
    <t>LOT 058</t>
  </si>
  <si>
    <t>LOT 059</t>
  </si>
  <si>
    <t>LOT 060</t>
  </si>
  <si>
    <t>LOT 061</t>
  </si>
  <si>
    <t>LOT 062</t>
  </si>
  <si>
    <t>LOT 063</t>
  </si>
  <si>
    <t>LOT 064</t>
  </si>
  <si>
    <t>LOT 065</t>
  </si>
  <si>
    <t>LOT 066</t>
  </si>
  <si>
    <t>LOT 067</t>
  </si>
  <si>
    <t>LOT 068</t>
  </si>
  <si>
    <t>LOT 069</t>
  </si>
  <si>
    <t>LOT 070</t>
  </si>
  <si>
    <t>LOT 071</t>
  </si>
  <si>
    <t>LOT 072</t>
  </si>
  <si>
    <t>LOT 073</t>
  </si>
  <si>
    <t>LOT 074</t>
  </si>
  <si>
    <t>LOT 075</t>
  </si>
  <si>
    <t>LOT 076</t>
  </si>
  <si>
    <t>LOT 077</t>
  </si>
  <si>
    <t>LOT 078</t>
  </si>
  <si>
    <t>LOT 079</t>
  </si>
  <si>
    <t>LOT 080</t>
  </si>
  <si>
    <t>LOT 081</t>
  </si>
  <si>
    <t>LOT 082</t>
  </si>
  <si>
    <t>LOT 083</t>
  </si>
  <si>
    <t>LOT 084</t>
  </si>
  <si>
    <t>LOT 085</t>
  </si>
  <si>
    <t>LOT 086</t>
  </si>
  <si>
    <t>LOT 087</t>
  </si>
  <si>
    <t>LOT 088</t>
  </si>
  <si>
    <t>LOT 089</t>
  </si>
  <si>
    <t>LOT 090</t>
  </si>
  <si>
    <t>LOT 091</t>
  </si>
  <si>
    <t>LOT 092</t>
  </si>
  <si>
    <t>LOT 093</t>
  </si>
  <si>
    <t>LOT 094</t>
  </si>
  <si>
    <t>LOT 095A</t>
  </si>
  <si>
    <t>LOT 095B</t>
  </si>
  <si>
    <t>LOT 096</t>
  </si>
  <si>
    <t>LOT 097</t>
  </si>
  <si>
    <t>LOT 098</t>
  </si>
  <si>
    <t>LOT 099</t>
  </si>
  <si>
    <t>LOT 100</t>
  </si>
  <si>
    <t>LOT 101</t>
  </si>
  <si>
    <t>LOT 102</t>
  </si>
  <si>
    <t>LOT 103</t>
  </si>
  <si>
    <t>LOT 104</t>
  </si>
  <si>
    <t>LOT 105</t>
  </si>
  <si>
    <t>LOT 106</t>
  </si>
  <si>
    <t>LOT 107</t>
  </si>
  <si>
    <t>LOT 108</t>
  </si>
  <si>
    <t>LOT 109</t>
  </si>
  <si>
    <t>LOT 110</t>
  </si>
  <si>
    <t>LOT 111</t>
  </si>
  <si>
    <t>S/O-1</t>
  </si>
  <si>
    <t>S/O-2</t>
  </si>
  <si>
    <t>S/O-3,4</t>
  </si>
  <si>
    <t>S/O-5</t>
  </si>
  <si>
    <t>S/O-6</t>
  </si>
  <si>
    <t>S/O-7</t>
  </si>
  <si>
    <t>Notes</t>
  </si>
  <si>
    <t>Tier1</t>
  </si>
  <si>
    <t>Tier2</t>
  </si>
  <si>
    <t>Tier3</t>
  </si>
  <si>
    <t>Tier4</t>
  </si>
  <si>
    <t xml:space="preserve">Base Rate </t>
  </si>
  <si>
    <t>BLM different billing method</t>
  </si>
  <si>
    <t>Not on standby pays full base</t>
  </si>
  <si>
    <t>Total Due</t>
  </si>
  <si>
    <t>Total Billings</t>
  </si>
  <si>
    <t>Standby</t>
  </si>
  <si>
    <t>yes</t>
  </si>
  <si>
    <t>Meter was Changed</t>
  </si>
  <si>
    <t>New Meter?</t>
  </si>
  <si>
    <t xml:space="preserve">Hi-Country Estates Phase 1 </t>
  </si>
  <si>
    <t>Water Company Billing Spreadsheet</t>
  </si>
  <si>
    <t>Billing Month</t>
  </si>
  <si>
    <t>Start Meter</t>
  </si>
  <si>
    <t>End Meter</t>
  </si>
  <si>
    <t>Herriman 2nd Source Costs - High Usage</t>
  </si>
  <si>
    <t>Total Amount</t>
  </si>
  <si>
    <t>2nd Source</t>
  </si>
  <si>
    <t>Total Usage</t>
  </si>
  <si>
    <t>Gallons</t>
  </si>
  <si>
    <t>Jul-11</t>
  </si>
  <si>
    <t>Aug-11</t>
  </si>
  <si>
    <t>Need to change meter - foggy</t>
  </si>
  <si>
    <t>Total w/o BLM</t>
  </si>
  <si>
    <t>Event Type</t>
  </si>
  <si>
    <t>types (1 = overusage, 2=biological)</t>
  </si>
  <si>
    <t>Usage</t>
  </si>
  <si>
    <t>Cutoff (reg)</t>
  </si>
  <si>
    <t>Cutof (BLM)</t>
  </si>
  <si>
    <t>Total w/ &gt;35k reg. users &amp; &gt;100k BLM</t>
  </si>
  <si>
    <t>Total gallons over 35k and 100k</t>
  </si>
  <si>
    <t>Water Chrg</t>
  </si>
  <si>
    <t>Base Rate</t>
  </si>
  <si>
    <t>StandBy</t>
  </si>
  <si>
    <t>Read Date</t>
  </si>
  <si>
    <t>Tier 1</t>
  </si>
  <si>
    <t>Tier 2</t>
  </si>
  <si>
    <t>BLM &gt;100k</t>
  </si>
  <si>
    <t>Tier 3</t>
  </si>
  <si>
    <t>BLM Yearly</t>
  </si>
  <si>
    <t>Tier 4</t>
  </si>
  <si>
    <t>March</t>
  </si>
  <si>
    <t>April</t>
  </si>
  <si>
    <t>NEW METER (12/2011)</t>
  </si>
  <si>
    <t>Full of Water - LEAKING</t>
  </si>
  <si>
    <t>November</t>
  </si>
  <si>
    <t>December</t>
  </si>
  <si>
    <t>Full of Water</t>
  </si>
  <si>
    <t>not read</t>
  </si>
  <si>
    <t>January</t>
  </si>
  <si>
    <t>June</t>
  </si>
  <si>
    <t>July</t>
  </si>
  <si>
    <t>lot</t>
  </si>
  <si>
    <t xml:space="preserve">METER LOCKED UNDER HERRIMAN CONTROL </t>
  </si>
  <si>
    <t>May</t>
  </si>
  <si>
    <t>Nephi had to reread this meter</t>
  </si>
  <si>
    <t>Apr-11</t>
  </si>
  <si>
    <t>May-11</t>
  </si>
  <si>
    <t>May Usage</t>
  </si>
  <si>
    <t>Oct-11</t>
  </si>
  <si>
    <t>Nov-11</t>
  </si>
  <si>
    <t>Mar-11</t>
  </si>
  <si>
    <t>April Usage</t>
  </si>
  <si>
    <t>Water Line Break - reset meter</t>
  </si>
  <si>
    <t>August</t>
  </si>
  <si>
    <t>February</t>
  </si>
  <si>
    <t>Herriman 2nd Source Costs - Biological</t>
  </si>
  <si>
    <t>Rate</t>
  </si>
  <si>
    <t>June-11</t>
  </si>
  <si>
    <t>July-11</t>
  </si>
  <si>
    <t>Jun-11</t>
  </si>
  <si>
    <t>Leaking?? Water in box</t>
  </si>
  <si>
    <t>Sep-11</t>
  </si>
  <si>
    <t>Aug 2012 Usage</t>
  </si>
  <si>
    <t>September</t>
  </si>
  <si>
    <t>Average Annual</t>
  </si>
  <si>
    <t>Gallons Used</t>
  </si>
  <si>
    <t>Base Rate (&lt;/= 10,000 gal.)</t>
  </si>
  <si>
    <t>Tier 1  (10,001 to 20,000 gal.) per 1,000</t>
  </si>
  <si>
    <t>Tier 2  (20,001 to 30,000 gal.) per 1,000</t>
  </si>
  <si>
    <t>Tier 3  (30,001 to 40,000 gal.) per 1,000</t>
  </si>
  <si>
    <t>Tier 4  (&gt;/= 40,001 gal.) per 1,000</t>
  </si>
  <si>
    <t>Residential Customers Billed</t>
  </si>
  <si>
    <t>Inside Service Area/HOA Property</t>
  </si>
  <si>
    <t>Outside Service Area/HOA Property</t>
  </si>
  <si>
    <t>Governmental Customer Billed</t>
  </si>
  <si>
    <t>Total Residential Customers Billed</t>
  </si>
  <si>
    <t>Amount Billed</t>
  </si>
  <si>
    <t>Total Annual Dollar</t>
  </si>
  <si>
    <t>March 2013</t>
  </si>
  <si>
    <t>February 2013</t>
  </si>
  <si>
    <t>January 2013</t>
  </si>
  <si>
    <t>November 2012</t>
  </si>
  <si>
    <t>October 2012</t>
  </si>
  <si>
    <t>September 2012</t>
  </si>
  <si>
    <t>August 2012</t>
  </si>
  <si>
    <t>July 2012</t>
  </si>
  <si>
    <t>June 2012</t>
  </si>
  <si>
    <t>May 2012</t>
  </si>
  <si>
    <t>March 2012</t>
  </si>
  <si>
    <t>February 2012</t>
  </si>
  <si>
    <t>January 2012</t>
  </si>
  <si>
    <t>December 2011</t>
  </si>
  <si>
    <t>November 2011</t>
  </si>
  <si>
    <t>October 2011</t>
  </si>
  <si>
    <t>September 2011</t>
  </si>
  <si>
    <t>August 2011</t>
  </si>
  <si>
    <t>July 2011</t>
  </si>
  <si>
    <t>June 2011</t>
  </si>
  <si>
    <t>May 2011</t>
  </si>
  <si>
    <t>April 2011 - March 2012</t>
  </si>
  <si>
    <t>Combined Yrs. April 2011 - March 2013</t>
  </si>
  <si>
    <t>Customers</t>
  </si>
  <si>
    <t>TOTAL RESIDENTIAL CUSTOMERS</t>
  </si>
  <si>
    <t>TOTAL GOVERNMENTAL CUSTOMERS</t>
  </si>
  <si>
    <t>Total 2 Yr. Dollar</t>
  </si>
  <si>
    <t>Average Monthly</t>
  </si>
  <si>
    <t>counts</t>
  </si>
  <si>
    <t>original billing data above red line</t>
  </si>
  <si>
    <t>rate case summary data listed below:</t>
  </si>
  <si>
    <t>Totals</t>
  </si>
  <si>
    <t>tier 4</t>
  </si>
  <si>
    <t>BLM - $ Charged</t>
  </si>
  <si>
    <t>Inside HOA - $ Charged</t>
  </si>
  <si>
    <t>Outside HOA - $ Charged</t>
  </si>
  <si>
    <t>TOTALS</t>
  </si>
  <si>
    <t>TOTAL $ CHARGED</t>
  </si>
  <si>
    <t>Base</t>
  </si>
  <si>
    <t>n/a</t>
  </si>
  <si>
    <t>Inside HOA - $ Standby Charged</t>
  </si>
  <si>
    <t>Outside HOA - $ Standby Charged</t>
  </si>
  <si>
    <t>Inside HOA - Gallons Billed</t>
  </si>
  <si>
    <t>Outside HOA - Gallons Billed</t>
  </si>
  <si>
    <t>BLM - Gallons Billed</t>
  </si>
  <si>
    <t>TOTAL GALLONS BILLED</t>
  </si>
  <si>
    <t>Original Mar</t>
  </si>
  <si>
    <t>$</t>
  </si>
  <si>
    <t>Original Jan</t>
  </si>
  <si>
    <t>original Feb</t>
  </si>
  <si>
    <t>Customer Overcharged</t>
  </si>
  <si>
    <t>individual accts rounded up to nearest 1,000</t>
  </si>
  <si>
    <t>Tier 1  (&gt;/= 100,001 gal.) per 1,000</t>
  </si>
  <si>
    <t>do not include</t>
  </si>
  <si>
    <t xml:space="preserve">2nd source is </t>
  </si>
  <si>
    <t>duplicate gallons</t>
  </si>
  <si>
    <t>in gallon totals</t>
  </si>
  <si>
    <t>Second Source</t>
  </si>
  <si>
    <t>Difference in Original and Corrected</t>
  </si>
  <si>
    <t>TOTAL</t>
  </si>
  <si>
    <t>SUBTOTAL TIERED</t>
  </si>
  <si>
    <t>SUBTOTAL RESIDENTIAL TIERED</t>
  </si>
  <si>
    <t>Total Base &amp; Standby (system)</t>
  </si>
  <si>
    <t>Total Tiered (usage)</t>
  </si>
  <si>
    <t>TOTAL ALL CUSTOMERS</t>
  </si>
  <si>
    <t>Check figure total</t>
  </si>
  <si>
    <t>Annual Service Fee</t>
  </si>
  <si>
    <t>Description</t>
  </si>
  <si>
    <t>Line
No.</t>
  </si>
  <si>
    <t>TOTAL SECOND SOURCE</t>
  </si>
  <si>
    <t>SUBTOTAL GOVERNMENTAL TIERED</t>
  </si>
  <si>
    <t>Base Rate (&lt;/= 100,000 gal.)</t>
  </si>
  <si>
    <t>April 2012</t>
  </si>
  <si>
    <t>April 2011</t>
  </si>
  <si>
    <t>varies</t>
  </si>
  <si>
    <t xml:space="preserve"> (not including second source)</t>
  </si>
  <si>
    <t>12 MONTH AVERAGE:</t>
  </si>
  <si>
    <t>Month's Usage</t>
  </si>
  <si>
    <t>Increase (decrease)</t>
  </si>
  <si>
    <t>April 2011 vs 2012</t>
  </si>
  <si>
    <t>May 2011 vs 2012</t>
  </si>
  <si>
    <t>June 2011 vs 2012</t>
  </si>
  <si>
    <t>July 2011 vs 2012</t>
  </si>
  <si>
    <t>August 2011 vs 2012</t>
  </si>
  <si>
    <t>September 2011 vs 2012</t>
  </si>
  <si>
    <t>October 2011 vs 2012</t>
  </si>
  <si>
    <t>November 2011 vs 2012</t>
  </si>
  <si>
    <t>December 2011 vs 2012</t>
  </si>
  <si>
    <t>January 2012 vs 2013</t>
  </si>
  <si>
    <t>February 2012 vs 2013</t>
  </si>
  <si>
    <t>March 2012 vs 2013</t>
  </si>
  <si>
    <t>May 2011-Apr 2012</t>
  </si>
  <si>
    <t>Jun 2011-May 2012</t>
  </si>
  <si>
    <t>Jul 2011-Jun 2012</t>
  </si>
  <si>
    <t>Aug 2011-Jul 2012</t>
  </si>
  <si>
    <t>Sep 2011-Aug 2012</t>
  </si>
  <si>
    <t>Oct 2011-Sep 2012</t>
  </si>
  <si>
    <t>Nov 2011-Oct 2012</t>
  </si>
  <si>
    <t>Dec 2011-Nov 2012</t>
  </si>
  <si>
    <t>Jan 2012-Dec 2012</t>
  </si>
  <si>
    <t>Feb 2012-Jan 2013</t>
  </si>
  <si>
    <t>Mar 2012-Feb 2013</t>
  </si>
  <si>
    <t>Apr 2012-Mar 2013</t>
  </si>
  <si>
    <t>Avg Month 2 Yr Combined</t>
  </si>
  <si>
    <t>Avg Month April - Oct</t>
  </si>
  <si>
    <t>Summer Comparison</t>
  </si>
  <si>
    <t>USE these columns for</t>
  </si>
  <si>
    <t>this column</t>
  </si>
  <si>
    <t>March 2012 Billings</t>
  </si>
  <si>
    <t>for analysis</t>
  </si>
  <si>
    <t>only</t>
  </si>
  <si>
    <t>10-20</t>
  </si>
  <si>
    <t>20-30</t>
  </si>
  <si>
    <t>30-40</t>
  </si>
  <si>
    <t>&gt;40</t>
  </si>
  <si>
    <t>Overage</t>
  </si>
  <si>
    <t>Diff</t>
  </si>
  <si>
    <t xml:space="preserve">Overage </t>
  </si>
  <si>
    <t>Gallons per month</t>
  </si>
  <si>
    <t>$$$$ per month</t>
  </si>
  <si>
    <t>per month</t>
  </si>
  <si>
    <t>for all</t>
  </si>
  <si>
    <t>Billing</t>
  </si>
  <si>
    <t>from 1st calc</t>
  </si>
  <si>
    <t>Usage above 30000</t>
  </si>
  <si>
    <t>gallons</t>
  </si>
  <si>
    <t>in $$$</t>
  </si>
  <si>
    <t>3 mos</t>
  </si>
  <si>
    <t>for March</t>
  </si>
  <si>
    <t>Total</t>
  </si>
  <si>
    <t>Adjusted Jan</t>
  </si>
  <si>
    <t>Adjusted Feb</t>
  </si>
  <si>
    <t>Adjusted Mar</t>
  </si>
  <si>
    <t>Two Year Comparison of Water Usage - Total Customer Water Usage</t>
  </si>
  <si>
    <t>(based on March 2012)</t>
  </si>
  <si>
    <t>(based on February 2012)</t>
  </si>
  <si>
    <t>(based on January 2012)</t>
  </si>
  <si>
    <t>(based on December 2011)</t>
  </si>
  <si>
    <t>(based on November 2012)</t>
  </si>
  <si>
    <t>"recalculated"</t>
  </si>
  <si>
    <t>Total Annual</t>
  </si>
  <si>
    <t>Total 2 Yr.</t>
  </si>
  <si>
    <t>All Customer</t>
  </si>
  <si>
    <t>Per Customer</t>
  </si>
  <si>
    <t>Dec 2011</t>
  </si>
  <si>
    <t>Dec 2012</t>
  </si>
  <si>
    <t>Second Source Summary</t>
  </si>
  <si>
    <t>Count</t>
  </si>
  <si>
    <t>Apr 2011-Mar 2013</t>
  </si>
  <si>
    <t>Total 2 yrs.</t>
  </si>
  <si>
    <t>2 yr / 2</t>
  </si>
  <si>
    <t>2 yr / 24</t>
  </si>
  <si>
    <t>rounded up to 1,000</t>
  </si>
  <si>
    <t>12 Month Average (monthly usage)</t>
  </si>
  <si>
    <t>Avg Year 2 Yr Combined</t>
  </si>
  <si>
    <t>manual count</t>
  </si>
  <si>
    <t>second source</t>
  </si>
  <si>
    <t>2011</t>
  </si>
  <si>
    <t>2012</t>
  </si>
  <si>
    <t>April 2012 - March 2013</t>
  </si>
  <si>
    <t>1.   Purpose:  This water usage summary is based on water usage for the months of April 2011 through October 2012 as identified in the billing records of the H-Country and is being used for the purpose of identifying average monthly water usage per customer.</t>
  </si>
  <si>
    <t>4.   Billing Data:  The actual billing data in this analysis covers a period of 17 months, April 2011 through October 2012, which includes two summer seasons.  Based on comparison of the dollar amounts billed by Herriman City for the winter months of 2013 (as reflected in its general ledger detail ) to the actual billing data from Hi-Country for the previous year, 2013's winter months closely resemble 2012.  Therefore, the analysis uses customer billing detail from the winter of 2012 as a a substitute for 2013.  This results in a full two year average of water usage.</t>
  </si>
  <si>
    <t>5.  Forecasting Tiered Revenues:  The tiered rate structure makes if difficult to calculate average monthly gallons used per customer in the high usage tiers.  This is mainly due to the fact that not all customers consume amounts over the base gallons of 10,000 and the number of customers that are consuming overage amounts each month varies.  Because of this, when you summarize monthly data and try to divide by total number of customers, the result will always be a fraction of 1,000.  To apply a rate to a fraction of 1,000 gallons used is inappropriate but if you round the gallons back up to the nearest 1,000 the number of gallons used in inflated.  See Table 2, Average Customer Usage</t>
  </si>
  <si>
    <t>TABLE 2</t>
  </si>
  <si>
    <t>AVERAGE PER CUSTOMER</t>
  </si>
  <si>
    <t>3.  Winter Billing Cycle:  Due to snowfall in the winter months, when manually read meters are in place, it is common to bill base rates throughout the winter months and charge for any overage identified once the meters are read in the spring.  The meter read on March 30, 2012 includes usage for January, February and March.  To assist in this monthly comparison, the base and tiered usage for January, February and March was recast by dividing the total meter read by three, rounding up to the nearest 1,000 gallons, then reallocating to the base and tiered water usage categories.  The results approximate the actual adjusted bills sent to the customers, see comparison on tab"Mar12recalc".</t>
  </si>
  <si>
    <t>5.  BLM Usage:  The BLM recently ceased using high amounts of water supplied by Hi-Country and is not expected to use extremely high amounts of water any time in the near future.  Therefore, the actual usage data for the BLM is no longer valid.  The summary of usage in Table 3 "Summation of Detail" was manually changed to reflect monthly charges of a base rate only assuming the BLM will not go over its base usage limit of 100,000 gallons.</t>
  </si>
  <si>
    <t>6. Second Source Summary - see details on Table 2 "Second Source".</t>
  </si>
  <si>
    <t>CUSTOMER COUNTS AND USAGE (April 2011 through March 2012)</t>
  </si>
  <si>
    <t>Billed Monthly</t>
  </si>
  <si>
    <t>MONTHLY DETAIL OF CUSTOMER COUNTS, USAGE AND CHARGES</t>
  </si>
  <si>
    <t>7.  Conclusion:  The billing usage data covers two summers with different usage.  Using averages from the two years to forecast future usage would be a conservative approach.  Additionally, it is recommended that Hi-Country apply rates in any revenue calculation to the AVERAGE GALLONS USED PER YEAR in each tier instead of trying to calculate a "per customer" average usage per tier.  This is a reasonable way to calculate revenues as long as the customer base is not anticipated to change over the forecast period.</t>
  </si>
  <si>
    <t>lack of supply</t>
  </si>
  <si>
    <t>contamination</t>
  </si>
  <si>
    <t>Total amount billed to customers</t>
  </si>
  <si>
    <t>Reason for Second Source  water draw</t>
  </si>
  <si>
    <t>Month</t>
  </si>
  <si>
    <t>2.   Verification of Rates Charged:  Rates were consistently charged April 2011 through March 2012 and agree to annual rates scheduled and approved by HI-Country in 2008.  Rates were revised and increased in April 2012.    These new rates were consistently charged April 2012 through October 2012.  All but the base rate charged to the BLM agree to subsequent Tariff filing #12-2195-T01.  The base rate charged.  The base rate charged to BLM was $185 which agrees to the rate scheduled and approved in 2008 whereas the tariff states the base rate is $177 (a difference of $56.00 (($185-$177)*7 months)).  After October 2012 the billing was performed by Herriman City.  The detail billing data for the months of November 2012 through present was not available at the time this anaylsis was performed.  However, based on a cursory review of billing summary reports and a sample of customer bills and discussion with Herriman City accountant, it appears that the rates as listed in Tariff #12-2195-T01 were consistenly applied November 2012 through present including the BLM rate of $177.  Note, the billing summary reports agree to Herriman's GL Detail.</t>
  </si>
  <si>
    <t>Number of customers charged per occurance</t>
  </si>
  <si>
    <t>2.  The revised tariff includes three different allocation method for three scenarios for which second source water is necessary.  To evaluate the effects of this change on customer's bills, the billing records were modified to calculate based on each of these three scenarios.  Of the five occurance included in this billing data, three occurance was modified for "lack of supply based on domestic usage" and charged to proportionally based on all usage over the base allowance of $10,000.  One occurance was modified for "emergency response for correcting contamination in the system" and charged proportionally on all usage per customer.  The remaining one occurance were modified for ""emergency reponse to fight a fire" and the cost divided equally to all metered and nonmetered (standby) customers. Selection was random except purposely puting the fire prevention allocation in the late summer.  BLM is treated the same as all other connections in these calculations.  However as noted in note #1 on the "Notes and Comparison" page, the BLM usage data was modified.  It's base usage was set to 35,000 gallons per month.</t>
  </si>
  <si>
    <t>Average charge per connection</t>
  </si>
  <si>
    <t>fire emergency</t>
  </si>
  <si>
    <t>1  There were three occurances in 2011 and two occurances in 2012 when the second source water from Herriman City was necessary.  There was an additional second source water draw in February of 2011 for a total of four occurances in that year.  The BLM is no longer an extremetly high user of water so the costs charged to customers in 2012, adjusted for Herriman City water rates, shoudl be used in the calculation of revenues and expenses.</t>
  </si>
  <si>
    <t>See NOTE (5)</t>
  </si>
  <si>
    <t>NOTES to Billing and Water Usage Analysis</t>
  </si>
  <si>
    <t>4.  The table here represents averages for customers; however it is the actual dollar amount of the bills from Herriman City that will be charged to all customers.  This will vary from year to year.</t>
  </si>
  <si>
    <t>TOTAL USAGE BILLED IN 2012</t>
  </si>
  <si>
    <t>(For Annual Report)</t>
  </si>
  <si>
    <t>3.  The rate charged by Herriman City is $2.04 for water and 0.18 for pumping for a total charge of $2.22 per gallon.  This rate has not changed since 2011 and per discussion with Herriman City, this rate is subject to change but they do not have plans to do so in the coming months or possibly a year.</t>
  </si>
  <si>
    <t>2012 Billed Usage Residential</t>
  </si>
  <si>
    <t>2012 Billed Usage BLM</t>
  </si>
  <si>
    <t>2012 Total Billed all Customers</t>
  </si>
  <si>
    <t>RESIDENTIAL USAGE BILLED IN 2012</t>
  </si>
  <si>
    <t>BLM USAGE BILLED IN 2012</t>
  </si>
</sst>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409]mmmm\-yy;@"/>
    <numFmt numFmtId="165" formatCode="[$-409]mmm\-yy;@"/>
    <numFmt numFmtId="166" formatCode="mm/dd/yy;@"/>
    <numFmt numFmtId="167" formatCode="[$-409]mmmmm\-yy;@"/>
    <numFmt numFmtId="168" formatCode="_(* #,##0_);_(* \(#,##0\);_(* &quot;-&quot;??_);_(@_)"/>
    <numFmt numFmtId="169" formatCode="0.0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22"/>
      <color theme="1"/>
      <name val="Calibri"/>
      <family val="2"/>
      <scheme val="minor"/>
    </font>
    <font>
      <b/>
      <i/>
      <sz val="11"/>
      <color theme="1"/>
      <name val="Calibri"/>
      <family val="2"/>
      <scheme val="minor"/>
    </font>
    <font>
      <sz val="12"/>
      <color theme="1"/>
      <name val="Times New Roman"/>
      <family val="2"/>
    </font>
    <font>
      <sz val="10"/>
      <color indexed="8"/>
      <name val="Arial"/>
      <family val="2"/>
    </font>
    <font>
      <b/>
      <sz val="10"/>
      <color indexed="8"/>
      <name val="Arial"/>
      <family val="2"/>
    </font>
    <font>
      <sz val="10"/>
      <name val="Arial"/>
      <family val="2"/>
    </font>
    <font>
      <i/>
      <sz val="10"/>
      <color indexed="8"/>
      <name val="Arial"/>
      <family val="2"/>
    </font>
    <font>
      <sz val="10"/>
      <color theme="1"/>
      <name val="Arial"/>
      <family val="2"/>
    </font>
    <font>
      <b/>
      <sz val="10"/>
      <name val="Arial"/>
      <family val="2"/>
    </font>
    <font>
      <b/>
      <sz val="10"/>
      <color theme="1"/>
      <name val="Arial"/>
      <family val="2"/>
    </font>
    <font>
      <sz val="8"/>
      <color indexed="8"/>
      <name val="Arial"/>
      <family val="2"/>
    </font>
    <font>
      <i/>
      <sz val="11"/>
      <color theme="1"/>
      <name val="Calibri"/>
      <family val="2"/>
      <scheme val="minor"/>
    </font>
    <font>
      <i/>
      <sz val="8"/>
      <color indexed="8"/>
      <name val="Arial"/>
      <family val="2"/>
    </font>
    <font>
      <sz val="8"/>
      <color theme="1"/>
      <name val="Arial"/>
      <family val="2"/>
    </font>
    <font>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9" tint="0.59999389629810485"/>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1"/>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theme="1"/>
      </bottom>
      <diagonal/>
    </border>
    <border>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1" fillId="0" borderId="0"/>
    <xf numFmtId="0" fontId="24" fillId="0" borderId="0"/>
    <xf numFmtId="0" fontId="1" fillId="0" borderId="0"/>
    <xf numFmtId="9" fontId="1" fillId="0" borderId="0" applyFont="0" applyFill="0" applyBorder="0" applyAlignment="0" applyProtection="0"/>
  </cellStyleXfs>
  <cellXfs count="260">
    <xf numFmtId="0" fontId="0" fillId="0" borderId="0" xfId="0"/>
    <xf numFmtId="0" fontId="0" fillId="0" borderId="0" xfId="0" applyFill="1" applyBorder="1"/>
    <xf numFmtId="0" fontId="18" fillId="0" borderId="0" xfId="0" applyFont="1" applyFill="1" applyBorder="1"/>
    <xf numFmtId="0" fontId="19" fillId="0" borderId="0" xfId="0" applyFont="1" applyFill="1" applyBorder="1"/>
    <xf numFmtId="164" fontId="0" fillId="0" borderId="0" xfId="0" applyNumberFormat="1" applyFill="1" applyBorder="1"/>
    <xf numFmtId="44" fontId="0" fillId="0" borderId="0" xfId="42" applyFont="1" applyFill="1" applyBorder="1"/>
    <xf numFmtId="44" fontId="0" fillId="0" borderId="0" xfId="0" applyNumberFormat="1" applyFill="1" applyBorder="1"/>
    <xf numFmtId="0" fontId="16" fillId="33" borderId="0" xfId="0" applyFont="1" applyFill="1" applyBorder="1"/>
    <xf numFmtId="0" fontId="0" fillId="0" borderId="0" xfId="0" applyFill="1"/>
    <xf numFmtId="0" fontId="16" fillId="33" borderId="0" xfId="0" applyFont="1" applyFill="1"/>
    <xf numFmtId="0" fontId="16" fillId="33" borderId="0" xfId="0" applyFont="1" applyFill="1" applyBorder="1" applyAlignment="1">
      <alignment horizontal="center"/>
    </xf>
    <xf numFmtId="0" fontId="0" fillId="0" borderId="0" xfId="0" applyFill="1" applyBorder="1" applyAlignment="1">
      <alignment horizontal="center"/>
    </xf>
    <xf numFmtId="0" fontId="0" fillId="0" borderId="0" xfId="42" applyNumberFormat="1" applyFont="1" applyFill="1" applyBorder="1"/>
    <xf numFmtId="17" fontId="16" fillId="33" borderId="0" xfId="0" applyNumberFormat="1" applyFont="1" applyFill="1" applyBorder="1" applyAlignment="1">
      <alignment horizontal="center"/>
    </xf>
    <xf numFmtId="0" fontId="0" fillId="34" borderId="0" xfId="0" applyFill="1" applyBorder="1"/>
    <xf numFmtId="0" fontId="0" fillId="34" borderId="0" xfId="0" applyFill="1" applyBorder="1" applyAlignment="1">
      <alignment horizontal="center"/>
    </xf>
    <xf numFmtId="0" fontId="0" fillId="34" borderId="0" xfId="0" applyFill="1"/>
    <xf numFmtId="44" fontId="0" fillId="0" borderId="0" xfId="42" applyFont="1" applyFill="1" applyBorder="1" applyAlignment="1">
      <alignment horizontal="right"/>
    </xf>
    <xf numFmtId="44" fontId="0" fillId="0" borderId="0" xfId="42" applyFont="1" applyFill="1" applyAlignment="1">
      <alignment horizontal="right"/>
    </xf>
    <xf numFmtId="44" fontId="0" fillId="34" borderId="0" xfId="42" applyFont="1" applyFill="1" applyBorder="1" applyAlignment="1">
      <alignment horizontal="right"/>
    </xf>
    <xf numFmtId="44" fontId="0" fillId="34" borderId="0" xfId="42" applyFont="1" applyFill="1" applyAlignment="1">
      <alignment horizontal="right"/>
    </xf>
    <xf numFmtId="0" fontId="16" fillId="33" borderId="0" xfId="0" applyFont="1" applyFill="1" applyBorder="1" applyAlignment="1">
      <alignment horizontal="right"/>
    </xf>
    <xf numFmtId="0" fontId="16" fillId="33" borderId="0" xfId="0" applyFont="1" applyFill="1" applyAlignment="1">
      <alignment horizontal="right"/>
    </xf>
    <xf numFmtId="165" fontId="0" fillId="0" borderId="0" xfId="0" applyNumberFormat="1" applyFill="1" applyBorder="1"/>
    <xf numFmtId="166" fontId="0" fillId="0" borderId="0" xfId="0" applyNumberFormat="1" applyFill="1" applyBorder="1"/>
    <xf numFmtId="44" fontId="0" fillId="0" borderId="0" xfId="42" applyFont="1"/>
    <xf numFmtId="0" fontId="16" fillId="33" borderId="0" xfId="0" applyNumberFormat="1" applyFont="1" applyFill="1" applyBorder="1" applyAlignment="1">
      <alignment horizontal="center"/>
    </xf>
    <xf numFmtId="44" fontId="16" fillId="0" borderId="10" xfId="42" applyNumberFormat="1" applyFont="1" applyBorder="1" applyAlignment="1">
      <alignment horizontal="right"/>
    </xf>
    <xf numFmtId="0" fontId="20" fillId="35" borderId="0" xfId="0" applyFont="1" applyFill="1"/>
    <xf numFmtId="0" fontId="20" fillId="35" borderId="0" xfId="0" applyFont="1" applyFill="1" applyAlignment="1">
      <alignment horizontal="center"/>
    </xf>
    <xf numFmtId="17" fontId="20" fillId="35" borderId="0" xfId="0" applyNumberFormat="1" applyFont="1" applyFill="1"/>
    <xf numFmtId="0" fontId="0" fillId="0" borderId="0" xfId="0" applyAlignment="1">
      <alignment horizontal="center"/>
    </xf>
    <xf numFmtId="0" fontId="0" fillId="34" borderId="0" xfId="0" applyFill="1" applyAlignment="1">
      <alignment horizontal="center"/>
    </xf>
    <xf numFmtId="44" fontId="0" fillId="34" borderId="0" xfId="42" applyFont="1" applyFill="1"/>
    <xf numFmtId="44" fontId="0" fillId="0" borderId="0" xfId="0" applyNumberFormat="1"/>
    <xf numFmtId="165" fontId="16" fillId="33" borderId="0" xfId="0" applyNumberFormat="1" applyFont="1" applyFill="1" applyBorder="1" applyAlignment="1">
      <alignment horizontal="center"/>
    </xf>
    <xf numFmtId="167" fontId="0" fillId="0" borderId="0" xfId="0" applyNumberFormat="1" applyFill="1" applyBorder="1"/>
    <xf numFmtId="0" fontId="0" fillId="36" borderId="0" xfId="0" applyFill="1" applyBorder="1"/>
    <xf numFmtId="0" fontId="0" fillId="36" borderId="0" xfId="0" applyFill="1" applyBorder="1" applyAlignment="1">
      <alignment horizontal="center"/>
    </xf>
    <xf numFmtId="44" fontId="0" fillId="36" borderId="0" xfId="42" applyFont="1" applyFill="1" applyBorder="1" applyAlignment="1">
      <alignment horizontal="right"/>
    </xf>
    <xf numFmtId="44" fontId="0" fillId="36" borderId="0" xfId="42" applyFont="1" applyFill="1" applyAlignment="1">
      <alignment horizontal="right"/>
    </xf>
    <xf numFmtId="0" fontId="0" fillId="36" borderId="0" xfId="0" applyFill="1"/>
    <xf numFmtId="44" fontId="0" fillId="0" borderId="0" xfId="42" applyFont="1" applyFill="1"/>
    <xf numFmtId="17" fontId="0" fillId="0" borderId="0" xfId="0" applyNumberFormat="1"/>
    <xf numFmtId="0" fontId="0" fillId="37" borderId="0" xfId="0" applyFill="1"/>
    <xf numFmtId="44" fontId="22" fillId="0" borderId="0" xfId="44" applyNumberFormat="1" applyFont="1" applyFill="1" applyProtection="1"/>
    <xf numFmtId="0" fontId="22" fillId="0" borderId="0" xfId="44" applyFont="1" applyFill="1" applyProtection="1"/>
    <xf numFmtId="0" fontId="23" fillId="0" borderId="0" xfId="44" applyFont="1" applyFill="1" applyProtection="1"/>
    <xf numFmtId="0" fontId="22" fillId="0" borderId="0" xfId="44" applyFont="1" applyFill="1" applyAlignment="1" applyProtection="1">
      <alignment horizontal="center"/>
    </xf>
    <xf numFmtId="17" fontId="22" fillId="0" borderId="0" xfId="44" applyNumberFormat="1" applyFont="1" applyFill="1" applyProtection="1"/>
    <xf numFmtId="0" fontId="24" fillId="0" borderId="0" xfId="0" applyFont="1" applyBorder="1"/>
    <xf numFmtId="0" fontId="24" fillId="0" borderId="0" xfId="0" applyFont="1" applyFill="1" applyBorder="1"/>
    <xf numFmtId="0" fontId="25" fillId="0" borderId="0" xfId="44" applyFont="1" applyFill="1" applyProtection="1"/>
    <xf numFmtId="0" fontId="22" fillId="0" borderId="13" xfId="44" applyFont="1" applyFill="1" applyBorder="1" applyAlignment="1" applyProtection="1">
      <alignment horizontal="center"/>
    </xf>
    <xf numFmtId="44" fontId="22" fillId="0" borderId="14" xfId="44" applyNumberFormat="1" applyFont="1" applyFill="1" applyBorder="1" applyAlignment="1" applyProtection="1">
      <alignment horizontal="center"/>
    </xf>
    <xf numFmtId="0" fontId="22" fillId="0" borderId="15" xfId="44" applyFont="1" applyFill="1" applyBorder="1" applyAlignment="1" applyProtection="1">
      <alignment horizontal="center"/>
    </xf>
    <xf numFmtId="44" fontId="22" fillId="0" borderId="16" xfId="44" applyNumberFormat="1" applyFont="1" applyFill="1" applyBorder="1" applyAlignment="1" applyProtection="1">
      <alignment horizontal="center"/>
    </xf>
    <xf numFmtId="0" fontId="23" fillId="0" borderId="0" xfId="44" applyFont="1" applyFill="1" applyAlignment="1" applyProtection="1"/>
    <xf numFmtId="0" fontId="26" fillId="0" borderId="0" xfId="0" applyFont="1"/>
    <xf numFmtId="0" fontId="26" fillId="0" borderId="17" xfId="0" applyFont="1" applyBorder="1" applyAlignment="1">
      <alignment horizontal="center"/>
    </xf>
    <xf numFmtId="0" fontId="26" fillId="0" borderId="18"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17" fontId="26" fillId="0" borderId="19" xfId="0" quotePrefix="1" applyNumberFormat="1" applyFont="1" applyBorder="1" applyAlignment="1">
      <alignment horizontal="center"/>
    </xf>
    <xf numFmtId="0" fontId="24" fillId="0" borderId="0" xfId="0" applyFont="1" applyFill="1" applyBorder="1" applyAlignment="1">
      <alignment horizontal="right"/>
    </xf>
    <xf numFmtId="0" fontId="27" fillId="0" borderId="0" xfId="0" applyFont="1" applyFill="1" applyBorder="1" applyAlignment="1">
      <alignment horizontal="right"/>
    </xf>
    <xf numFmtId="0" fontId="26" fillId="38" borderId="0" xfId="0" applyFont="1" applyFill="1"/>
    <xf numFmtId="0" fontId="22" fillId="38" borderId="0" xfId="44" applyFont="1" applyFill="1" applyAlignment="1" applyProtection="1">
      <alignment horizontal="center"/>
    </xf>
    <xf numFmtId="44" fontId="22" fillId="38" borderId="0" xfId="44" applyNumberFormat="1" applyFont="1" applyFill="1" applyProtection="1"/>
    <xf numFmtId="0" fontId="22" fillId="38" borderId="0" xfId="44" applyFont="1" applyFill="1" applyProtection="1"/>
    <xf numFmtId="17" fontId="22" fillId="38" borderId="0" xfId="44" applyNumberFormat="1" applyFont="1" applyFill="1" applyProtection="1"/>
    <xf numFmtId="44" fontId="22" fillId="0" borderId="24" xfId="44" applyNumberFormat="1" applyFont="1" applyFill="1" applyBorder="1" applyProtection="1"/>
    <xf numFmtId="0" fontId="0" fillId="0" borderId="24" xfId="0" applyBorder="1"/>
    <xf numFmtId="44" fontId="0" fillId="0" borderId="24" xfId="42" applyFont="1" applyBorder="1"/>
    <xf numFmtId="43" fontId="0" fillId="0" borderId="0" xfId="43" applyFont="1"/>
    <xf numFmtId="0" fontId="0" fillId="0" borderId="0" xfId="0" applyAlignment="1">
      <alignment horizontal="right"/>
    </xf>
    <xf numFmtId="43" fontId="0" fillId="0" borderId="24" xfId="43" applyFont="1" applyBorder="1"/>
    <xf numFmtId="0" fontId="0" fillId="0" borderId="0" xfId="0" applyBorder="1"/>
    <xf numFmtId="44" fontId="0" fillId="0" borderId="0" xfId="42" applyFont="1" applyBorder="1"/>
    <xf numFmtId="44" fontId="0" fillId="0" borderId="0" xfId="42" applyNumberFormat="1" applyFont="1"/>
    <xf numFmtId="168" fontId="0" fillId="0" borderId="0" xfId="43" applyNumberFormat="1" applyFont="1"/>
    <xf numFmtId="168" fontId="0" fillId="0" borderId="24" xfId="43" applyNumberFormat="1" applyFont="1" applyBorder="1"/>
    <xf numFmtId="0" fontId="0" fillId="37" borderId="0" xfId="0" applyFill="1" applyBorder="1" applyAlignment="1">
      <alignment horizontal="center"/>
    </xf>
    <xf numFmtId="0" fontId="0" fillId="37" borderId="0" xfId="0" applyNumberFormat="1" applyFill="1" applyBorder="1" applyAlignment="1">
      <alignment horizontal="center"/>
    </xf>
    <xf numFmtId="44" fontId="0" fillId="0" borderId="0" xfId="0" applyNumberFormat="1" applyFont="1" applyFill="1" applyBorder="1" applyAlignment="1">
      <alignment horizontal="right"/>
    </xf>
    <xf numFmtId="168" fontId="0" fillId="0" borderId="0" xfId="0" applyNumberFormat="1" applyFill="1" applyBorder="1"/>
    <xf numFmtId="168" fontId="0" fillId="0" borderId="0" xfId="43" applyNumberFormat="1" applyFont="1" applyFill="1" applyBorder="1"/>
    <xf numFmtId="44" fontId="0" fillId="0" borderId="24" xfId="0" applyNumberFormat="1" applyFill="1" applyBorder="1"/>
    <xf numFmtId="168" fontId="0" fillId="0" borderId="24" xfId="43" applyNumberFormat="1" applyFont="1" applyFill="1" applyBorder="1"/>
    <xf numFmtId="0" fontId="0" fillId="0" borderId="0" xfId="0" applyFill="1" applyBorder="1" applyAlignment="1">
      <alignment horizontal="right"/>
    </xf>
    <xf numFmtId="0" fontId="0" fillId="37" borderId="0" xfId="0" applyFill="1" applyBorder="1"/>
    <xf numFmtId="0" fontId="16" fillId="0" borderId="0" xfId="0" applyFont="1" applyFill="1" applyBorder="1"/>
    <xf numFmtId="0" fontId="26" fillId="0" borderId="0" xfId="0" applyFont="1" applyFill="1"/>
    <xf numFmtId="0" fontId="24" fillId="0" borderId="0" xfId="0" applyFont="1" applyFill="1" applyBorder="1" applyAlignment="1">
      <alignment horizontal="left"/>
    </xf>
    <xf numFmtId="0" fontId="22" fillId="0" borderId="0" xfId="44" applyNumberFormat="1" applyFont="1" applyFill="1" applyProtection="1"/>
    <xf numFmtId="0" fontId="22" fillId="0" borderId="14" xfId="44" applyNumberFormat="1" applyFont="1" applyFill="1" applyBorder="1" applyAlignment="1" applyProtection="1">
      <alignment horizontal="center"/>
    </xf>
    <xf numFmtId="0" fontId="22" fillId="0" borderId="16" xfId="44" applyNumberFormat="1" applyFont="1" applyFill="1" applyBorder="1" applyAlignment="1" applyProtection="1">
      <alignment horizontal="center"/>
    </xf>
    <xf numFmtId="0" fontId="22" fillId="38" borderId="0" xfId="44" applyNumberFormat="1" applyFont="1" applyFill="1" applyProtection="1"/>
    <xf numFmtId="0" fontId="26" fillId="0" borderId="0" xfId="0" applyNumberFormat="1" applyFont="1"/>
    <xf numFmtId="44" fontId="22" fillId="0" borderId="24" xfId="42" applyFont="1" applyFill="1" applyBorder="1" applyProtection="1"/>
    <xf numFmtId="44" fontId="22" fillId="0" borderId="25" xfId="44" applyNumberFormat="1" applyFont="1" applyFill="1" applyBorder="1" applyProtection="1"/>
    <xf numFmtId="0" fontId="23" fillId="0" borderId="0" xfId="44" applyFont="1" applyFill="1" applyBorder="1" applyProtection="1"/>
    <xf numFmtId="0" fontId="26" fillId="0" borderId="0" xfId="0" applyFont="1" applyBorder="1"/>
    <xf numFmtId="44" fontId="22" fillId="0" borderId="0" xfId="44" applyNumberFormat="1" applyFont="1" applyFill="1" applyBorder="1" applyProtection="1"/>
    <xf numFmtId="0" fontId="22" fillId="0" borderId="0" xfId="44" applyFont="1" applyFill="1" applyBorder="1" applyProtection="1"/>
    <xf numFmtId="44" fontId="22" fillId="0" borderId="25" xfId="42" applyFont="1" applyFill="1" applyBorder="1" applyProtection="1"/>
    <xf numFmtId="168" fontId="22" fillId="0" borderId="24" xfId="43" applyNumberFormat="1" applyFont="1" applyFill="1" applyBorder="1" applyProtection="1"/>
    <xf numFmtId="168" fontId="22" fillId="0" borderId="0" xfId="43" applyNumberFormat="1" applyFont="1" applyFill="1" applyProtection="1"/>
    <xf numFmtId="168" fontId="22" fillId="0" borderId="25" xfId="43" applyNumberFormat="1" applyFont="1" applyFill="1" applyBorder="1" applyProtection="1"/>
    <xf numFmtId="0" fontId="26" fillId="0" borderId="0" xfId="0" applyFont="1" applyAlignment="1">
      <alignment horizontal="center"/>
    </xf>
    <xf numFmtId="0" fontId="28" fillId="38" borderId="0" xfId="0" applyFont="1" applyFill="1" applyAlignment="1">
      <alignment horizontal="center"/>
    </xf>
    <xf numFmtId="0" fontId="22" fillId="0" borderId="0" xfId="44" applyFont="1" applyFill="1" applyAlignment="1" applyProtection="1">
      <alignment horizontal="right"/>
    </xf>
    <xf numFmtId="168" fontId="22" fillId="0" borderId="0" xfId="43" applyNumberFormat="1" applyFont="1" applyFill="1" applyBorder="1" applyProtection="1"/>
    <xf numFmtId="17" fontId="0" fillId="0" borderId="0" xfId="0" quotePrefix="1" applyNumberFormat="1"/>
    <xf numFmtId="0" fontId="0" fillId="0" borderId="0" xfId="0" quotePrefix="1"/>
    <xf numFmtId="168" fontId="0" fillId="0" borderId="28" xfId="43" applyNumberFormat="1" applyFont="1" applyBorder="1"/>
    <xf numFmtId="0" fontId="0" fillId="38" borderId="0" xfId="0" applyFill="1"/>
    <xf numFmtId="168" fontId="0" fillId="38" borderId="0" xfId="43" applyNumberFormat="1" applyFont="1" applyFill="1"/>
    <xf numFmtId="0" fontId="16" fillId="38" borderId="0" xfId="0" applyFont="1" applyFill="1"/>
    <xf numFmtId="168" fontId="0" fillId="0" borderId="28" xfId="43" applyNumberFormat="1" applyFont="1" applyBorder="1" applyAlignment="1">
      <alignment horizontal="center"/>
    </xf>
    <xf numFmtId="0" fontId="30" fillId="0" borderId="0" xfId="0" applyFont="1"/>
    <xf numFmtId="44" fontId="0" fillId="0" borderId="31" xfId="0" applyNumberFormat="1" applyBorder="1"/>
    <xf numFmtId="0" fontId="16" fillId="0" borderId="17" xfId="0" applyFont="1" applyFill="1" applyBorder="1" applyAlignment="1">
      <alignment horizontal="center"/>
    </xf>
    <xf numFmtId="0" fontId="16" fillId="0" borderId="18" xfId="0" applyFont="1" applyFill="1" applyBorder="1" applyAlignment="1">
      <alignment horizontal="center"/>
    </xf>
    <xf numFmtId="0" fontId="16" fillId="0" borderId="19" xfId="0" applyFont="1" applyFill="1" applyBorder="1" applyAlignment="1">
      <alignment horizontal="center"/>
    </xf>
    <xf numFmtId="16" fontId="0" fillId="0" borderId="0" xfId="0" quotePrefix="1" applyNumberFormat="1" applyFill="1" applyBorder="1"/>
    <xf numFmtId="0" fontId="0" fillId="0" borderId="0" xfId="0" quotePrefix="1" applyFill="1" applyBorder="1"/>
    <xf numFmtId="0" fontId="16" fillId="35" borderId="17" xfId="0" applyFont="1" applyFill="1" applyBorder="1" applyAlignment="1">
      <alignment horizontal="center"/>
    </xf>
    <xf numFmtId="0" fontId="16" fillId="37" borderId="17" xfId="0" applyFont="1" applyFill="1" applyBorder="1" applyAlignment="1">
      <alignment horizontal="center"/>
    </xf>
    <xf numFmtId="0" fontId="16" fillId="35" borderId="18" xfId="0" applyFont="1" applyFill="1" applyBorder="1" applyAlignment="1">
      <alignment horizontal="center"/>
    </xf>
    <xf numFmtId="0" fontId="16" fillId="37" borderId="18" xfId="0" applyFont="1" applyFill="1" applyBorder="1" applyAlignment="1">
      <alignment horizontal="center"/>
    </xf>
    <xf numFmtId="0" fontId="16" fillId="33" borderId="0" xfId="0" applyFont="1" applyFill="1" applyAlignment="1">
      <alignment horizontal="center"/>
    </xf>
    <xf numFmtId="0" fontId="16" fillId="33" borderId="36" xfId="0" applyFont="1" applyFill="1" applyBorder="1" applyAlignment="1">
      <alignment horizontal="right"/>
    </xf>
    <xf numFmtId="0" fontId="16" fillId="33" borderId="37" xfId="0" applyFont="1" applyFill="1" applyBorder="1" applyAlignment="1">
      <alignment horizontal="right"/>
    </xf>
    <xf numFmtId="0" fontId="16" fillId="33" borderId="38" xfId="0" applyFont="1" applyFill="1" applyBorder="1" applyAlignment="1">
      <alignment horizontal="right"/>
    </xf>
    <xf numFmtId="0" fontId="16" fillId="33" borderId="19" xfId="0" applyFont="1" applyFill="1" applyBorder="1" applyAlignment="1">
      <alignment horizontal="center"/>
    </xf>
    <xf numFmtId="1" fontId="0" fillId="0" borderId="0" xfId="0" applyNumberFormat="1" applyFill="1"/>
    <xf numFmtId="1" fontId="0" fillId="0" borderId="0" xfId="0" applyNumberFormat="1" applyFill="1" applyBorder="1"/>
    <xf numFmtId="44" fontId="0" fillId="0" borderId="39" xfId="0" applyNumberFormat="1" applyFill="1" applyBorder="1"/>
    <xf numFmtId="0" fontId="0" fillId="0" borderId="40" xfId="0" applyFill="1" applyBorder="1"/>
    <xf numFmtId="44" fontId="0" fillId="0" borderId="41" xfId="0" applyNumberFormat="1" applyFill="1" applyBorder="1"/>
    <xf numFmtId="44" fontId="0" fillId="0" borderId="42" xfId="0" applyNumberFormat="1" applyFill="1" applyBorder="1"/>
    <xf numFmtId="0" fontId="0" fillId="0" borderId="31" xfId="0" applyFill="1" applyBorder="1"/>
    <xf numFmtId="44" fontId="0" fillId="0" borderId="43" xfId="0" applyNumberFormat="1" applyFill="1" applyBorder="1"/>
    <xf numFmtId="44" fontId="0" fillId="0" borderId="44" xfId="0" applyNumberFormat="1" applyFill="1" applyBorder="1"/>
    <xf numFmtId="0" fontId="0" fillId="0" borderId="45" xfId="0" applyFill="1" applyBorder="1"/>
    <xf numFmtId="44" fontId="0" fillId="0" borderId="46" xfId="0" applyNumberFormat="1" applyFill="1" applyBorder="1"/>
    <xf numFmtId="44" fontId="22" fillId="0" borderId="0" xfId="44" applyNumberFormat="1" applyFont="1" applyFill="1" applyAlignment="1" applyProtection="1">
      <alignment horizontal="center"/>
    </xf>
    <xf numFmtId="168" fontId="22" fillId="0" borderId="0" xfId="43" applyNumberFormat="1" applyFont="1" applyFill="1" applyAlignment="1" applyProtection="1">
      <alignment horizontal="center"/>
    </xf>
    <xf numFmtId="43" fontId="22" fillId="38" borderId="0" xfId="44" applyNumberFormat="1" applyFont="1" applyFill="1" applyProtection="1"/>
    <xf numFmtId="44" fontId="22" fillId="0" borderId="18" xfId="44" applyNumberFormat="1" applyFont="1" applyFill="1" applyBorder="1" applyAlignment="1" applyProtection="1">
      <alignment horizontal="center"/>
    </xf>
    <xf numFmtId="44" fontId="22" fillId="0" borderId="19" xfId="44" applyNumberFormat="1" applyFont="1" applyFill="1" applyBorder="1" applyAlignment="1" applyProtection="1">
      <alignment horizontal="center"/>
    </xf>
    <xf numFmtId="44" fontId="25" fillId="0" borderId="0" xfId="44" applyNumberFormat="1" applyFont="1" applyFill="1" applyProtection="1"/>
    <xf numFmtId="44" fontId="25" fillId="0" borderId="0" xfId="44" applyNumberFormat="1" applyFont="1" applyFill="1" applyAlignment="1" applyProtection="1">
      <alignment horizontal="right"/>
    </xf>
    <xf numFmtId="44" fontId="22" fillId="0" borderId="13" xfId="44" applyNumberFormat="1" applyFont="1" applyFill="1" applyBorder="1" applyAlignment="1" applyProtection="1">
      <alignment horizontal="center"/>
    </xf>
    <xf numFmtId="44" fontId="22" fillId="0" borderId="15" xfId="44" applyNumberFormat="1" applyFont="1" applyFill="1" applyBorder="1" applyAlignment="1" applyProtection="1">
      <alignment horizontal="center"/>
    </xf>
    <xf numFmtId="0" fontId="26" fillId="0" borderId="12" xfId="0" applyFont="1" applyBorder="1" applyAlignment="1">
      <alignment horizontal="center"/>
    </xf>
    <xf numFmtId="44" fontId="22" fillId="0" borderId="18" xfId="44" applyNumberFormat="1" applyFont="1" applyFill="1" applyBorder="1" applyProtection="1"/>
    <xf numFmtId="44" fontId="22" fillId="38" borderId="18" xfId="44" applyNumberFormat="1" applyFont="1" applyFill="1" applyBorder="1" applyProtection="1"/>
    <xf numFmtId="168" fontId="22" fillId="0" borderId="18" xfId="43" applyNumberFormat="1" applyFont="1" applyFill="1" applyBorder="1" applyProtection="1"/>
    <xf numFmtId="168" fontId="22" fillId="0" borderId="47" xfId="43" applyNumberFormat="1" applyFont="1" applyFill="1" applyBorder="1" applyProtection="1"/>
    <xf numFmtId="168" fontId="22" fillId="0" borderId="48" xfId="43" applyNumberFormat="1" applyFont="1" applyFill="1" applyBorder="1" applyProtection="1"/>
    <xf numFmtId="0" fontId="26" fillId="0" borderId="18" xfId="0" applyFont="1" applyBorder="1"/>
    <xf numFmtId="168" fontId="22" fillId="0" borderId="49" xfId="43" applyNumberFormat="1" applyFont="1" applyFill="1" applyBorder="1" applyProtection="1"/>
    <xf numFmtId="0" fontId="26" fillId="39" borderId="17" xfId="0" applyFont="1" applyFill="1" applyBorder="1" applyAlignment="1">
      <alignment horizontal="center"/>
    </xf>
    <xf numFmtId="44" fontId="22" fillId="39" borderId="18" xfId="44" applyNumberFormat="1" applyFont="1" applyFill="1" applyBorder="1" applyAlignment="1" applyProtection="1">
      <alignment horizontal="center"/>
    </xf>
    <xf numFmtId="44" fontId="22" fillId="39" borderId="19" xfId="44" applyNumberFormat="1" applyFont="1" applyFill="1" applyBorder="1" applyAlignment="1" applyProtection="1">
      <alignment horizontal="center"/>
    </xf>
    <xf numFmtId="0" fontId="26" fillId="38" borderId="12" xfId="0" applyFont="1" applyFill="1" applyBorder="1" applyAlignment="1">
      <alignment horizontal="center"/>
    </xf>
    <xf numFmtId="44" fontId="22" fillId="38" borderId="14" xfId="44" applyNumberFormat="1" applyFont="1" applyFill="1" applyBorder="1" applyAlignment="1" applyProtection="1">
      <alignment horizontal="center"/>
    </xf>
    <xf numFmtId="44" fontId="22" fillId="38" borderId="16" xfId="44" applyNumberFormat="1" applyFont="1" applyFill="1" applyBorder="1" applyAlignment="1" applyProtection="1">
      <alignment horizontal="center"/>
    </xf>
    <xf numFmtId="168" fontId="22" fillId="38" borderId="0" xfId="43" applyNumberFormat="1" applyFont="1" applyFill="1" applyProtection="1"/>
    <xf numFmtId="168" fontId="22" fillId="38" borderId="25" xfId="43" applyNumberFormat="1" applyFont="1" applyFill="1" applyBorder="1" applyProtection="1"/>
    <xf numFmtId="168" fontId="22" fillId="38" borderId="24" xfId="43" applyNumberFormat="1" applyFont="1" applyFill="1" applyBorder="1" applyProtection="1"/>
    <xf numFmtId="44" fontId="31" fillId="0" borderId="18" xfId="44" applyNumberFormat="1" applyFont="1" applyFill="1" applyBorder="1" applyAlignment="1" applyProtection="1">
      <alignment horizontal="right"/>
    </xf>
    <xf numFmtId="44" fontId="22" fillId="0" borderId="0" xfId="44" applyNumberFormat="1" applyFont="1" applyFill="1" applyBorder="1" applyAlignment="1" applyProtection="1">
      <alignment horizontal="center"/>
    </xf>
    <xf numFmtId="44" fontId="22" fillId="0" borderId="23" xfId="44" applyNumberFormat="1" applyFont="1" applyFill="1" applyBorder="1" applyAlignment="1" applyProtection="1">
      <alignment horizontal="center"/>
    </xf>
    <xf numFmtId="44" fontId="22" fillId="0" borderId="12" xfId="44" applyNumberFormat="1" applyFont="1" applyFill="1" applyBorder="1" applyAlignment="1" applyProtection="1">
      <alignment horizontal="center"/>
    </xf>
    <xf numFmtId="44" fontId="23" fillId="0" borderId="0" xfId="42" applyFont="1" applyFill="1" applyAlignment="1" applyProtection="1"/>
    <xf numFmtId="44" fontId="22" fillId="0" borderId="11" xfId="42" applyFont="1" applyFill="1" applyBorder="1" applyAlignment="1" applyProtection="1">
      <alignment horizontal="center"/>
    </xf>
    <xf numFmtId="44" fontId="22" fillId="0" borderId="15" xfId="42" applyFont="1" applyFill="1" applyBorder="1" applyAlignment="1" applyProtection="1">
      <alignment horizontal="center"/>
    </xf>
    <xf numFmtId="44" fontId="22" fillId="0" borderId="0" xfId="42" applyFont="1" applyFill="1" applyAlignment="1" applyProtection="1">
      <alignment horizontal="center"/>
    </xf>
    <xf numFmtId="44" fontId="22" fillId="38" borderId="0" xfId="42" applyFont="1" applyFill="1" applyAlignment="1" applyProtection="1">
      <alignment horizontal="center"/>
    </xf>
    <xf numFmtId="44" fontId="22" fillId="0" borderId="0" xfId="42" applyFont="1" applyFill="1" applyProtection="1"/>
    <xf numFmtId="44" fontId="26" fillId="0" borderId="0" xfId="42" applyFont="1"/>
    <xf numFmtId="44" fontId="25" fillId="0" borderId="0" xfId="44" applyNumberFormat="1" applyFont="1" applyFill="1" applyAlignment="1" applyProtection="1">
      <alignment horizontal="center"/>
    </xf>
    <xf numFmtId="0" fontId="29" fillId="0" borderId="0" xfId="44" applyFont="1" applyFill="1" applyAlignment="1" applyProtection="1">
      <alignment horizontal="center"/>
    </xf>
    <xf numFmtId="0" fontId="32" fillId="0" borderId="0" xfId="0" applyFont="1" applyAlignment="1">
      <alignment horizontal="center"/>
    </xf>
    <xf numFmtId="0" fontId="0" fillId="0" borderId="17" xfId="0" applyFill="1" applyBorder="1"/>
    <xf numFmtId="0" fontId="0" fillId="0" borderId="19" xfId="0" applyFill="1" applyBorder="1"/>
    <xf numFmtId="168" fontId="0" fillId="0" borderId="25" xfId="43" applyNumberFormat="1" applyFont="1" applyBorder="1"/>
    <xf numFmtId="43" fontId="0" fillId="0" borderId="0" xfId="0" applyNumberFormat="1" applyFill="1" applyBorder="1"/>
    <xf numFmtId="169" fontId="26" fillId="0" borderId="0" xfId="47" applyNumberFormat="1" applyFont="1"/>
    <xf numFmtId="0" fontId="28" fillId="0" borderId="0" xfId="0" applyFont="1" applyBorder="1" applyAlignment="1"/>
    <xf numFmtId="0" fontId="23" fillId="0" borderId="0" xfId="44" applyFont="1" applyFill="1" applyBorder="1" applyAlignment="1" applyProtection="1"/>
    <xf numFmtId="0" fontId="0" fillId="0" borderId="0" xfId="0" applyAlignment="1">
      <alignment wrapText="1"/>
    </xf>
    <xf numFmtId="44" fontId="22" fillId="39" borderId="0" xfId="44" applyNumberFormat="1" applyFont="1" applyFill="1" applyAlignment="1" applyProtection="1">
      <alignment horizontal="center"/>
    </xf>
    <xf numFmtId="168" fontId="22" fillId="39" borderId="0" xfId="43" applyNumberFormat="1" applyFont="1" applyFill="1" applyAlignment="1" applyProtection="1">
      <alignment horizontal="center"/>
    </xf>
    <xf numFmtId="44" fontId="22" fillId="39" borderId="0" xfId="42" applyFont="1" applyFill="1" applyAlignment="1" applyProtection="1">
      <alignment horizontal="center"/>
    </xf>
    <xf numFmtId="168" fontId="22" fillId="39" borderId="0" xfId="43" applyNumberFormat="1" applyFont="1" applyFill="1" applyProtection="1"/>
    <xf numFmtId="0" fontId="26" fillId="0" borderId="0" xfId="0" quotePrefix="1" applyFont="1"/>
    <xf numFmtId="0" fontId="22" fillId="0" borderId="0" xfId="44" applyFont="1" applyFill="1" applyAlignment="1" applyProtection="1">
      <alignment wrapText="1"/>
    </xf>
    <xf numFmtId="0" fontId="26" fillId="0" borderId="28" xfId="0" applyFont="1" applyFill="1" applyBorder="1" applyAlignment="1">
      <alignment horizontal="center" wrapText="1"/>
    </xf>
    <xf numFmtId="0" fontId="26" fillId="0" borderId="28" xfId="0" applyFont="1" applyFill="1" applyBorder="1" applyAlignment="1">
      <alignment horizontal="center" vertical="center" wrapText="1"/>
    </xf>
    <xf numFmtId="0" fontId="0" fillId="37" borderId="0" xfId="42" applyNumberFormat="1" applyFont="1" applyFill="1" applyBorder="1"/>
    <xf numFmtId="44" fontId="26" fillId="0" borderId="0" xfId="0" applyNumberFormat="1" applyFont="1"/>
    <xf numFmtId="168" fontId="0" fillId="38" borderId="0" xfId="43" applyNumberFormat="1" applyFont="1" applyFill="1" applyAlignment="1">
      <alignment horizontal="center"/>
    </xf>
    <xf numFmtId="168" fontId="0" fillId="0" borderId="0" xfId="43" applyNumberFormat="1" applyFont="1" applyAlignment="1">
      <alignment horizontal="center"/>
    </xf>
    <xf numFmtId="44" fontId="26" fillId="0" borderId="24" xfId="0" applyNumberFormat="1" applyFont="1" applyBorder="1"/>
    <xf numFmtId="168" fontId="0" fillId="0" borderId="0" xfId="43" applyNumberFormat="1" applyFont="1" applyFill="1"/>
    <xf numFmtId="0" fontId="26" fillId="0" borderId="0" xfId="0" applyFont="1" applyBorder="1" applyAlignment="1">
      <alignment horizontal="center"/>
    </xf>
    <xf numFmtId="44" fontId="26" fillId="0" borderId="0" xfId="0" applyNumberFormat="1" applyFont="1" applyBorder="1"/>
    <xf numFmtId="0" fontId="26" fillId="0" borderId="50" xfId="0" applyFont="1" applyBorder="1" applyAlignment="1">
      <alignment horizontal="center"/>
    </xf>
    <xf numFmtId="0" fontId="33" fillId="0" borderId="0" xfId="0" applyFont="1" applyFill="1"/>
    <xf numFmtId="168" fontId="0" fillId="0" borderId="0" xfId="0" applyNumberFormat="1"/>
    <xf numFmtId="168" fontId="16" fillId="0" borderId="0" xfId="43" applyNumberFormat="1" applyFont="1"/>
    <xf numFmtId="168" fontId="26" fillId="0" borderId="0" xfId="0" applyNumberFormat="1" applyFont="1"/>
    <xf numFmtId="168" fontId="26" fillId="0" borderId="0" xfId="43" applyNumberFormat="1" applyFont="1"/>
    <xf numFmtId="168" fontId="26" fillId="0" borderId="24" xfId="43" applyNumberFormat="1" applyFont="1" applyBorder="1"/>
    <xf numFmtId="168" fontId="16" fillId="0" borderId="24" xfId="43" applyNumberFormat="1" applyFont="1" applyBorder="1"/>
    <xf numFmtId="168" fontId="0" fillId="0" borderId="29" xfId="43" applyNumberFormat="1" applyFont="1" applyBorder="1" applyAlignment="1">
      <alignment horizontal="center"/>
    </xf>
    <xf numFmtId="168" fontId="0" fillId="0" borderId="30" xfId="43" applyNumberFormat="1" applyFont="1" applyBorder="1" applyAlignment="1">
      <alignment horizontal="center"/>
    </xf>
    <xf numFmtId="0" fontId="0" fillId="0" borderId="0" xfId="0" applyAlignment="1">
      <alignment horizontal="left" wrapText="1"/>
    </xf>
    <xf numFmtId="0" fontId="0" fillId="0" borderId="0" xfId="0" applyAlignment="1">
      <alignment wrapText="1"/>
    </xf>
    <xf numFmtId="0" fontId="28" fillId="0" borderId="0" xfId="0" applyFont="1" applyBorder="1" applyAlignment="1">
      <alignment horizontal="center"/>
    </xf>
    <xf numFmtId="0" fontId="23" fillId="38" borderId="23" xfId="44" applyFont="1" applyFill="1" applyBorder="1" applyAlignment="1" applyProtection="1">
      <alignment horizontal="center"/>
    </xf>
    <xf numFmtId="0" fontId="29" fillId="0" borderId="17" xfId="44" applyFont="1" applyFill="1" applyBorder="1" applyAlignment="1" applyProtection="1">
      <alignment horizontal="center" wrapText="1"/>
    </xf>
    <xf numFmtId="0" fontId="29" fillId="0" borderId="18" xfId="44" applyFont="1" applyFill="1" applyBorder="1" applyAlignment="1" applyProtection="1">
      <alignment horizontal="center"/>
    </xf>
    <xf numFmtId="0" fontId="29" fillId="0" borderId="19" xfId="44" applyFont="1" applyFill="1" applyBorder="1" applyAlignment="1" applyProtection="1">
      <alignment horizontal="center"/>
    </xf>
    <xf numFmtId="0" fontId="22" fillId="0" borderId="11" xfId="44" applyFont="1" applyFill="1" applyBorder="1" applyAlignment="1" applyProtection="1">
      <alignment horizontal="center" vertical="center"/>
    </xf>
    <xf numFmtId="0" fontId="22" fillId="0" borderId="12" xfId="44" applyFont="1" applyFill="1" applyBorder="1" applyAlignment="1" applyProtection="1">
      <alignment horizontal="center" vertical="center"/>
    </xf>
    <xf numFmtId="0" fontId="22" fillId="0" borderId="13" xfId="44" applyFont="1" applyFill="1" applyBorder="1" applyAlignment="1" applyProtection="1">
      <alignment horizontal="center" vertical="center"/>
    </xf>
    <xf numFmtId="0" fontId="22" fillId="0" borderId="14" xfId="44" applyFont="1" applyFill="1" applyBorder="1" applyAlignment="1" applyProtection="1">
      <alignment horizontal="center" vertical="center"/>
    </xf>
    <xf numFmtId="0" fontId="22" fillId="0" borderId="15" xfId="44" applyFont="1" applyFill="1" applyBorder="1" applyAlignment="1" applyProtection="1">
      <alignment horizontal="center" vertical="center"/>
    </xf>
    <xf numFmtId="0" fontId="22" fillId="0" borderId="16" xfId="44" applyFont="1" applyFill="1" applyBorder="1" applyAlignment="1" applyProtection="1">
      <alignment horizontal="center" vertical="center"/>
    </xf>
    <xf numFmtId="0" fontId="0" fillId="0" borderId="0" xfId="0" applyFill="1" applyAlignment="1">
      <alignment horizontal="left" wrapText="1"/>
    </xf>
    <xf numFmtId="0" fontId="33" fillId="0" borderId="0" xfId="0" applyFont="1" applyFill="1" applyAlignment="1">
      <alignment horizontal="left" wrapText="1"/>
    </xf>
    <xf numFmtId="17" fontId="22" fillId="0" borderId="20" xfId="44" quotePrefix="1" applyNumberFormat="1" applyFont="1" applyFill="1" applyBorder="1" applyAlignment="1" applyProtection="1">
      <alignment horizontal="center"/>
    </xf>
    <xf numFmtId="17" fontId="22" fillId="0" borderId="21" xfId="44" quotePrefix="1" applyNumberFormat="1" applyFont="1" applyFill="1" applyBorder="1" applyAlignment="1" applyProtection="1">
      <alignment horizontal="center"/>
    </xf>
    <xf numFmtId="0" fontId="23" fillId="0" borderId="0" xfId="44" applyFont="1" applyFill="1" applyAlignment="1" applyProtection="1">
      <alignment horizontal="center" wrapText="1"/>
    </xf>
    <xf numFmtId="0" fontId="0" fillId="0" borderId="23" xfId="0" applyBorder="1"/>
    <xf numFmtId="0" fontId="22" fillId="0" borderId="26" xfId="44" applyFont="1" applyFill="1" applyBorder="1" applyAlignment="1" applyProtection="1">
      <alignment horizontal="center"/>
    </xf>
    <xf numFmtId="0" fontId="22" fillId="0" borderId="27" xfId="44" applyFont="1" applyFill="1" applyBorder="1" applyAlignment="1" applyProtection="1">
      <alignment horizontal="center"/>
    </xf>
    <xf numFmtId="0" fontId="22" fillId="0" borderId="21" xfId="44" applyFont="1" applyFill="1" applyBorder="1" applyAlignment="1" applyProtection="1">
      <alignment horizontal="center"/>
    </xf>
    <xf numFmtId="0" fontId="22" fillId="0" borderId="20" xfId="44" quotePrefix="1" applyFont="1" applyFill="1" applyBorder="1" applyAlignment="1" applyProtection="1">
      <alignment horizontal="center"/>
    </xf>
    <xf numFmtId="44" fontId="22" fillId="0" borderId="20" xfId="44" quotePrefix="1" applyNumberFormat="1" applyFont="1" applyFill="1" applyBorder="1" applyAlignment="1" applyProtection="1">
      <alignment horizontal="center"/>
    </xf>
    <xf numFmtId="44" fontId="22" fillId="0" borderId="21" xfId="44" applyNumberFormat="1" applyFont="1" applyFill="1" applyBorder="1" applyAlignment="1" applyProtection="1">
      <alignment horizontal="center"/>
    </xf>
    <xf numFmtId="17" fontId="22" fillId="0" borderId="20" xfId="44" applyNumberFormat="1" applyFont="1" applyFill="1" applyBorder="1" applyAlignment="1" applyProtection="1">
      <alignment horizontal="center"/>
    </xf>
    <xf numFmtId="0" fontId="22" fillId="0" borderId="20" xfId="44" applyFont="1" applyFill="1" applyBorder="1" applyAlignment="1" applyProtection="1">
      <alignment horizontal="center"/>
    </xf>
    <xf numFmtId="0" fontId="22" fillId="0" borderId="22" xfId="44" applyFont="1" applyFill="1" applyBorder="1" applyAlignment="1" applyProtection="1">
      <alignment horizontal="center"/>
    </xf>
    <xf numFmtId="0" fontId="22" fillId="0" borderId="32" xfId="44" applyFont="1" applyFill="1" applyBorder="1" applyAlignment="1" applyProtection="1">
      <alignment horizontal="center"/>
    </xf>
    <xf numFmtId="0" fontId="16" fillId="37" borderId="11" xfId="0" applyFont="1" applyFill="1" applyBorder="1" applyAlignment="1">
      <alignment horizontal="center"/>
    </xf>
    <xf numFmtId="0" fontId="16" fillId="37" borderId="32" xfId="0" applyFont="1" applyFill="1" applyBorder="1" applyAlignment="1">
      <alignment horizontal="center"/>
    </xf>
    <xf numFmtId="0" fontId="16" fillId="37" borderId="12" xfId="0" applyFont="1" applyFill="1" applyBorder="1" applyAlignment="1">
      <alignment horizontal="center"/>
    </xf>
    <xf numFmtId="0" fontId="16" fillId="37" borderId="15" xfId="0" applyFont="1" applyFill="1" applyBorder="1" applyAlignment="1">
      <alignment horizontal="center"/>
    </xf>
    <xf numFmtId="0" fontId="16" fillId="37" borderId="23" xfId="0" applyFont="1" applyFill="1" applyBorder="1" applyAlignment="1">
      <alignment horizontal="center"/>
    </xf>
    <xf numFmtId="0" fontId="16" fillId="37" borderId="16" xfId="0" applyFont="1"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46"/>
    <cellStyle name="Normal 2" xfId="44"/>
    <cellStyle name="Normal 2 2" xfId="45"/>
    <cellStyle name="Note" xfId="15" builtinId="10" customBuiltin="1"/>
    <cellStyle name="Output" xfId="10" builtinId="21" customBuiltin="1"/>
    <cellStyle name="Percent" xfId="47" builtinId="5"/>
    <cellStyle name="Title" xfId="1" builtinId="15" customBuiltin="1"/>
    <cellStyle name="Total" xfId="17" builtinId="25" customBuiltin="1"/>
    <cellStyle name="Warning Text" xfId="14" builtinId="11" customBuiltin="1"/>
  </cellStyles>
  <dxfs count="708">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dxf>
    <dxf>
      <font>
        <b/>
        <i/>
        <strike val="0"/>
        <condense val="0"/>
        <extend val="0"/>
        <outline val="0"/>
        <shadow val="0"/>
        <u val="none"/>
        <vertAlign val="baseline"/>
        <sz val="11"/>
        <color theme="1"/>
        <name val="Calibri"/>
        <scheme val="minor"/>
      </font>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dxf>
    <dxf>
      <font>
        <b/>
        <i/>
        <strike val="0"/>
        <condense val="0"/>
        <extend val="0"/>
        <outline val="0"/>
        <shadow val="0"/>
        <u val="none"/>
        <vertAlign val="baseline"/>
        <sz val="11"/>
        <color theme="1"/>
        <name val="Calibri"/>
        <scheme val="minor"/>
      </font>
      <fill>
        <patternFill patternType="solid">
          <fgColor indexed="64"/>
          <bgColor theme="0" tint="-0.1499984740745262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auto="1"/>
        </patternFill>
      </fill>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auto="1"/>
        </patternFill>
      </fill>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dxf>
    <dxf>
      <fill>
        <patternFill patternType="none">
          <fgColor rgb="FF000000"/>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rgb="FFFF0000"/>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solid">
          <fgColor indexed="64"/>
          <bgColor rgb="FFFF0000"/>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fill>
        <patternFill patternType="none">
          <fgColor indexed="64"/>
          <bgColor auto="1"/>
        </patternFill>
      </fill>
    </dxf>
    <dxf>
      <fill>
        <patternFill patternType="none">
          <fgColor rgb="FF000000"/>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solid">
          <fgColor indexed="64"/>
          <bgColor rgb="FFFF0000"/>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solid">
          <fgColor indexed="64"/>
          <bgColor rgb="FFFF0000"/>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fill>
        <patternFill patternType="none">
          <fgColor indexed="64"/>
          <bgColor auto="1"/>
        </patternFill>
      </fill>
    </dxf>
    <dxf>
      <fill>
        <patternFill patternType="none">
          <fgColor rgb="FF000000"/>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solid">
          <fgColor indexed="64"/>
          <bgColor rgb="FFFF0000"/>
        </patternFill>
      </fill>
      <alignment horizontal="center" vertical="bottom" textRotation="0" wrapText="0" indent="0" relativeIndent="0" justifyLastLine="0" shrinkToFit="0" readingOrder="0"/>
      <border diagonalUp="0" diagonalDown="0" outline="0">
        <left/>
        <right/>
        <top/>
        <bottom/>
      </border>
    </dxf>
    <dxf>
      <numFmt numFmtId="0" formatCode="General"/>
      <fill>
        <patternFill patternType="solid">
          <fgColor indexed="64"/>
          <bgColor rgb="FFFF0000"/>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solid">
          <fgColor indexed="64"/>
          <bgColor rgb="FFFF0000"/>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0" justifyLastLine="0" shrinkToFit="0" readingOrder="0"/>
      <border diagonalUp="0" diagonalDown="0" outline="0">
        <left/>
        <right/>
        <top/>
        <bottom/>
      </border>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fill>
        <patternFill patternType="none">
          <fgColor indexed="64"/>
          <bgColor auto="1"/>
        </patternFill>
      </fill>
    </dxf>
    <dxf>
      <fill>
        <patternFill patternType="none">
          <fgColor rgb="FF000000"/>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font>
      <fill>
        <patternFill patternType="solid">
          <fgColor indexed="64"/>
          <bgColor theme="0" tint="-0.249977111117893"/>
        </patternFill>
      </fill>
    </dxf>
    <dxf>
      <fill>
        <patternFill patternType="none">
          <fgColor indexed="64"/>
          <bgColor indexed="65"/>
        </patternFill>
      </fill>
    </dxf>
    <dxf>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numFmt numFmtId="34" formatCode="_(&quot;$&quot;* #,##0.00_);_(&quot;$&quot;* \(#,##0.00\);_(&quot;$&quot;* &quot;-&quot;??_);_(@_)"/>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border diagonalUp="0" diagonalDown="0" outline="0">
        <left/>
        <right/>
        <top/>
        <bottom/>
      </border>
    </dxf>
    <dxf>
      <numFmt numFmtId="34" formatCode="_(&quot;$&quot;* #,##0.00_);_(&quot;$&quot;* \(#,##0.00\);_(&quot;$&quot;* &quot;-&quot;??_);_(@_)"/>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relativeIndent="255" justifyLastLine="0" shrinkToFit="0" readingOrder="0"/>
      <border diagonalUp="0" diagonalDown="0" outline="0">
        <left/>
        <right/>
        <top/>
        <bottom/>
      </border>
    </dxf>
    <dxf>
      <fill>
        <patternFill patternType="none">
          <fgColor indexed="64"/>
          <bgColor auto="1"/>
        </patternFill>
      </fill>
      <alignment horizontal="right"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indexed="65"/>
        </patternFill>
      </fill>
      <alignment horizontal="center" vertical="bottom" textRotation="0" wrapText="0" indent="0" relativeIndent="255" justifyLastLine="0" shrinkToFit="0" readingOrder="0"/>
    </dxf>
    <dxf>
      <fill>
        <patternFill patternType="none">
          <fgColor indexed="64"/>
          <bgColor auto="1"/>
        </patternFill>
      </fill>
      <alignment horizontal="center" vertical="bottom" textRotation="0" wrapText="0" indent="0" relativeIndent="255" justifyLastLine="0" shrinkToFit="0" readingOrder="0"/>
    </dxf>
    <dxf>
      <fill>
        <patternFill patternType="none">
          <fgColor indexed="64"/>
          <bgColor indexed="65"/>
        </patternFill>
      </fill>
    </dxf>
    <dxf>
      <fill>
        <patternFill patternType="none">
          <fgColor indexed="64"/>
          <bgColor auto="1"/>
        </patternFill>
      </fill>
    </dxf>
    <dxf>
      <fill>
        <patternFill patternType="none">
          <fgColor rgb="FF000000"/>
          <bgColor auto="1"/>
        </patternFill>
      </fill>
    </dxf>
    <dxf>
      <font>
        <b/>
      </font>
      <fill>
        <patternFill patternType="solid">
          <fgColor indexed="64"/>
          <bgColor theme="0" tint="-0.24997711111789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781050</xdr:colOff>
      <xdr:row>158</xdr:row>
      <xdr:rowOff>85725</xdr:rowOff>
    </xdr:from>
    <xdr:to>
      <xdr:col>9</xdr:col>
      <xdr:colOff>485775</xdr:colOff>
      <xdr:row>166</xdr:row>
      <xdr:rowOff>28575</xdr:rowOff>
    </xdr:to>
    <xdr:sp macro="" textlink="">
      <xdr:nvSpPr>
        <xdr:cNvPr id="2" name="TextBox 1"/>
        <xdr:cNvSpPr txBox="1"/>
      </xdr:nvSpPr>
      <xdr:spPr>
        <a:xfrm>
          <a:off x="4438650" y="30689550"/>
          <a:ext cx="4076700"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a:t>
          </a:r>
          <a:r>
            <a:rPr lang="en-US" sz="1100" baseline="0"/>
            <a:t> meter read on March 30, 2012 includes usage for January, February and March, a catch up billing cycle for winter months.  To ascertain the monthly base and tiered usage, the January, February and March usage total was recast by dividing the total meter read by three, rounding up to the nearest 1,000 gallons, then recalculating the base and tiered water usage.  The results approximate the actual adjusted bills sent to the customers, see comparison at left.</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illing%20-%20mar%202012%20-%20Winter%20Usag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customers"/>
      <sheetName val="billing - mar 2012 - Winter Usa"/>
    </sheetNames>
    <sheetDataSet>
      <sheetData sheetId="0"/>
      <sheetData sheetId="1" refreshError="1"/>
    </sheetDataSet>
  </externalBook>
</externalLink>
</file>

<file path=xl/tables/table1.xml><?xml version="1.0" encoding="utf-8"?>
<table xmlns="http://schemas.openxmlformats.org/spreadsheetml/2006/main" id="23" name="Table21924" displayName="Table21924" ref="A10:O136" headerRowDxfId="707" dataDxfId="706" headerRowCellStyle="Normal" dataCellStyle="Normal">
  <tableColumns count="15">
    <tableColumn id="1" name="Customer" dataDxfId="705" totalsRowDxfId="704" dataCellStyle="Normal"/>
    <tableColumn id="2" name="Standby" dataDxfId="703" totalsRowDxfId="702" dataCellStyle="Normal"/>
    <tableColumn id="3" name="August" dataDxfId="701" dataCellStyle="Normal"/>
    <tableColumn id="4" name="September" dataDxfId="700" dataCellStyle="Normal"/>
    <tableColumn id="13" name="New Meter?" dataDxfId="699" totalsRowDxfId="698" dataCellStyle="Normal"/>
    <tableColumn id="5" name="Usage" dataDxfId="697" totalsRowDxfId="696" dataCellStyle="Normal">
      <calculatedColumnFormula>($D11-$C11)+$E11</calculatedColumnFormula>
    </tableColumn>
    <tableColumn id="6" name="Base Rate " dataDxfId="695" totalsRowDxfId="694" dataCellStyle="Currency">
      <calculatedColumnFormula>IF(OR($F11&gt;0,$B11=""),40.09,11.79)</calculatedColumnFormula>
    </tableColumn>
    <tableColumn id="7" name="Tier1" dataDxfId="693" totalsRowDxfId="692" dataCellStyle="Currency">
      <calculatedColumnFormula>IF(AND((($F11-10000)&gt;0),(($F11-10000)&lt; 10000)),($F11-10000)/1000*2.18,IF(($F11-10000)&gt;10000,2.18*10,0))</calculatedColumnFormula>
    </tableColumn>
    <tableColumn id="8" name="Tier2" dataDxfId="691" totalsRowDxfId="690" dataCellStyle="Currency">
      <calculatedColumnFormula>IF(AND((($F11-20000)&gt;0),(($F11-20000)&lt;10000)),($F11-20000)/1000*2.53,IF(($F11-20000)&gt;10000,2.53*10,0))</calculatedColumnFormula>
    </tableColumn>
    <tableColumn id="9" name="Tier3" dataDxfId="689" totalsRowDxfId="688" dataCellStyle="Currency">
      <calculatedColumnFormula>IF(AND((($F11-30000)&gt;=0),(($F11-30000)&lt;=10000)),($F11-30000)/1000*2.95,IF(($F11-30000)&gt;=10000,2.95*10,0))</calculatedColumnFormula>
    </tableColumn>
    <tableColumn id="10" name="Tier4" dataDxfId="687" totalsRowDxfId="686" dataCellStyle="Currency">
      <calculatedColumnFormula>IF((($F11-40000)&gt;=0),($F11-40000)/1000*3.42,0)</calculatedColumnFormula>
    </tableColumn>
    <tableColumn id="15" name="Water Chrg" dataDxfId="685" totalsRowDxfId="684" dataCellStyle="Currency">
      <calculatedColumnFormula>SUM(G11:K11)</calculatedColumnFormula>
    </tableColumn>
    <tableColumn id="11" name="2nd Source" dataDxfId="683" totalsRowDxfId="682" dataCellStyle="Currency">
      <calculatedColumnFormula>IF(   $H$5=1,    IF((F11-$H$6)&gt;0,((F11)/$P$6)*$E$8,0),   IF(F11&gt;0,(F11/$P$4)*$E$8,0)    )</calculatedColumnFormula>
    </tableColumn>
    <tableColumn id="12" name="Total Due" dataDxfId="681" totalsRowDxfId="680" dataCellStyle="Currency">
      <calculatedColumnFormula>SUM(L11:M11)</calculatedColumnFormula>
    </tableColumn>
    <tableColumn id="14" name="Notes" dataDxfId="679" totalsRowDxfId="678" dataCellStyle="Normal"/>
  </tableColumns>
  <tableStyleInfo name="TableStyleLight1" showFirstColumn="0" showLastColumn="0" showRowStripes="1" showColumnStripes="0"/>
</table>
</file>

<file path=xl/tables/table10.xml><?xml version="1.0" encoding="utf-8"?>
<table xmlns="http://schemas.openxmlformats.org/spreadsheetml/2006/main" id="22" name="Table21623" displayName="Table21623" ref="A10:O137" totalsRowCount="1" headerRowDxfId="437" dataDxfId="436" headerRowCellStyle="Normal" dataCellStyle="Normal">
  <tableColumns count="15">
    <tableColumn id="1" name="Customer" dataDxfId="435" totalsRowDxfId="434" dataCellStyle="Normal"/>
    <tableColumn id="2" name="Standby" dataDxfId="433" totalsRowDxfId="432" dataCellStyle="Normal"/>
    <tableColumn id="3" name="December" totalsRowFunction="custom" dataDxfId="431" totalsRowDxfId="430" dataCellStyle="Normal">
      <totalsRowFormula>SUM(Table24[December])</totalsRowFormula>
    </tableColumn>
    <tableColumn id="4" name="March" dataDxfId="429" totalsRowDxfId="428" dataCellStyle="Normal"/>
    <tableColumn id="13" name="New Meter?" dataDxfId="427" totalsRowDxfId="426" dataCellStyle="Normal"/>
    <tableColumn id="5" name="Usage" totalsRowFunction="custom" dataDxfId="425" totalsRowDxfId="424" dataCellStyle="Normal">
      <calculatedColumnFormula>ROUNDUP((($D11-$C11)+$E11)/3,-3)</calculatedColumnFormula>
      <totalsRowFormula>SUM([Usage])</totalsRowFormula>
    </tableColumn>
    <tableColumn id="6" name="Base Rate " dataDxfId="423" totalsRowDxfId="422" dataCellStyle="Currency">
      <calculatedColumnFormula>IF(OR($F11&gt;0,$B11=""),40.09,11.79)</calculatedColumnFormula>
    </tableColumn>
    <tableColumn id="7" name="Tier1" dataDxfId="421" totalsRowDxfId="420" dataCellStyle="Currency">
      <calculatedColumnFormula>IF(AND((($F11-10000)&gt;0),(($F11-10000)&lt; 10000)),($F11-10000)/1000*2.18,IF(($F11-10000)&gt;10000,2.18*10,0))</calculatedColumnFormula>
    </tableColumn>
    <tableColumn id="8" name="Tier2" dataDxfId="419" totalsRowDxfId="418" dataCellStyle="Currency">
      <calculatedColumnFormula>IF(AND((($F11-20000)&gt;0),(($F11-20000)&lt;10000)),($F11-20000)/1000*2.53,IF(($F11-20000)&gt;10000,2.53*10,0))</calculatedColumnFormula>
    </tableColumn>
    <tableColumn id="9" name="Tier3" dataDxfId="417" totalsRowDxfId="416" dataCellStyle="Currency">
      <calculatedColumnFormula>IF(AND((($F11-30000)&gt;=0),(($F11-30000)&lt;=10000)),($F11-30000)/1000*2.95,IF(($F11-30000)&gt;=10000,2.95*10,0))</calculatedColumnFormula>
    </tableColumn>
    <tableColumn id="10" name="Tier4" dataDxfId="415" totalsRowDxfId="414" dataCellStyle="Currency">
      <calculatedColumnFormula>IF((($F11-40000)&gt;=0),($F11-40000)/1000*3.42,0)</calculatedColumnFormula>
    </tableColumn>
    <tableColumn id="15" name="Water Chrg" dataDxfId="413" totalsRowDxfId="412" dataCellStyle="Currency">
      <calculatedColumnFormula>SUM(G11:K11)</calculatedColumnFormula>
    </tableColumn>
    <tableColumn id="11" name="2nd Source" dataDxfId="411" totalsRowDxfId="410" dataCellStyle="Currency">
      <calculatedColumnFormula>IF(   $H$5=1,    IF((F11-$H$6)&gt;0,((F11)/$N$6)*$E$8,0),   IF(F11&gt;0,(F11/$N$4)*$E$8,0)    )</calculatedColumnFormula>
    </tableColumn>
    <tableColumn id="12" name="Total Due" dataDxfId="409" totalsRowDxfId="408" dataCellStyle="Currency">
      <calculatedColumnFormula>SUM(L11:M11)</calculatedColumnFormula>
    </tableColumn>
    <tableColumn id="14" name="Notes" dataDxfId="407" totalsRowDxfId="406" dataCellStyle="Normal"/>
  </tableColumns>
  <tableStyleInfo name="TableStyleLight1" showFirstColumn="0" showLastColumn="0" showRowStripes="1" showColumnStripes="0"/>
</table>
</file>

<file path=xl/tables/table11.xml><?xml version="1.0" encoding="utf-8"?>
<table xmlns="http://schemas.openxmlformats.org/spreadsheetml/2006/main" id="15" name="Table216" displayName="Table216" ref="A10:O136" headerRowDxfId="405" dataDxfId="404" headerRowCellStyle="Normal" dataCellStyle="Normal">
  <tableColumns count="15">
    <tableColumn id="1" name="Customer" dataDxfId="403" totalsRowDxfId="402" dataCellStyle="Normal"/>
    <tableColumn id="2" name="Standby" dataDxfId="401" totalsRowDxfId="400" dataCellStyle="Normal"/>
    <tableColumn id="3" name="December" dataDxfId="399" dataCellStyle="Normal"/>
    <tableColumn id="4" name="March" dataDxfId="398" dataCellStyle="Normal"/>
    <tableColumn id="13" name="New Meter?" dataDxfId="397" totalsRowDxfId="396" dataCellStyle="Normal"/>
    <tableColumn id="5" name="Usage" dataDxfId="395" totalsRowDxfId="394" dataCellStyle="Normal">
      <calculatedColumnFormula>($D11-$C11)+$E11</calculatedColumnFormula>
    </tableColumn>
    <tableColumn id="6" name="Base Rate " dataDxfId="393" totalsRowDxfId="392" dataCellStyle="Currency">
      <calculatedColumnFormula>IF(OR($F11&gt;0,$B11=""),40.09,11.79)</calculatedColumnFormula>
    </tableColumn>
    <tableColumn id="7" name="Tier1" dataDxfId="391" totalsRowDxfId="390" dataCellStyle="Currency">
      <calculatedColumnFormula>IF(AND((($F11-10000)&gt;0),(($F11-10000)&lt; 10000)),($F11-10000)/1000*2.18,IF(($F11-10000)&gt;10000,2.18*10,0))</calculatedColumnFormula>
    </tableColumn>
    <tableColumn id="8" name="Tier2" dataDxfId="389" totalsRowDxfId="388" dataCellStyle="Currency">
      <calculatedColumnFormula>IF(AND((($F11-20000)&gt;0),(($F11-20000)&lt;10000)),($F11-20000)/1000*2.53,IF(($F11-20000)&gt;10000,2.53*10,0))</calculatedColumnFormula>
    </tableColumn>
    <tableColumn id="9" name="Tier3" dataDxfId="387" totalsRowDxfId="386" dataCellStyle="Currency">
      <calculatedColumnFormula>IF(AND((($F11-30000)&gt;=0),(($F11-30000)&lt;=10000)),($F11-30000)/1000*2.95,IF(($F11-30000)&gt;=10000,2.95*10,0))</calculatedColumnFormula>
    </tableColumn>
    <tableColumn id="10" name="Tier4" dataDxfId="385" totalsRowDxfId="384" dataCellStyle="Currency">
      <calculatedColumnFormula>IF((($F11-40000)&gt;=0),($F11-40000)/1000*3.42,0)</calculatedColumnFormula>
    </tableColumn>
    <tableColumn id="15" name="Water Chrg" dataDxfId="383" totalsRowDxfId="382" dataCellStyle="Currency">
      <calculatedColumnFormula>SUM(G11:K11)</calculatedColumnFormula>
    </tableColumn>
    <tableColumn id="11" name="2nd Source" dataDxfId="381" totalsRowDxfId="380" dataCellStyle="Currency">
      <calculatedColumnFormula>IF(   $H$5=1,    IF((F11-$H$6)&gt;0,((F11)/$N$6)*$E$8,0),   IF(F11&gt;0,(F11/$N$4)*$E$8,0)    )</calculatedColumnFormula>
    </tableColumn>
    <tableColumn id="12" name="Total Due" dataDxfId="379" totalsRowDxfId="378" dataCellStyle="Currency">
      <calculatedColumnFormula>SUM(L11:M11)</calculatedColumnFormula>
    </tableColumn>
    <tableColumn id="14" name="Notes" dataDxfId="377" totalsRowDxfId="376" dataCellStyle="Normal"/>
  </tableColumns>
  <tableStyleInfo name="TableStyleLight1" showFirstColumn="0" showLastColumn="0" showRowStripes="1" showColumnStripes="0"/>
</table>
</file>

<file path=xl/tables/table12.xml><?xml version="1.0" encoding="utf-8"?>
<table xmlns="http://schemas.openxmlformats.org/spreadsheetml/2006/main" id="21" name="Table21322" displayName="Table21322" ref="A10:O137" totalsRowCount="1" headerRowDxfId="375" dataDxfId="374" headerRowCellStyle="Normal" dataCellStyle="Normal">
  <tableColumns count="15">
    <tableColumn id="1" name="Customer" dataDxfId="373" totalsRowDxfId="372" dataCellStyle="Normal"/>
    <tableColumn id="2" name="Standby" dataDxfId="371" totalsRowDxfId="370" dataCellStyle="Normal"/>
    <tableColumn id="3" name="January" dataDxfId="369" totalsRowDxfId="368" dataCellStyle="Normal"/>
    <tableColumn id="4" name="February" totalsRowFunction="custom" dataDxfId="367" totalsRowDxfId="366" dataCellStyle="Normal">
      <totalsRowFormula>SUM(Table24[December])</totalsRowFormula>
    </tableColumn>
    <tableColumn id="13" name="New Meter?" dataDxfId="365" totalsRowDxfId="364" dataCellStyle="Normal"/>
    <tableColumn id="5" name="Usage" dataDxfId="363" totalsRowDxfId="362" dataCellStyle="Normal"/>
    <tableColumn id="6" name="Base Rate " dataDxfId="361" totalsRowDxfId="360" dataCellStyle="Currency">
      <calculatedColumnFormula>IF(OR($F11&gt;0,$B11=""),40.09,11.79)</calculatedColumnFormula>
    </tableColumn>
    <tableColumn id="7" name="Tier1" dataDxfId="359" totalsRowDxfId="358" dataCellStyle="Currency">
      <calculatedColumnFormula>IF(AND((($F11-10000)&gt;0),(($F11-10000)&lt; 10000)),($F11-10000)/1000*2.18,IF(($F11-10000)&gt;10000,2.18*10,0))</calculatedColumnFormula>
    </tableColumn>
    <tableColumn id="8" name="Tier2" dataDxfId="357" totalsRowDxfId="356" dataCellStyle="Currency">
      <calculatedColumnFormula>IF(AND((($F11-20000)&gt;0),(($F11-20000)&lt;10000)),($F11-20000)/1000*2.53,IF(($F11-20000)&gt;10000,2.53*10,0))</calculatedColumnFormula>
    </tableColumn>
    <tableColumn id="9" name="Tier3" dataDxfId="355" totalsRowDxfId="354" dataCellStyle="Currency">
      <calculatedColumnFormula>IF(AND((($F11-30000)&gt;=0),(($F11-30000)&lt;=10000)),($F11-30000)/1000*2.95,IF(($F11-30000)&gt;=10000,2.95*10,0))</calculatedColumnFormula>
    </tableColumn>
    <tableColumn id="10" name="Tier4" dataDxfId="353" totalsRowDxfId="352" dataCellStyle="Currency">
      <calculatedColumnFormula>IF((($F11-40000)&gt;=0),($F11-40000)/1000*3.42,0)</calculatedColumnFormula>
    </tableColumn>
    <tableColumn id="15" name="Water Chrg" dataDxfId="351" totalsRowDxfId="350" dataCellStyle="Currency">
      <calculatedColumnFormula>SUM(G11:K11)</calculatedColumnFormula>
    </tableColumn>
    <tableColumn id="11" name="2nd Source" dataDxfId="349" totalsRowDxfId="348" dataCellStyle="Currency">
      <calculatedColumnFormula>IF(   $H$5=1,    IF((F11-$H$6)&gt;0,((F11)/$N$6)*$E$8,0),   IF(F11&gt;0,(F11/$N$4)*$E$8,0)    )</calculatedColumnFormula>
    </tableColumn>
    <tableColumn id="12" name="Total Due" dataDxfId="347" totalsRowDxfId="346" dataCellStyle="Currency">
      <calculatedColumnFormula>SUM(L11:M11)</calculatedColumnFormula>
    </tableColumn>
    <tableColumn id="14" name="Notes" dataDxfId="345" totalsRowDxfId="344" dataCellStyle="Normal"/>
  </tableColumns>
  <tableStyleInfo name="TableStyleLight1" showFirstColumn="0" showLastColumn="0" showRowStripes="1" showColumnStripes="0"/>
</table>
</file>

<file path=xl/tables/table13.xml><?xml version="1.0" encoding="utf-8"?>
<table xmlns="http://schemas.openxmlformats.org/spreadsheetml/2006/main" id="12" name="Table213" displayName="Table213" ref="A10:O136" headerRowDxfId="343" dataDxfId="342" headerRowCellStyle="Normal" dataCellStyle="Normal">
  <tableColumns count="15">
    <tableColumn id="1" name="Customer" dataDxfId="341" totalsRowDxfId="340" dataCellStyle="Normal"/>
    <tableColumn id="2" name="Standby" dataDxfId="339" totalsRowDxfId="338" dataCellStyle="Normal"/>
    <tableColumn id="3" name="January" dataDxfId="337" dataCellStyle="Normal"/>
    <tableColumn id="4" name="February" dataDxfId="336" dataCellStyle="Normal"/>
    <tableColumn id="13" name="New Meter?" dataDxfId="335" totalsRowDxfId="334" dataCellStyle="Normal"/>
    <tableColumn id="5" name="Usage" dataDxfId="333" totalsRowDxfId="332" dataCellStyle="Normal">
      <calculatedColumnFormula>($D11-$C11)+$E11</calculatedColumnFormula>
    </tableColumn>
    <tableColumn id="6" name="Base Rate " dataDxfId="331" totalsRowDxfId="330" dataCellStyle="Currency">
      <calculatedColumnFormula>IF(OR($F11&gt;0,$B11=""),40.09,11.79)</calculatedColumnFormula>
    </tableColumn>
    <tableColumn id="7" name="Tier1" dataDxfId="329" totalsRowDxfId="328" dataCellStyle="Currency">
      <calculatedColumnFormula>IF(AND((($F11-10000)&gt;0),(($F11-10000)&lt; 10000)),($F11-10000)/1000*2.18,IF(($F11-10000)&gt;10000,2.18*10,0))</calculatedColumnFormula>
    </tableColumn>
    <tableColumn id="8" name="Tier2" dataDxfId="327" totalsRowDxfId="326" dataCellStyle="Currency">
      <calculatedColumnFormula>IF(AND((($F11-20000)&gt;0),(($F11-20000)&lt;10000)),($F11-20000)/1000*2.53,IF(($F11-20000)&gt;10000,2.53*10,0))</calculatedColumnFormula>
    </tableColumn>
    <tableColumn id="9" name="Tier3" dataDxfId="325" totalsRowDxfId="324" dataCellStyle="Currency">
      <calculatedColumnFormula>IF(AND((($F11-30000)&gt;=0),(($F11-30000)&lt;=10000)),($F11-30000)/1000*2.95,IF(($F11-30000)&gt;=10000,2.95*10,0))</calculatedColumnFormula>
    </tableColumn>
    <tableColumn id="10" name="Tier4" dataDxfId="323" totalsRowDxfId="322" dataCellStyle="Currency">
      <calculatedColumnFormula>IF((($F11-40000)&gt;=0),($F11-40000)/1000*3.42,0)</calculatedColumnFormula>
    </tableColumn>
    <tableColumn id="15" name="Water Chrg" dataDxfId="321" totalsRowDxfId="320" dataCellStyle="Currency">
      <calculatedColumnFormula>SUM(G11:K11)</calculatedColumnFormula>
    </tableColumn>
    <tableColumn id="11" name="2nd Source" dataDxfId="319" totalsRowDxfId="318" dataCellStyle="Currency">
      <calculatedColumnFormula>IF(   $H$5=1,    IF((F11-$H$6)&gt;0,((F11)/$N$6)*$E$8,0),   IF(F11&gt;0,(F11/$N$4)*$E$8,0)    )</calculatedColumnFormula>
    </tableColumn>
    <tableColumn id="12" name="Total Due" dataDxfId="317" totalsRowDxfId="316" dataCellStyle="Currency">
      <calculatedColumnFormula>SUM(L11:M11)</calculatedColumnFormula>
    </tableColumn>
    <tableColumn id="14" name="Notes" dataDxfId="315" totalsRowDxfId="314" dataCellStyle="Normal"/>
  </tableColumns>
  <tableStyleInfo name="TableStyleLight1" showFirstColumn="0" showLastColumn="0" showRowStripes="1" showColumnStripes="0"/>
</table>
</file>

<file path=xl/tables/table14.xml><?xml version="1.0" encoding="utf-8"?>
<table xmlns="http://schemas.openxmlformats.org/spreadsheetml/2006/main" id="20" name="Table2521" displayName="Table2521" ref="A10:O137" totalsRowCount="1" headerRowDxfId="313" dataDxfId="312" headerRowCellStyle="Normal" dataCellStyle="Normal">
  <tableColumns count="15">
    <tableColumn id="1" name="Customer" dataDxfId="311" totalsRowDxfId="310" dataCellStyle="Normal"/>
    <tableColumn id="2" name="Standby" dataDxfId="309" totalsRowDxfId="308" dataCellStyle="Normal"/>
    <tableColumn id="3" name="December" dataDxfId="307" totalsRowDxfId="306" dataCellStyle="Normal"/>
    <tableColumn id="4" name="January" totalsRowFunction="custom" dataDxfId="305" totalsRowDxfId="304" dataCellStyle="Normal">
      <totalsRowFormula>SUM(Table24[December])</totalsRowFormula>
    </tableColumn>
    <tableColumn id="13" name="New Meter?" dataDxfId="303" totalsRowDxfId="302" dataCellStyle="Normal"/>
    <tableColumn id="5" name="Usage" dataDxfId="301" totalsRowDxfId="300" dataCellStyle="Normal">
      <calculatedColumnFormula>Table21623[[#This Row],[Usage]]</calculatedColumnFormula>
    </tableColumn>
    <tableColumn id="6" name="Base Rate " dataDxfId="299" totalsRowDxfId="298" dataCellStyle="Currency">
      <calculatedColumnFormula>IF(OR($F11&gt;0,$B11=""),40.09,11.79)</calculatedColumnFormula>
    </tableColumn>
    <tableColumn id="7" name="Tier1" dataDxfId="297" totalsRowDxfId="296" dataCellStyle="Currency">
      <calculatedColumnFormula>IF(AND((($F11-10000)&gt;0),(($F11-10000)&lt; 10000)),($F11-10000)/1000*2.18,IF(($F11-10000)&gt;10000,2.18*10,0))</calculatedColumnFormula>
    </tableColumn>
    <tableColumn id="8" name="Tier2" dataDxfId="295" totalsRowDxfId="294" dataCellStyle="Currency">
      <calculatedColumnFormula>IF(AND((($F11-20000)&gt;0),(($F11-20000)&lt;10000)),($F11-20000)/1000*2.53,IF(($F11-20000)&gt;10000,2.53*10,0))</calculatedColumnFormula>
    </tableColumn>
    <tableColumn id="9" name="Tier3" dataDxfId="293" totalsRowDxfId="292" dataCellStyle="Currency">
      <calculatedColumnFormula>IF(AND((($F11-30000)&gt;=0),(($F11-30000)&lt;=10000)),($F11-30000)/1000*2.95,IF(($F11-30000)&gt;=10000,2.95*10,0))</calculatedColumnFormula>
    </tableColumn>
    <tableColumn id="10" name="Tier4" dataDxfId="291" totalsRowDxfId="290" dataCellStyle="Currency">
      <calculatedColumnFormula>IF((($F11-40000)&gt;=0),($F11-40000)/1000*3.42,0)</calculatedColumnFormula>
    </tableColumn>
    <tableColumn id="15" name="Water Chrg" dataDxfId="289" totalsRowDxfId="288" dataCellStyle="Currency">
      <calculatedColumnFormula>SUM(G11:K11)</calculatedColumnFormula>
    </tableColumn>
    <tableColumn id="11" name="2nd Source" dataDxfId="287" totalsRowDxfId="286" dataCellStyle="Currency">
      <calculatedColumnFormula>IF(   $H$5=1,    IF((F11-$H$6)&gt;0,((F11)/$N$6)*$E$8,0),   IF(F11&gt;0,(F11/$N$4)*$E$8,0)    )</calculatedColumnFormula>
    </tableColumn>
    <tableColumn id="12" name="Total Due" dataDxfId="285" totalsRowDxfId="284" dataCellStyle="Currency">
      <calculatedColumnFormula>SUM(L11:M11)</calculatedColumnFormula>
    </tableColumn>
    <tableColumn id="14" name="Notes" dataDxfId="283" totalsRowDxfId="282" dataCellStyle="Normal"/>
  </tableColumns>
  <tableStyleInfo name="TableStyleLight1" showFirstColumn="0" showLastColumn="0" showRowStripes="1" showColumnStripes="0"/>
</table>
</file>

<file path=xl/tables/table15.xml><?xml version="1.0" encoding="utf-8"?>
<table xmlns="http://schemas.openxmlformats.org/spreadsheetml/2006/main" id="4" name="Table25" displayName="Table25" ref="A10:O136" headerRowDxfId="281" dataDxfId="280" headerRowCellStyle="Normal" dataCellStyle="Normal">
  <tableColumns count="15">
    <tableColumn id="1" name="Customer" dataDxfId="279" totalsRowDxfId="278" dataCellStyle="Normal"/>
    <tableColumn id="2" name="Standby" dataDxfId="277" totalsRowDxfId="276" dataCellStyle="Normal"/>
    <tableColumn id="3" name="December" dataDxfId="275" dataCellStyle="Normal"/>
    <tableColumn id="4" name="January" dataDxfId="274" dataCellStyle="Normal"/>
    <tableColumn id="13" name="New Meter?" dataDxfId="273" totalsRowDxfId="272" dataCellStyle="Normal"/>
    <tableColumn id="5" name="Usage" dataDxfId="271" totalsRowDxfId="270" dataCellStyle="Normal">
      <calculatedColumnFormula>($D11-$C11)+$E11</calculatedColumnFormula>
    </tableColumn>
    <tableColumn id="6" name="Base Rate " dataDxfId="269" totalsRowDxfId="268" dataCellStyle="Currency">
      <calculatedColumnFormula>IF(OR($F11&gt;0,$B11=""),40.09,11.79)</calculatedColumnFormula>
    </tableColumn>
    <tableColumn id="7" name="Tier1" dataDxfId="267" totalsRowDxfId="266" dataCellStyle="Currency">
      <calculatedColumnFormula>IF(AND((($F11-10000)&gt;0),(($F11-10000)&lt; 10000)),($F11-10000)/1000*2.18,IF(($F11-10000)&gt;10000,2.18*10,0))</calculatedColumnFormula>
    </tableColumn>
    <tableColumn id="8" name="Tier2" dataDxfId="265" totalsRowDxfId="264" dataCellStyle="Currency">
      <calculatedColumnFormula>IF(AND((($F11-20000)&gt;0),(($F11-20000)&lt;10000)),($F11-20000)/1000*2.53,IF(($F11-20000)&gt;10000,2.53*10,0))</calculatedColumnFormula>
    </tableColumn>
    <tableColumn id="9" name="Tier3" dataDxfId="263" totalsRowDxfId="262" dataCellStyle="Currency">
      <calculatedColumnFormula>IF(AND((($F11-30000)&gt;=0),(($F11-30000)&lt;=10000)),($F11-30000)/1000*2.95,IF(($F11-30000)&gt;=10000,2.95*10,0))</calculatedColumnFormula>
    </tableColumn>
    <tableColumn id="10" name="Tier4" dataDxfId="261" totalsRowDxfId="260" dataCellStyle="Currency">
      <calculatedColumnFormula>IF((($F11-40000)&gt;=0),($F11-40000)/1000*3.42,0)</calculatedColumnFormula>
    </tableColumn>
    <tableColumn id="15" name="Water Chrg" dataDxfId="259" totalsRowDxfId="258" dataCellStyle="Currency">
      <calculatedColumnFormula>SUM(G11:K11)</calculatedColumnFormula>
    </tableColumn>
    <tableColumn id="11" name="2nd Source" dataDxfId="257" totalsRowDxfId="256" dataCellStyle="Currency">
      <calculatedColumnFormula>IF(   $H$5=1,    IF((F11-$H$6)&gt;0,((F11)/$N$6)*$E$8,0),   IF(F11&gt;0,(F11/$N$4)*$E$8,0)    )</calculatedColumnFormula>
    </tableColumn>
    <tableColumn id="12" name="Total Due" dataDxfId="255" totalsRowDxfId="254" dataCellStyle="Currency">
      <calculatedColumnFormula>SUM(L11:M11)</calculatedColumnFormula>
    </tableColumn>
    <tableColumn id="14" name="Notes" dataDxfId="253" totalsRowDxfId="252" dataCellStyle="Normal"/>
  </tableColumns>
  <tableStyleInfo name="TableStyleLight1" showFirstColumn="0" showLastColumn="0" showRowStripes="1" showColumnStripes="0"/>
</table>
</file>

<file path=xl/tables/table16.xml><?xml version="1.0" encoding="utf-8"?>
<table xmlns="http://schemas.openxmlformats.org/spreadsheetml/2006/main" id="3" name="Table24" displayName="Table24" ref="A10:O136" headerRowDxfId="251" dataDxfId="250" headerRowCellStyle="Normal" dataCellStyle="Normal">
  <tableColumns count="15">
    <tableColumn id="1" name="Customer" dataDxfId="249" totalsRowDxfId="248" dataCellStyle="Normal"/>
    <tableColumn id="2" name="Standby" dataDxfId="247" totalsRowDxfId="246" dataCellStyle="Normal"/>
    <tableColumn id="3" name="November" dataDxfId="245" dataCellStyle="Normal"/>
    <tableColumn id="4" name="December" dataDxfId="244" dataCellStyle="Normal"/>
    <tableColumn id="13" name="New Meter?" dataDxfId="243" totalsRowDxfId="242" dataCellStyle="Normal"/>
    <tableColumn id="5" name="Usage" dataDxfId="241" totalsRowDxfId="240" dataCellStyle="Normal">
      <calculatedColumnFormula>($D11-$C11)+$E11</calculatedColumnFormula>
    </tableColumn>
    <tableColumn id="6" name="Base Rate " dataDxfId="239" totalsRowDxfId="238" dataCellStyle="Currency">
      <calculatedColumnFormula>IF(OR($F11&gt;0,$B11=""),40.09,11.79)</calculatedColumnFormula>
    </tableColumn>
    <tableColumn id="7" name="Tier1" dataDxfId="237" totalsRowDxfId="236" dataCellStyle="Currency">
      <calculatedColumnFormula>IF(AND((($F11-10000)&gt;0),(($F11-10000)&lt; 10000)),($F11-10000)/1000*2.18,IF(($F11-10000)&gt;10000,2.18*10,0))</calculatedColumnFormula>
    </tableColumn>
    <tableColumn id="8" name="Tier2" dataDxfId="235" totalsRowDxfId="234" dataCellStyle="Currency">
      <calculatedColumnFormula>IF(AND((($F11-20000)&gt;0),(($F11-20000)&lt;10000)),($F11-20000)/1000*2.53,IF(($F11-20000)&gt;10000,2.53*10,0))</calculatedColumnFormula>
    </tableColumn>
    <tableColumn id="9" name="Tier3" dataDxfId="233" totalsRowDxfId="232" dataCellStyle="Currency">
      <calculatedColumnFormula>IF(AND((($F11-30000)&gt;=0),(($F11-30000)&lt;=10000)),($F11-30000)/1000*2.95,IF(($F11-30000)&gt;=10000,2.95*10,0))</calculatedColumnFormula>
    </tableColumn>
    <tableColumn id="10" name="Tier4" dataDxfId="231" totalsRowDxfId="230" dataCellStyle="Currency">
      <calculatedColumnFormula>IF((($F11-40000)&gt;=0),($F11-40000)/1000*3.42,0)</calculatedColumnFormula>
    </tableColumn>
    <tableColumn id="15" name="Water Chrg" dataDxfId="229" totalsRowDxfId="228" dataCellStyle="Currency">
      <calculatedColumnFormula>SUM(G11:K11)</calculatedColumnFormula>
    </tableColumn>
    <tableColumn id="11" name="2nd Source" dataDxfId="227" totalsRowDxfId="226" dataCellStyle="Currency">
      <calculatedColumnFormula>IF(   $H$5=1,    IF((F11-$H$6)&gt;0,((F11)/$N$6)*$E$8,0),   IF(F11&gt;0,(F11/$N$4)*$E$8,0)    )</calculatedColumnFormula>
    </tableColumn>
    <tableColumn id="12" name="Total Due" dataDxfId="225" totalsRowDxfId="224" dataCellStyle="Currency">
      <calculatedColumnFormula>SUM(L11:M11)</calculatedColumnFormula>
    </tableColumn>
    <tableColumn id="14" name="Notes" dataDxfId="223" totalsRowDxfId="222" dataCellStyle="Normal"/>
  </tableColumns>
  <tableStyleInfo name="TableStyleLight1" showFirstColumn="0" showLastColumn="0" showRowStripes="1" showColumnStripes="0"/>
</table>
</file>

<file path=xl/tables/table17.xml><?xml version="1.0" encoding="utf-8"?>
<table xmlns="http://schemas.openxmlformats.org/spreadsheetml/2006/main" id="8" name="Table29" displayName="Table29" ref="A10:O136" headerRowDxfId="221" dataDxfId="220" headerRowCellStyle="Normal" dataCellStyle="Normal">
  <tableColumns count="15">
    <tableColumn id="1" name="Customer" dataDxfId="219" totalsRowDxfId="218" dataCellStyle="Normal"/>
    <tableColumn id="2" name="Standby" dataDxfId="217" totalsRowDxfId="216" dataCellStyle="Normal"/>
    <tableColumn id="3" name="Oct-11" dataDxfId="215" dataCellStyle="Normal"/>
    <tableColumn id="4" name="Nov-11" dataDxfId="214" dataCellStyle="Normal"/>
    <tableColumn id="13" name="New Meter?" dataDxfId="213" totalsRowDxfId="212" dataCellStyle="Normal"/>
    <tableColumn id="5" name="Usage" dataDxfId="211" totalsRowDxfId="210" dataCellStyle="Normal">
      <calculatedColumnFormula>($D11-$C11)+$E11</calculatedColumnFormula>
    </tableColumn>
    <tableColumn id="6" name="Base Rate " dataDxfId="209" totalsRowDxfId="208" dataCellStyle="Currency">
      <calculatedColumnFormula>IF(OR($F11&gt;0,$B11=""),40.09,11.79)</calculatedColumnFormula>
    </tableColumn>
    <tableColumn id="7" name="Tier1" dataDxfId="207" totalsRowDxfId="206" dataCellStyle="Currency">
      <calculatedColumnFormula>IF(AND((($F11-10000)&gt;0),(($F11-10000)&lt; 10000)),($F11-10000)/1000*2.18,IF(($F11-10000)&gt;10000,2.18*10,0))</calculatedColumnFormula>
    </tableColumn>
    <tableColumn id="8" name="Tier2" dataDxfId="205" totalsRowDxfId="204" dataCellStyle="Currency">
      <calculatedColumnFormula>IF(AND((($F11-20000)&gt;0),(($F11-20000)&lt;10000)),($F11-20000)/1000*2.53,IF(($F11-20000)&gt;10000,2.53*10,0))</calculatedColumnFormula>
    </tableColumn>
    <tableColumn id="9" name="Tier3" dataDxfId="203" totalsRowDxfId="202" dataCellStyle="Currency">
      <calculatedColumnFormula>IF(AND((($F11-30000)&gt;=0),(($F11-30000)&lt;=10000)),($F11-30000)/1000*2.95,IF(($F11-30000)&gt;=10000,2.95*10,0))</calculatedColumnFormula>
    </tableColumn>
    <tableColumn id="10" name="Tier4" dataDxfId="201" totalsRowDxfId="200" dataCellStyle="Currency">
      <calculatedColumnFormula>IF((($F11-40000)&gt;=0),($F11-40000)/1000*3.42,0)</calculatedColumnFormula>
    </tableColumn>
    <tableColumn id="15" name="Water Chrg" dataDxfId="199" totalsRowDxfId="198" dataCellStyle="Currency">
      <calculatedColumnFormula>SUM(G11:K11)</calculatedColumnFormula>
    </tableColumn>
    <tableColumn id="11" name="2nd Source" dataDxfId="197" totalsRowDxfId="196" dataCellStyle="Currency">
      <calculatedColumnFormula>IF(   $H$5=1,    IF((F11-$H$6)&gt;0,((F11)/$N$6)*$E$8,0),   IF(F11&gt;0,(F11/$N$4)*$E$8,0)    )</calculatedColumnFormula>
    </tableColumn>
    <tableColumn id="12" name="Total Due" dataDxfId="195" totalsRowDxfId="194" dataCellStyle="Currency">
      <calculatedColumnFormula>SUM(L11:M11)</calculatedColumnFormula>
    </tableColumn>
    <tableColumn id="14" name="Notes" dataDxfId="193" totalsRowDxfId="192" dataCellStyle="Normal"/>
  </tableColumns>
  <tableStyleInfo name="TableStyleLight1" showFirstColumn="0" showLastColumn="0" showRowStripes="1" showColumnStripes="0"/>
</table>
</file>

<file path=xl/tables/table18.xml><?xml version="1.0" encoding="utf-8"?>
<table xmlns="http://schemas.openxmlformats.org/spreadsheetml/2006/main" id="25" name="Table21826" displayName="Table21826" ref="A10:O136" headerRowDxfId="191" dataDxfId="190" headerRowCellStyle="Normal" dataCellStyle="Normal">
  <tableColumns count="15">
    <tableColumn id="1" name="Customer" dataDxfId="189" totalsRowDxfId="188" dataCellStyle="Normal"/>
    <tableColumn id="2" name="Standby" dataDxfId="187" totalsRowDxfId="186" dataCellStyle="Normal"/>
    <tableColumn id="3" name="Sep-11" dataDxfId="185" dataCellStyle="Normal"/>
    <tableColumn id="4" name="Oct-11" dataDxfId="184" dataCellStyle="Normal"/>
    <tableColumn id="13" name="New Meter?" dataDxfId="183" totalsRowDxfId="182" dataCellStyle="Normal"/>
    <tableColumn id="5" name="Usage" dataDxfId="181" totalsRowDxfId="180" dataCellStyle="Normal">
      <calculatedColumnFormula>($D11-$C11)+$E11</calculatedColumnFormula>
    </tableColumn>
    <tableColumn id="6" name="Base Rate " dataDxfId="179" totalsRowDxfId="178" dataCellStyle="Currency">
      <calculatedColumnFormula>IF(OR($F11&gt;0,$B11=""),40.09,11.79)</calculatedColumnFormula>
    </tableColumn>
    <tableColumn id="7" name="Tier1" dataDxfId="177" totalsRowDxfId="176" dataCellStyle="Currency">
      <calculatedColumnFormula>IF(AND((($F11-10000)&gt;0),(($F11-10000)&lt; 10000)),($F11-10000)/1000*2.18,IF(($F11-10000)&gt;10000,2.18*10,0))</calculatedColumnFormula>
    </tableColumn>
    <tableColumn id="8" name="Tier2" dataDxfId="175" totalsRowDxfId="174" dataCellStyle="Currency">
      <calculatedColumnFormula>IF(AND((($F11-20000)&gt;0),(($F11-20000)&lt;10000)),($F11-20000)/1000*2.53,IF(($F11-20000)&gt;10000,2.53*10,0))</calculatedColumnFormula>
    </tableColumn>
    <tableColumn id="9" name="Tier3" dataDxfId="173" totalsRowDxfId="172" dataCellStyle="Currency">
      <calculatedColumnFormula>IF(AND((($F11-30000)&gt;=0),(($F11-30000)&lt;=10000)),($F11-30000)/1000*2.95,IF(($F11-30000)&gt;=10000,2.95*10,0))</calculatedColumnFormula>
    </tableColumn>
    <tableColumn id="10" name="Tier4" dataDxfId="171" totalsRowDxfId="170" dataCellStyle="Currency">
      <calculatedColumnFormula>IF((($F11-40000)&gt;=0),($F11-40000)/1000*3.42,0)</calculatedColumnFormula>
    </tableColumn>
    <tableColumn id="15" name="Water Chrg" dataDxfId="169" totalsRowDxfId="168" dataCellStyle="Currency">
      <calculatedColumnFormula>SUM(G11:K11)</calculatedColumnFormula>
    </tableColumn>
    <tableColumn id="11" name="2nd Source" dataDxfId="167" totalsRowDxfId="166" dataCellStyle="Currency">
      <calculatedColumnFormula>IF(   $H$5=1,    IF((F11-$H$6)&gt;0,((F11)/$N$6)*$E$8,0),   IF(F11&gt;0,(F11/$N$4)*$E$8,0)    )</calculatedColumnFormula>
    </tableColumn>
    <tableColumn id="12" name="Total Due" dataDxfId="165" totalsRowDxfId="164" dataCellStyle="Currency">
      <calculatedColumnFormula>SUM(L11:M11)</calculatedColumnFormula>
    </tableColumn>
    <tableColumn id="14" name="Notes" dataDxfId="163" totalsRowDxfId="162" dataCellStyle="Normal"/>
  </tableColumns>
  <tableStyleInfo name="TableStyleLight1" showFirstColumn="0" showLastColumn="0" showRowStripes="1" showColumnStripes="0"/>
</table>
</file>

<file path=xl/tables/table19.xml><?xml version="1.0" encoding="utf-8"?>
<table xmlns="http://schemas.openxmlformats.org/spreadsheetml/2006/main" id="17" name="Table218" displayName="Table218" ref="A10:O136" headerRowDxfId="161" dataDxfId="160" headerRowCellStyle="Normal" dataCellStyle="Normal">
  <tableColumns count="15">
    <tableColumn id="1" name="Customer" dataDxfId="159" totalsRowDxfId="158" dataCellStyle="Normal"/>
    <tableColumn id="2" name="Standby" dataDxfId="157" totalsRowDxfId="156" dataCellStyle="Normal"/>
    <tableColumn id="3" name="Sep-11" dataDxfId="155" dataCellStyle="Normal"/>
    <tableColumn id="4" name="Oct-11" dataDxfId="154" dataCellStyle="Normal"/>
    <tableColumn id="13" name="New Meter?" dataDxfId="153" totalsRowDxfId="152" dataCellStyle="Normal"/>
    <tableColumn id="5" name="Usage" dataDxfId="151" totalsRowDxfId="150" dataCellStyle="Normal">
      <calculatedColumnFormula>($D11-$C11)+$E11</calculatedColumnFormula>
    </tableColumn>
    <tableColumn id="6" name="Base Rate " dataDxfId="149" totalsRowDxfId="148" dataCellStyle="Currency">
      <calculatedColumnFormula>IF(OR($F11&gt;0,$B11=""),40.09,11.79)</calculatedColumnFormula>
    </tableColumn>
    <tableColumn id="7" name="Tier1" dataDxfId="147" totalsRowDxfId="146" dataCellStyle="Currency">
      <calculatedColumnFormula>IF(AND((($F11-10000)&gt;0),(($F11-10000)&lt; 10000)),($F11-10000)/1000*2.18,IF(($F11-10000)&gt;10000,2.18*10,0))</calculatedColumnFormula>
    </tableColumn>
    <tableColumn id="8" name="Tier2" dataDxfId="145" totalsRowDxfId="144" dataCellStyle="Currency">
      <calculatedColumnFormula>IF(AND((($F11-20000)&gt;0),(($F11-20000)&lt;10000)),($F11-20000)/1000*2.53,IF(($F11-20000)&gt;10000,2.53*10,0))</calculatedColumnFormula>
    </tableColumn>
    <tableColumn id="9" name="Tier3" dataDxfId="143" totalsRowDxfId="142" dataCellStyle="Currency">
      <calculatedColumnFormula>IF(AND((($F11-30000)&gt;=0),(($F11-30000)&lt;=10000)),($F11-30000)/1000*2.95,IF(($F11-30000)&gt;=10000,2.95*10,0))</calculatedColumnFormula>
    </tableColumn>
    <tableColumn id="10" name="Tier4" dataDxfId="141" totalsRowDxfId="140" dataCellStyle="Currency">
      <calculatedColumnFormula>IF((($F11-40000)&gt;=0),($F11-40000)/1000*3.42,0)</calculatedColumnFormula>
    </tableColumn>
    <tableColumn id="15" name="Water Chrg" dataDxfId="139" totalsRowDxfId="138" dataCellStyle="Currency">
      <calculatedColumnFormula>SUM(G11:K11)</calculatedColumnFormula>
    </tableColumn>
    <tableColumn id="11" name="2nd Source" dataDxfId="137" totalsRowDxfId="136" dataCellStyle="Currency">
      <calculatedColumnFormula>IF(   $H$5=1,    IF((F11-$H$6)&gt;0,((F11)/$N$6)*$E$8,0),   IF(F11&gt;0,(F11/$N$4)*$E$8,0)    )</calculatedColumnFormula>
    </tableColumn>
    <tableColumn id="12" name="Total Due" dataDxfId="135" totalsRowDxfId="134" dataCellStyle="Currency">
      <calculatedColumnFormula>SUM(L11:M11)</calculatedColumnFormula>
    </tableColumn>
    <tableColumn id="14" name="Notes" dataDxfId="133" totalsRowDxfId="132" dataCellStyle="Normal"/>
  </tableColumns>
  <tableStyleInfo name="TableStyleLight1" showFirstColumn="0" showLastColumn="0" showRowStripes="1" showColumnStripes="0"/>
</table>
</file>

<file path=xl/tables/table2.xml><?xml version="1.0" encoding="utf-8"?>
<table xmlns="http://schemas.openxmlformats.org/spreadsheetml/2006/main" id="18" name="Table219" displayName="Table219" ref="A10:O136" headerRowDxfId="677" dataDxfId="676" headerRowCellStyle="Normal" dataCellStyle="Normal">
  <tableColumns count="15">
    <tableColumn id="1" name="Customer" dataDxfId="675" totalsRowDxfId="674" dataCellStyle="Normal"/>
    <tableColumn id="2" name="Standby" dataDxfId="673" totalsRowDxfId="672" dataCellStyle="Normal"/>
    <tableColumn id="3" name="August" dataDxfId="671" dataCellStyle="Normal"/>
    <tableColumn id="4" name="September" dataDxfId="670" dataCellStyle="Normal"/>
    <tableColumn id="13" name="New Meter?" dataDxfId="669" totalsRowDxfId="668" dataCellStyle="Normal"/>
    <tableColumn id="5" name="Usage" dataDxfId="667" totalsRowDxfId="666" dataCellStyle="Normal">
      <calculatedColumnFormula>($D11-$C11)+$E11</calculatedColumnFormula>
    </tableColumn>
    <tableColumn id="6" name="Base Rate " dataDxfId="665" totalsRowDxfId="664" dataCellStyle="Currency">
      <calculatedColumnFormula>IF(OR($F11&gt;0,$B11=""),40.09,11.79)</calculatedColumnFormula>
    </tableColumn>
    <tableColumn id="7" name="Tier1" dataDxfId="663" totalsRowDxfId="662" dataCellStyle="Currency">
      <calculatedColumnFormula>IF(AND((($F11-10000)&gt;0),(($F11-10000)&lt; 10000)),($F11-10000)/1000*2.18,IF(($F11-10000)&gt;10000,2.18*10,0))</calculatedColumnFormula>
    </tableColumn>
    <tableColumn id="8" name="Tier2" dataDxfId="661" totalsRowDxfId="660" dataCellStyle="Currency">
      <calculatedColumnFormula>IF(AND((($F11-20000)&gt;0),(($F11-20000)&lt;10000)),($F11-20000)/1000*2.53,IF(($F11-20000)&gt;10000,2.53*10,0))</calculatedColumnFormula>
    </tableColumn>
    <tableColumn id="9" name="Tier3" dataDxfId="659" totalsRowDxfId="658" dataCellStyle="Currency">
      <calculatedColumnFormula>IF(AND((($F11-30000)&gt;=0),(($F11-30000)&lt;=10000)),($F11-30000)/1000*2.95,IF(($F11-30000)&gt;=10000,2.95*10,0))</calculatedColumnFormula>
    </tableColumn>
    <tableColumn id="10" name="Tier4" dataDxfId="657" totalsRowDxfId="656" dataCellStyle="Currency">
      <calculatedColumnFormula>IF((($F11-40000)&gt;=0),($F11-40000)/1000*3.42,0)</calculatedColumnFormula>
    </tableColumn>
    <tableColumn id="15" name="Water Chrg" dataDxfId="655" totalsRowDxfId="654" dataCellStyle="Currency">
      <calculatedColumnFormula>SUM(G11:K11)</calculatedColumnFormula>
    </tableColumn>
    <tableColumn id="11" name="2nd Source" dataDxfId="653" totalsRowDxfId="652" dataCellStyle="Currency">
      <calculatedColumnFormula>IF(   $H$5=1,    IF((F11-$H$6)&gt;0,((F11)/$P$6)*$E$8,0),   IF(F11&gt;0,(F11/$P$4)*$E$8,0)    )</calculatedColumnFormula>
    </tableColumn>
    <tableColumn id="12" name="Total Due" dataDxfId="651" totalsRowDxfId="650" dataCellStyle="Currency">
      <calculatedColumnFormula>SUM(L11:M11)</calculatedColumnFormula>
    </tableColumn>
    <tableColumn id="14" name="Notes" dataDxfId="649" totalsRowDxfId="648" dataCellStyle="Normal"/>
  </tableColumns>
  <tableStyleInfo name="TableStyleLight1" showFirstColumn="0" showLastColumn="0" showRowStripes="1" showColumnStripes="0"/>
</table>
</file>

<file path=xl/tables/table20.xml><?xml version="1.0" encoding="utf-8"?>
<table xmlns="http://schemas.openxmlformats.org/spreadsheetml/2006/main" id="26" name="Table21027" displayName="Table21027" ref="A10:O136" headerRowDxfId="131" dataDxfId="130" headerRowCellStyle="Normal" dataCellStyle="Normal">
  <tableColumns count="15">
    <tableColumn id="1" name="Customer" dataDxfId="129" totalsRowDxfId="128" dataCellStyle="Normal"/>
    <tableColumn id="2" name="Standby" dataDxfId="127" totalsRowDxfId="126" dataCellStyle="Normal"/>
    <tableColumn id="3" name="Jul-11" dataDxfId="125" totalsRowDxfId="124" dataCellStyle="Normal"/>
    <tableColumn id="4" name="Aug-11" dataDxfId="123" totalsRowDxfId="122" dataCellStyle="Normal"/>
    <tableColumn id="13" name="New Meter?" dataDxfId="121" totalsRowDxfId="120" dataCellStyle="Normal"/>
    <tableColumn id="5" name="Usage" dataDxfId="119" totalsRowDxfId="118" dataCellStyle="Normal">
      <calculatedColumnFormula>($D11-$C11)+$E11</calculatedColumnFormula>
    </tableColumn>
    <tableColumn id="6" name="Base Rate " dataDxfId="117" totalsRowDxfId="116" dataCellStyle="Currency">
      <calculatedColumnFormula>IF(OR($F11&gt;0,$B11=""),40.09,11.79)</calculatedColumnFormula>
    </tableColumn>
    <tableColumn id="7" name="Tier1" dataDxfId="115" totalsRowDxfId="114" dataCellStyle="Currency">
      <calculatedColumnFormula>IF(AND((($F11-10000)&gt;0),(($F11-10000)&lt; 10000)),($F11-10000)/1000*2.18,IF(($F11-10000)&gt;10000,2.18*10,0))</calculatedColumnFormula>
    </tableColumn>
    <tableColumn id="8" name="Tier2" dataDxfId="113" totalsRowDxfId="112" dataCellStyle="Currency">
      <calculatedColumnFormula>IF(AND((($F11-20000)&gt;0),(($F11-20000)&lt;10000)),($F11-20000)/1000*2.53,IF(($F11-20000)&gt;10000,2.53*10,0))</calculatedColumnFormula>
    </tableColumn>
    <tableColumn id="9" name="Tier3" dataDxfId="111" totalsRowDxfId="110" dataCellStyle="Currency">
      <calculatedColumnFormula>IF(AND((($F11-30000)&gt;=0),(($F11-30000)&lt;=10000)),($F11-30000)/1000*2.95,IF(($F11-30000)&gt;=10000,2.95*10,0))</calculatedColumnFormula>
    </tableColumn>
    <tableColumn id="10" name="Tier4" dataDxfId="109" totalsRowDxfId="108" dataCellStyle="Currency">
      <calculatedColumnFormula>IF((($F11-40000)&gt;=0),($F11-40000)/1000*3.42,0)</calculatedColumnFormula>
    </tableColumn>
    <tableColumn id="15" name="Water Chrg" dataDxfId="107" totalsRowDxfId="106" dataCellStyle="Currency">
      <calculatedColumnFormula>SUM(G11:K11)</calculatedColumnFormula>
    </tableColumn>
    <tableColumn id="11" name="2nd Source" dataDxfId="105" totalsRowDxfId="104" dataCellStyle="Currency">
      <calculatedColumnFormula>IF(   $H$5=1,    IF((F11-$H$6)&gt;0,((F11)/$N$6)*$E$8,0),   IF(F11&gt;0,(F11/$N$4)*$E$8,0)    )</calculatedColumnFormula>
    </tableColumn>
    <tableColumn id="12" name="Total Due" dataDxfId="103" totalsRowDxfId="102" dataCellStyle="Currency">
      <calculatedColumnFormula>SUM(L11:M11)</calculatedColumnFormula>
    </tableColumn>
    <tableColumn id="14" name="Notes" dataDxfId="101" totalsRowDxfId="100" dataCellStyle="Normal"/>
  </tableColumns>
  <tableStyleInfo name="TableStyleLight1" showFirstColumn="0" showLastColumn="0" showRowStripes="1" showColumnStripes="0"/>
</table>
</file>

<file path=xl/tables/table21.xml><?xml version="1.0" encoding="utf-8"?>
<table xmlns="http://schemas.openxmlformats.org/spreadsheetml/2006/main" id="9" name="Table210" displayName="Table210" ref="A10:O136" headerRowDxfId="99" dataDxfId="98" headerRowCellStyle="Normal" dataCellStyle="Normal">
  <tableColumns count="15">
    <tableColumn id="1" name="Customer" dataDxfId="97" totalsRowDxfId="96" dataCellStyle="Normal"/>
    <tableColumn id="2" name="Standby" dataDxfId="95" totalsRowDxfId="94" dataCellStyle="Normal"/>
    <tableColumn id="3" name="Jul-11" dataDxfId="93" totalsRowDxfId="92" dataCellStyle="Normal"/>
    <tableColumn id="4" name="Aug-11" dataDxfId="91" totalsRowDxfId="90" dataCellStyle="Normal"/>
    <tableColumn id="13" name="New Meter?" dataDxfId="89" totalsRowDxfId="88" dataCellStyle="Normal"/>
    <tableColumn id="5" name="Usage" dataDxfId="87" totalsRowDxfId="86" dataCellStyle="Normal">
      <calculatedColumnFormula>($D11-$C11)+$E11</calculatedColumnFormula>
    </tableColumn>
    <tableColumn id="6" name="Base Rate " dataDxfId="85" totalsRowDxfId="84" dataCellStyle="Currency">
      <calculatedColumnFormula>IF(OR($F11&gt;0,$B11=""),40.09,11.79)</calculatedColumnFormula>
    </tableColumn>
    <tableColumn id="7" name="Tier1" dataDxfId="83" totalsRowDxfId="82" dataCellStyle="Currency">
      <calculatedColumnFormula>IF(AND((($F11-10000)&gt;0),(($F11-10000)&lt; 10000)),($F11-10000)/1000*2.18,IF(($F11-10000)&gt;10000,2.18*10,0))</calculatedColumnFormula>
    </tableColumn>
    <tableColumn id="8" name="Tier2" dataDxfId="81" totalsRowDxfId="80" dataCellStyle="Currency">
      <calculatedColumnFormula>IF(AND((($F11-20000)&gt;0),(($F11-20000)&lt;10000)),($F11-20000)/1000*2.53,IF(($F11-20000)&gt;10000,2.53*10,0))</calculatedColumnFormula>
    </tableColumn>
    <tableColumn id="9" name="Tier3" dataDxfId="79" totalsRowDxfId="78" dataCellStyle="Currency">
      <calculatedColumnFormula>IF(AND((($F11-30000)&gt;=0),(($F11-30000)&lt;=10000)),($F11-30000)/1000*2.95,IF(($F11-30000)&gt;=10000,2.95*10,0))</calculatedColumnFormula>
    </tableColumn>
    <tableColumn id="10" name="Tier4" dataDxfId="77" totalsRowDxfId="76" dataCellStyle="Currency">
      <calculatedColumnFormula>IF((($F11-40000)&gt;=0),($F11-40000)/1000*3.42,0)</calculatedColumnFormula>
    </tableColumn>
    <tableColumn id="15" name="Water Chrg" dataDxfId="75" totalsRowDxfId="74" dataCellStyle="Currency">
      <calculatedColumnFormula>SUM(G11:K11)</calculatedColumnFormula>
    </tableColumn>
    <tableColumn id="11" name="2nd Source" dataDxfId="73" totalsRowDxfId="72" dataCellStyle="Currency">
      <calculatedColumnFormula>IF(   $H$5=1,    IF((F11-$H$6)&gt;0,((F11)/$N$6)*$E$8,0),   IF(F11&gt;0,(F11/$N$4)*$E$8,0)    )</calculatedColumnFormula>
    </tableColumn>
    <tableColumn id="12" name="Total Due" dataDxfId="71" totalsRowDxfId="70" dataCellStyle="Currency">
      <calculatedColumnFormula>SUM(L11:M11)</calculatedColumnFormula>
    </tableColumn>
    <tableColumn id="14" name="Notes" dataDxfId="69" totalsRowDxfId="68" dataCellStyle="Normal"/>
  </tableColumns>
  <tableStyleInfo name="TableStyleLight1" showFirstColumn="0" showLastColumn="0" showRowStripes="1" showColumnStripes="0"/>
</table>
</file>

<file path=xl/tables/table22.xml><?xml version="1.0" encoding="utf-8"?>
<table xmlns="http://schemas.openxmlformats.org/spreadsheetml/2006/main" id="27" name="Table228" displayName="Table228" ref="A10:O136" totalsRowShown="0" headerRowDxfId="67" dataDxfId="66" headerRowCellStyle="Normal" dataCellStyle="Normal">
  <tableColumns count="15">
    <tableColumn id="1" name="Customer" dataDxfId="65" dataCellStyle="Normal"/>
    <tableColumn id="2" name="Standby" dataDxfId="64" dataCellStyle="Normal"/>
    <tableColumn id="3" name="Jul-11" dataDxfId="63" dataCellStyle="Normal"/>
    <tableColumn id="4" name="Aug-11" dataDxfId="62" dataCellStyle="Normal"/>
    <tableColumn id="13" name="New Meter?" dataDxfId="61" dataCellStyle="Normal"/>
    <tableColumn id="5" name="Usage" dataDxfId="60" dataCellStyle="Normal">
      <calculatedColumnFormula>($D11-$C11)+$E11</calculatedColumnFormula>
    </tableColumn>
    <tableColumn id="6" name="Base Rate " dataDxfId="59" dataCellStyle="Currency">
      <calculatedColumnFormula>IF(OR($F11&gt;0,$B11=""),40.09,11.79)</calculatedColumnFormula>
    </tableColumn>
    <tableColumn id="7" name="Tier1" dataDxfId="58" dataCellStyle="Currency">
      <calculatedColumnFormula>IF(AND((($F11-10000)&gt;0),(($F11-10000)&lt; 10000)),($F11-10000)/1000*2.18,IF(($F11-10000)&gt;10000,2.18*10,0))</calculatedColumnFormula>
    </tableColumn>
    <tableColumn id="8" name="Tier2" dataDxfId="57" dataCellStyle="Currency">
      <calculatedColumnFormula>IF(AND((($F11-20000)&gt;0),(($F11-20000)&lt;10000)),($F11-20000)/1000*2.53,IF(($F11-20000)&gt;10000,2.53*10,0))</calculatedColumnFormula>
    </tableColumn>
    <tableColumn id="9" name="Tier3" dataDxfId="56" dataCellStyle="Currency">
      <calculatedColumnFormula>IF(AND((($F11-30000)&gt;=0),(($F11-30000)&lt;=10000)),($F11-30000)/1000*2.95,IF(($F11-30000)&gt;=10000,2.95*10,0))</calculatedColumnFormula>
    </tableColumn>
    <tableColumn id="10" name="Tier4" dataDxfId="55" dataCellStyle="Currency">
      <calculatedColumnFormula>IF((($F11-40000)&gt;=0),($F11-40000)/1000*3.42,0)</calculatedColumnFormula>
    </tableColumn>
    <tableColumn id="15" name="Water Chrg" dataDxfId="54" dataCellStyle="Currency">
      <calculatedColumnFormula>SUM(G11:K11)</calculatedColumnFormula>
    </tableColumn>
    <tableColumn id="11" name="2nd Source" dataDxfId="53" dataCellStyle="Currency">
      <calculatedColumnFormula>IF(   $H$5=1,    IF((F11-$H$6)&gt;0,((F11)/$N$6)*$E$8,0),   IF(F11&gt;0,(F11/$N$4)*$E$8,0)    )</calculatedColumnFormula>
    </tableColumn>
    <tableColumn id="12" name="Total Due" dataDxfId="52" dataCellStyle="Currency">
      <calculatedColumnFormula>SUM(L11:M11)</calculatedColumnFormula>
    </tableColumn>
    <tableColumn id="14" name="Notes" dataDxfId="51" dataCellStyle="Normal"/>
  </tableColumns>
  <tableStyleInfo name="TableStyleLight1" showFirstColumn="0" showLastColumn="0" showRowStripes="1" showColumnStripes="0"/>
</table>
</file>

<file path=xl/tables/table23.xml><?xml version="1.0" encoding="utf-8"?>
<table xmlns="http://schemas.openxmlformats.org/spreadsheetml/2006/main" id="2" name="Table2" displayName="Table2" ref="A10:O136" totalsRowShown="0" headerRowDxfId="50" dataDxfId="49" headerRowCellStyle="Normal" dataCellStyle="Normal">
  <tableColumns count="15">
    <tableColumn id="1" name="Customer" dataDxfId="48" dataCellStyle="Normal"/>
    <tableColumn id="2" name="Standby" dataDxfId="47" dataCellStyle="Normal"/>
    <tableColumn id="3" name="Jul-11" dataDxfId="46" dataCellStyle="Normal"/>
    <tableColumn id="4" name="Aug-11" dataDxfId="45" dataCellStyle="Normal"/>
    <tableColumn id="13" name="New Meter?" dataDxfId="44" dataCellStyle="Normal"/>
    <tableColumn id="5" name="Usage" dataDxfId="43" dataCellStyle="Normal">
      <calculatedColumnFormula>D11-C11</calculatedColumnFormula>
    </tableColumn>
    <tableColumn id="6" name="Base Rate " dataDxfId="42" dataCellStyle="Currency">
      <calculatedColumnFormula>IF(OR($F11&gt;0,$B11=""),40.09,11.79)</calculatedColumnFormula>
    </tableColumn>
    <tableColumn id="7" name="Tier1" dataDxfId="41" dataCellStyle="Currency">
      <calculatedColumnFormula>IF(AND((($F11-10000)&gt;0),(($F11-10000)&lt; 10000)),($F11-10000)/1000*2.18,IF(($F11-10000)&gt;10000,2.18*10,0))</calculatedColumnFormula>
    </tableColumn>
    <tableColumn id="8" name="Tier2" dataDxfId="40" dataCellStyle="Currency">
      <calculatedColumnFormula>IF(AND((($F11-20000)&gt;0),(($F11-20000)&lt;10000)),($F11-20000)/1000*2.53,IF(($F11-20000)&gt;10000,2.53*10,0))</calculatedColumnFormula>
    </tableColumn>
    <tableColumn id="9" name="Tier3" dataDxfId="39" dataCellStyle="Currency">
      <calculatedColumnFormula>IF(AND((($F11-30000)&gt;=0),(($F11-30000)&lt;=10000)),($F11-30000)/1000*2.95,IF(($F11-30000)&gt;=10000,2.95*10,0))</calculatedColumnFormula>
    </tableColumn>
    <tableColumn id="10" name="Tier4" dataDxfId="38" dataCellStyle="Currency">
      <calculatedColumnFormula>IF((($F11-40000)&gt;=0),($F11-40000)/1000*3.42,0)</calculatedColumnFormula>
    </tableColumn>
    <tableColumn id="15" name="Water Chrg" dataDxfId="37" dataCellStyle="Currency">
      <calculatedColumnFormula>SUM(G11:K11)</calculatedColumnFormula>
    </tableColumn>
    <tableColumn id="11" name="2nd Source" dataDxfId="36" dataCellStyle="Currency">
      <calculatedColumnFormula>IF(   $H$5=1,    IF((F11-$H$6)&gt;0,((F11)/$N$6)*$E$8,0),   IF(F11&gt;0,(F11/$N$4)*$E$8,0)    )</calculatedColumnFormula>
    </tableColumn>
    <tableColumn id="12" name="Total Due" dataDxfId="35" dataCellStyle="Currency">
      <calculatedColumnFormula>SUM(L11:M11)</calculatedColumnFormula>
    </tableColumn>
    <tableColumn id="14" name="Notes" dataDxfId="34" dataCellStyle="Normal"/>
  </tableColumns>
  <tableStyleInfo name="TableStyleLight1" showFirstColumn="0" showLastColumn="0" showRowStripes="1" showColumnStripes="0"/>
</table>
</file>

<file path=xl/tables/table24.xml><?xml version="1.0" encoding="utf-8"?>
<table xmlns="http://schemas.openxmlformats.org/spreadsheetml/2006/main" id="13" name="Table214" displayName="Table214" ref="A10:N136" totalsRowShown="0" headerRowDxfId="33" dataDxfId="32" headerRowCellStyle="Normal" dataCellStyle="Normal">
  <tableColumns count="14">
    <tableColumn id="1" name="Customer" dataDxfId="31" dataCellStyle="Normal"/>
    <tableColumn id="2" name="Standby" dataDxfId="30" dataCellStyle="Normal"/>
    <tableColumn id="3" name="June-11" dataDxfId="29" dataCellStyle="Normal"/>
    <tableColumn id="4" name="July-11" dataDxfId="28" dataCellStyle="Normal"/>
    <tableColumn id="13" name="New Meter?" dataDxfId="27" dataCellStyle="Normal"/>
    <tableColumn id="5" name="May Usage" dataDxfId="26" dataCellStyle="Normal">
      <calculatedColumnFormula>($D11-$C11)+$E11</calculatedColumnFormula>
    </tableColumn>
    <tableColumn id="6" name="Base Rate " dataDxfId="25" dataCellStyle="Currency">
      <calculatedColumnFormula>IF(OR($F11&gt;0,$B11=""),40.09,11.79)</calculatedColumnFormula>
    </tableColumn>
    <tableColumn id="7" name="Tier1" dataDxfId="24" dataCellStyle="Currency">
      <calculatedColumnFormula>IF(AND((($F11-10000)&gt;0),(($F11-10000)&lt; 10000)),($F11-10000)/1000*2.18,IF(($F11-10000)&gt;10000,2.18*10,0))</calculatedColumnFormula>
    </tableColumn>
    <tableColumn id="8" name="Tier2" dataDxfId="23" dataCellStyle="Currency">
      <calculatedColumnFormula>IF(AND((($F11-20000)&gt;0),(($F11-20000)&lt;10000)),($F11-20000)/1000*2.53,IF(($F11-20000)&gt;10000,2.53*10,0))</calculatedColumnFormula>
    </tableColumn>
    <tableColumn id="9" name="Tier3" dataDxfId="22" dataCellStyle="Currency">
      <calculatedColumnFormula>IF(AND((($F11-30000)&gt;=0),(($F11-30000)&lt;=10000)),($F11-30000)/1000*2.95,IF(($F11-30000)&gt;=10000,2.95*10,0))</calculatedColumnFormula>
    </tableColumn>
    <tableColumn id="10" name="Tier4" dataDxfId="21" dataCellStyle="Currency">
      <calculatedColumnFormula>IF((($F11-40000)&gt;=0),($F11-40000)/1000*3.42,0)</calculatedColumnFormula>
    </tableColumn>
    <tableColumn id="11" name="2nd Source" dataDxfId="20" dataCellStyle="Currency"/>
    <tableColumn id="12" name="Total Due" dataDxfId="19" dataCellStyle="Currency">
      <calculatedColumnFormula>SUM(G11:K11)</calculatedColumnFormula>
    </tableColumn>
    <tableColumn id="14" name="Notes" dataDxfId="18" dataCellStyle="Normal"/>
  </tableColumns>
  <tableStyleInfo name="TableStyleLight1" showFirstColumn="0" showLastColumn="0" showRowStripes="1" showColumnStripes="0"/>
</table>
</file>

<file path=xl/tables/table25.xml><?xml version="1.0" encoding="utf-8"?>
<table xmlns="http://schemas.openxmlformats.org/spreadsheetml/2006/main" id="14" name="Table215" displayName="Table215" ref="A1:M127" totalsRowShown="0" headerRowCellStyle="Normal" dataCellStyle="Normal">
  <tableColumns count="13">
    <tableColumn id="1" name="Customer" dataCellStyle="Normal"/>
    <tableColumn id="2" name="Standby" dataCellStyle="Normal"/>
    <tableColumn id="3" name="May-11" dataCellStyle="Normal"/>
    <tableColumn id="4" name="Jun-11" dataCellStyle="Normal"/>
    <tableColumn id="13" name="New Meter?" dataCellStyle="Normal"/>
    <tableColumn id="5" name="May Usage" dataCellStyle="Normal">
      <calculatedColumnFormula>($D2-$C2)+$E2</calculatedColumnFormula>
    </tableColumn>
    <tableColumn id="6" name="Base Rate " dataCellStyle="Normal">
      <calculatedColumnFormula>IF(OR($F2&gt;0,$B2=""),40.09,11.79)</calculatedColumnFormula>
    </tableColumn>
    <tableColumn id="7" name="Tier1" dataCellStyle="Normal">
      <calculatedColumnFormula>IF(AND((($F2-10000)&gt;0),(($F2-10000)&lt; 10000)),($F2-10000)/1000*2.18,IF(($F2-10000)&gt;10000,2.18*10,0))</calculatedColumnFormula>
    </tableColumn>
    <tableColumn id="8" name="Tier2" dataCellStyle="Normal">
      <calculatedColumnFormula>IF(AND((($F2-20000)&gt;0),(($F2-20000)&lt;10000)),($F2-20000)/1000*2.53,IF(($F2-20000)&gt;10000,2.53*10,0))</calculatedColumnFormula>
    </tableColumn>
    <tableColumn id="9" name="Tier3" dataCellStyle="Normal">
      <calculatedColumnFormula>IF(AND((($F2-30000)&gt;0),(($F2-30000)&lt; 10000)),($F2-30000)/1000*2.95,IF(($F2-30000)&gt;10000,2.95*10,0))</calculatedColumnFormula>
    </tableColumn>
    <tableColumn id="10" name="Tier4" dataCellStyle="Normal">
      <calculatedColumnFormula>IF((($F2-40000)&gt;0),($F2-40000)/1000*3.42,0)</calculatedColumnFormula>
    </tableColumn>
    <tableColumn id="11" name="Total Due" dataCellStyle="Normal">
      <calculatedColumnFormula>SUM(G2:K2)</calculatedColumnFormula>
    </tableColumn>
    <tableColumn id="12" name="Notes" dataCellStyle="Normal"/>
  </tableColumns>
  <tableStyleInfo name="TableStyleMedium1" showFirstColumn="0" showLastColumn="0" showRowStripes="1" showColumnStripes="0"/>
</table>
</file>

<file path=xl/tables/table26.xml><?xml version="1.0" encoding="utf-8"?>
<table xmlns="http://schemas.openxmlformats.org/spreadsheetml/2006/main" id="7" name="Table28" displayName="Table28" ref="A1:M127" totalsRowShown="0" headerRowDxfId="17" dataDxfId="16" dataCellStyle="Currency">
  <tableColumns count="13">
    <tableColumn id="1" name="Customer"/>
    <tableColumn id="2" name="Standby" dataDxfId="15"/>
    <tableColumn id="3" name="Apr-11"/>
    <tableColumn id="4" name="May-11"/>
    <tableColumn id="13" name="New Meter?"/>
    <tableColumn id="5" name="May Usage">
      <calculatedColumnFormula>($D2-$C2)+$E2</calculatedColumnFormula>
    </tableColumn>
    <tableColumn id="6" name="Base Rate " dataDxfId="14" dataCellStyle="Currency">
      <calculatedColumnFormula>IF(OR($F2&gt;0,$B2=""),40.09,11.79)</calculatedColumnFormula>
    </tableColumn>
    <tableColumn id="7" name="Tier1" dataDxfId="13" dataCellStyle="Currency">
      <calculatedColumnFormula>IF(AND((($F2-10000)&gt;0),(($F2-10000)&lt; 10000)),($F2-10000)/1000*2.18,IF(($F2-10000)&gt;10000,2.18*10,0))</calculatedColumnFormula>
    </tableColumn>
    <tableColumn id="8" name="Tier2" dataDxfId="12" dataCellStyle="Currency">
      <calculatedColumnFormula>IF(AND((($F2-20000)&gt;0),(($F2-20000)&lt;10000)),($F2-20000)/1000*2.53,IF(($F2-20000)&gt;10000,2.53*10,0))</calculatedColumnFormula>
    </tableColumn>
    <tableColumn id="9" name="Tier3" dataDxfId="11" dataCellStyle="Currency">
      <calculatedColumnFormula>IF(AND((($F2-30000)&gt;0),(($F2-30000)&lt; 10000)),($F2-30000)/1000*2.95,IF(($F2-30000)&gt;10000,2.95*10,0))</calculatedColumnFormula>
    </tableColumn>
    <tableColumn id="10" name="Tier4" dataDxfId="10" dataCellStyle="Currency">
      <calculatedColumnFormula>IF((($F2-40000)&gt;0),($F2-40000)/1000*3.42,0)</calculatedColumnFormula>
    </tableColumn>
    <tableColumn id="11" name="Total Due" dataDxfId="9" dataCellStyle="Currency">
      <calculatedColumnFormula>SUM(G2:K2)</calculatedColumnFormula>
    </tableColumn>
    <tableColumn id="12" name="Notes"/>
  </tableColumns>
  <tableStyleInfo name="TableStyleMedium1" showFirstColumn="0" showLastColumn="0" showRowStripes="1" showColumnStripes="0"/>
</table>
</file>

<file path=xl/tables/table27.xml><?xml version="1.0" encoding="utf-8"?>
<table xmlns="http://schemas.openxmlformats.org/spreadsheetml/2006/main" id="10" name="Table211" displayName="Table211" ref="A1:L127" totalsRowShown="0" headerRowDxfId="8" dataDxfId="7" dataCellStyle="Currency">
  <autoFilter ref="A1:L127"/>
  <tableColumns count="12">
    <tableColumn id="1" name="Customer"/>
    <tableColumn id="2" name="Standby" dataDxfId="6"/>
    <tableColumn id="3" name="Mar-11"/>
    <tableColumn id="4" name="Apr-11"/>
    <tableColumn id="5" name="April Usage">
      <calculatedColumnFormula>D2-C2</calculatedColumnFormula>
    </tableColumn>
    <tableColumn id="6" name="Base Rate " dataDxfId="5" dataCellStyle="Currency">
      <calculatedColumnFormula>IF(OR($E2&gt;0,$B2=""),40.09,11.79)</calculatedColumnFormula>
    </tableColumn>
    <tableColumn id="7" name="Tier1" dataDxfId="4" dataCellStyle="Currency">
      <calculatedColumnFormula>IF(AND((($E2-10000)&gt;0),(($E2-10000)&lt; 10000)),($E2-10000)/1000*2.18,IF(($E2-10000)&gt;10000,2.18*10,0))</calculatedColumnFormula>
    </tableColumn>
    <tableColumn id="8" name="Tier2" dataDxfId="3" dataCellStyle="Currency">
      <calculatedColumnFormula>IF(AND((($E2-20000)&gt;0),(($E2-20000)&lt;10000)),($E2-20000)/1000*2.53,IF(($E2-20000)&gt;10000,2.53*10,0))</calculatedColumnFormula>
    </tableColumn>
    <tableColumn id="9" name="Tier3" dataDxfId="2" dataCellStyle="Currency">
      <calculatedColumnFormula>IF(AND((($E2-30000)&gt;0),(($E2-30000)&lt; 10000)),($E2-30000)/1000*2.95,IF(($E2-30000)&gt;10000,2.95*10,0))</calculatedColumnFormula>
    </tableColumn>
    <tableColumn id="10" name="Tier4" dataDxfId="1" dataCellStyle="Currency">
      <calculatedColumnFormula>IF((($E2-40000)&gt;0),($E2-40000)/1000*3.42,0)</calculatedColumnFormula>
    </tableColumn>
    <tableColumn id="11" name="Total Due" dataDxfId="0" dataCellStyle="Currency">
      <calculatedColumnFormula>SUM(F2:J2)</calculatedColumnFormula>
    </tableColumn>
    <tableColumn id="12" name="Notes"/>
  </tableColumns>
  <tableStyleInfo name="TableStyleMedium1" showFirstColumn="0" showLastColumn="0" showRowStripes="1" showColumnStripes="0"/>
</table>
</file>

<file path=xl/tables/table3.xml><?xml version="1.0" encoding="utf-8"?>
<table xmlns="http://schemas.openxmlformats.org/spreadsheetml/2006/main" id="19" name="Table220" displayName="Table220" ref="A10:O136" headerRowDxfId="647" dataDxfId="646" headerRowCellStyle="Normal" dataCellStyle="Normal">
  <tableColumns count="15">
    <tableColumn id="1" name="Customer" dataDxfId="645" totalsRowDxfId="644" dataCellStyle="Normal"/>
    <tableColumn id="2" name="Standby" dataDxfId="643" totalsRowDxfId="642" dataCellStyle="Normal"/>
    <tableColumn id="3" name="August" dataDxfId="641" dataCellStyle="Normal"/>
    <tableColumn id="4" name="September" dataDxfId="640" dataCellStyle="Normal"/>
    <tableColumn id="13" name="New Meter?" dataDxfId="639" totalsRowDxfId="638" dataCellStyle="Normal"/>
    <tableColumn id="5" name="Usage" dataDxfId="637" totalsRowDxfId="636" dataCellStyle="Normal">
      <calculatedColumnFormula>($D11-$C11)+$E11</calculatedColumnFormula>
    </tableColumn>
    <tableColumn id="6" name="Base Rate " dataDxfId="635" totalsRowDxfId="634" dataCellStyle="Currency">
      <calculatedColumnFormula>IF(OR($F11&gt;0,$B11=""),40.09,11.79)</calculatedColumnFormula>
    </tableColumn>
    <tableColumn id="7" name="Tier1" dataDxfId="633" totalsRowDxfId="632" dataCellStyle="Currency">
      <calculatedColumnFormula>IF(AND((($F11-10000)&gt;0),(($F11-10000)&lt; 10000)),($F11-10000)/1000*2.18,IF(($F11-10000)&gt;10000,2.18*10,0))</calculatedColumnFormula>
    </tableColumn>
    <tableColumn id="8" name="Tier2" dataDxfId="631" totalsRowDxfId="630" dataCellStyle="Currency">
      <calculatedColumnFormula>IF(AND((($F11-20000)&gt;0),(($F11-20000)&lt;10000)),($F11-20000)/1000*2.53,IF(($F11-20000)&gt;10000,2.53*10,0))</calculatedColumnFormula>
    </tableColumn>
    <tableColumn id="9" name="Tier3" dataDxfId="629" totalsRowDxfId="628" dataCellStyle="Currency">
      <calculatedColumnFormula>IF(AND((($F11-30000)&gt;=0),(($F11-30000)&lt;=10000)),($F11-30000)/1000*2.95,IF(($F11-30000)&gt;=10000,2.95*10,0))</calculatedColumnFormula>
    </tableColumn>
    <tableColumn id="10" name="Tier4" dataDxfId="627" totalsRowDxfId="626" dataCellStyle="Currency">
      <calculatedColumnFormula>IF((($F11-40000)&gt;=0),($F11-40000)/1000*3.42,0)</calculatedColumnFormula>
    </tableColumn>
    <tableColumn id="15" name="Water Chrg" dataDxfId="625" totalsRowDxfId="624" dataCellStyle="Currency">
      <calculatedColumnFormula>SUM(G11:K11)</calculatedColumnFormula>
    </tableColumn>
    <tableColumn id="11" name="2nd Source" dataDxfId="623" totalsRowDxfId="622" dataCellStyle="Currency">
      <calculatedColumnFormula>IF(   $H$5=1,    IF((F11-$H$6)&gt;0,((F11)/$R$6)*$E$8,0),   IF(F11&gt;0,(F11/$R$4)*$E$8,0)    )</calculatedColumnFormula>
    </tableColumn>
    <tableColumn id="12" name="Total Due" dataDxfId="621" totalsRowDxfId="620" dataCellStyle="Currency">
      <calculatedColumnFormula>SUM(L11:M11)</calculatedColumnFormula>
    </tableColumn>
    <tableColumn id="14" name="Notes" dataDxfId="619" totalsRowDxfId="618" dataCellStyle="Normal"/>
  </tableColumns>
  <tableStyleInfo name="TableStyleLight1" showFirstColumn="0" showLastColumn="0" showRowStripes="1" showColumnStripes="0"/>
</table>
</file>

<file path=xl/tables/table4.xml><?xml version="1.0" encoding="utf-8"?>
<table xmlns="http://schemas.openxmlformats.org/spreadsheetml/2006/main" id="24" name="Table21225" displayName="Table21225" ref="A10:O136" headerRowDxfId="617" dataDxfId="616" headerRowCellStyle="Normal" dataCellStyle="Normal">
  <tableColumns count="15">
    <tableColumn id="1" name="Customer" dataDxfId="615" totalsRowDxfId="614" dataCellStyle="Normal"/>
    <tableColumn id="2" name="Standby" dataDxfId="613" totalsRowDxfId="612" dataCellStyle="Normal"/>
    <tableColumn id="3" name="July" dataDxfId="611" dataCellStyle="Normal"/>
    <tableColumn id="4" name="August" dataDxfId="610" dataCellStyle="Normal"/>
    <tableColumn id="13" name="New Meter?" dataDxfId="609" totalsRowDxfId="608" dataCellStyle="Normal"/>
    <tableColumn id="5" name="Usage" dataDxfId="607" totalsRowDxfId="606" dataCellStyle="Normal">
      <calculatedColumnFormula>($D11-$C11)+$E11</calculatedColumnFormula>
    </tableColumn>
    <tableColumn id="6" name="Base Rate " dataDxfId="605" totalsRowDxfId="604" dataCellStyle="Currency">
      <calculatedColumnFormula>IF(OR($F11&gt;0,$B11=""),40.09,11.79)</calculatedColumnFormula>
    </tableColumn>
    <tableColumn id="7" name="Tier1" dataDxfId="603" totalsRowDxfId="602" dataCellStyle="Currency">
      <calculatedColumnFormula>IF(AND((($F11-10000)&gt;0),(($F11-10000)&lt; 10000)),($F11-10000)/1000*2.18,IF(($F11-10000)&gt;10000,2.18*10,0))</calculatedColumnFormula>
    </tableColumn>
    <tableColumn id="8" name="Tier2" dataDxfId="601" totalsRowDxfId="600" dataCellStyle="Currency">
      <calculatedColumnFormula>IF(AND((($F11-20000)&gt;0),(($F11-20000)&lt;10000)),($F11-20000)/1000*2.53,IF(($F11-20000)&gt;10000,2.53*10,0))</calculatedColumnFormula>
    </tableColumn>
    <tableColumn id="9" name="Tier3" dataDxfId="599" totalsRowDxfId="598" dataCellStyle="Currency">
      <calculatedColumnFormula>IF(AND((($F11-30000)&gt;=0),(($F11-30000)&lt;=10000)),($F11-30000)/1000*2.95,IF(($F11-30000)&gt;=10000,2.95*10,0))</calculatedColumnFormula>
    </tableColumn>
    <tableColumn id="10" name="Tier4" dataDxfId="597" totalsRowDxfId="596" dataCellStyle="Currency">
      <calculatedColumnFormula>IF((($F11-40000)&gt;=0),($F11-40000)/1000*3.42,0)</calculatedColumnFormula>
    </tableColumn>
    <tableColumn id="15" name="Water Chrg" dataDxfId="595" totalsRowDxfId="594" dataCellStyle="Currency">
      <calculatedColumnFormula>SUM(G11:K11)</calculatedColumnFormula>
    </tableColumn>
    <tableColumn id="11" name="2nd Source" dataDxfId="593" totalsRowDxfId="592" dataCellStyle="Currency"/>
    <tableColumn id="12" name="Total Due" dataDxfId="591" totalsRowDxfId="590" dataCellStyle="Currency">
      <calculatedColumnFormula>SUM(L11:M11)</calculatedColumnFormula>
    </tableColumn>
    <tableColumn id="14" name="Notes" dataDxfId="589" totalsRowDxfId="588" dataCellStyle="Normal"/>
  </tableColumns>
  <tableStyleInfo name="TableStyleLight1" showFirstColumn="0" showLastColumn="0" showRowStripes="1" showColumnStripes="0"/>
</table>
</file>

<file path=xl/tables/table5.xml><?xml version="1.0" encoding="utf-8"?>
<table xmlns="http://schemas.openxmlformats.org/spreadsheetml/2006/main" id="11" name="Table212" displayName="Table212" ref="A10:O136" headerRowDxfId="587" dataDxfId="586" headerRowCellStyle="Normal" dataCellStyle="Normal">
  <tableColumns count="15">
    <tableColumn id="1" name="Customer" dataDxfId="585" totalsRowDxfId="584" dataCellStyle="Normal"/>
    <tableColumn id="2" name="Standby" dataDxfId="583" totalsRowDxfId="582" dataCellStyle="Normal"/>
    <tableColumn id="3" name="July" dataDxfId="581" dataCellStyle="Normal"/>
    <tableColumn id="4" name="August" dataDxfId="580" dataCellStyle="Normal"/>
    <tableColumn id="13" name="New Meter?" dataDxfId="579" totalsRowDxfId="578" dataCellStyle="Normal"/>
    <tableColumn id="5" name="Usage" dataDxfId="577" totalsRowDxfId="576" dataCellStyle="Normal">
      <calculatedColumnFormula>($D11-$C11)+$E11</calculatedColumnFormula>
    </tableColumn>
    <tableColumn id="6" name="Base Rate " dataDxfId="575" totalsRowDxfId="574" dataCellStyle="Currency">
      <calculatedColumnFormula>IF(OR($F11&gt;0,$B11=""),40.09,11.79)</calculatedColumnFormula>
    </tableColumn>
    <tableColumn id="7" name="Tier1" dataDxfId="573" totalsRowDxfId="572" dataCellStyle="Currency">
      <calculatedColumnFormula>IF(AND((($F11-10000)&gt;0),(($F11-10000)&lt; 10000)),($F11-10000)/1000*2.18,IF(($F11-10000)&gt;10000,2.18*10,0))</calculatedColumnFormula>
    </tableColumn>
    <tableColumn id="8" name="Tier2" dataDxfId="571" totalsRowDxfId="570" dataCellStyle="Currency">
      <calculatedColumnFormula>IF(AND((($F11-20000)&gt;0),(($F11-20000)&lt;10000)),($F11-20000)/1000*2.53,IF(($F11-20000)&gt;10000,2.53*10,0))</calculatedColumnFormula>
    </tableColumn>
    <tableColumn id="9" name="Tier3" dataDxfId="569" totalsRowDxfId="568" dataCellStyle="Currency">
      <calculatedColumnFormula>IF(AND((($F11-30000)&gt;=0),(($F11-30000)&lt;=10000)),($F11-30000)/1000*2.95,IF(($F11-30000)&gt;=10000,2.95*10,0))</calculatedColumnFormula>
    </tableColumn>
    <tableColumn id="10" name="Tier4" dataDxfId="567" totalsRowDxfId="566" dataCellStyle="Currency">
      <calculatedColumnFormula>IF((($F11-40000)&gt;=0),($F11-40000)/1000*3.42,0)</calculatedColumnFormula>
    </tableColumn>
    <tableColumn id="15" name="Water Chrg" dataDxfId="565" totalsRowDxfId="564" dataCellStyle="Currency">
      <calculatedColumnFormula>SUM(G11:K11)</calculatedColumnFormula>
    </tableColumn>
    <tableColumn id="11" name="2nd Source" dataDxfId="563" totalsRowDxfId="562" dataCellStyle="Currency">
      <calculatedColumnFormula>IF(   $H$5=1,    IF((F11-$H$6)&gt;0,((F11)/$P$6)*$E$8,0),   IF(F11&gt;0,(F11/$P$4)*$E$8,0)    )</calculatedColumnFormula>
    </tableColumn>
    <tableColumn id="12" name="Total Due" dataDxfId="561" totalsRowDxfId="560" dataCellStyle="Currency">
      <calculatedColumnFormula>SUM(L11:M11)</calculatedColumnFormula>
    </tableColumn>
    <tableColumn id="14" name="Notes" dataDxfId="559" totalsRowDxfId="558" dataCellStyle="Normal"/>
  </tableColumns>
  <tableStyleInfo name="TableStyleLight1" showFirstColumn="0" showLastColumn="0" showRowStripes="1" showColumnStripes="0"/>
</table>
</file>

<file path=xl/tables/table6.xml><?xml version="1.0" encoding="utf-8"?>
<table xmlns="http://schemas.openxmlformats.org/spreadsheetml/2006/main" id="5" name="Table26" displayName="Table26" ref="A10:O136" headerRowDxfId="557" dataDxfId="556" headerRowCellStyle="Normal" dataCellStyle="Normal">
  <tableColumns count="15">
    <tableColumn id="1" name="Customer" dataDxfId="555" totalsRowDxfId="554" dataCellStyle="Normal"/>
    <tableColumn id="2" name="Standby" dataDxfId="553" totalsRowDxfId="552" dataCellStyle="Normal"/>
    <tableColumn id="3" name="June" dataDxfId="551" dataCellStyle="Normal"/>
    <tableColumn id="4" name="July" dataDxfId="550" dataCellStyle="Normal"/>
    <tableColumn id="13" name="New Meter?" dataDxfId="549" totalsRowDxfId="548" dataCellStyle="Normal"/>
    <tableColumn id="5" name="Usage" dataDxfId="547" totalsRowDxfId="546" dataCellStyle="Normal">
      <calculatedColumnFormula>($D11-$C11)+$E11</calculatedColumnFormula>
    </tableColumn>
    <tableColumn id="6" name="Base Rate " dataDxfId="545" totalsRowDxfId="544" dataCellStyle="Currency">
      <calculatedColumnFormula>IF(OR($F11&gt;0,$B11=""),40.09,11.79)</calculatedColumnFormula>
    </tableColumn>
    <tableColumn id="7" name="Tier1" dataDxfId="543" totalsRowDxfId="542" dataCellStyle="Currency">
      <calculatedColumnFormula>IF(AND((($F11-10000)&gt;0),(($F11-10000)&lt; 10000)),($F11-10000)/1000*2.18,IF(($F11-10000)&gt;10000,2.18*10,0))</calculatedColumnFormula>
    </tableColumn>
    <tableColumn id="8" name="Tier2" dataDxfId="541" totalsRowDxfId="540" dataCellStyle="Currency">
      <calculatedColumnFormula>IF(AND((($F11-20000)&gt;0),(($F11-20000)&lt;10000)),($F11-20000)/1000*2.53,IF(($F11-20000)&gt;10000,2.53*10,0))</calculatedColumnFormula>
    </tableColumn>
    <tableColumn id="9" name="Tier3" dataDxfId="539" totalsRowDxfId="538" dataCellStyle="Currency">
      <calculatedColumnFormula>IF(AND((($F11-30000)&gt;=0),(($F11-30000)&lt;=10000)),($F11-30000)/1000*2.95,IF(($F11-30000)&gt;=10000,2.95*10,0))</calculatedColumnFormula>
    </tableColumn>
    <tableColumn id="10" name="Tier4" dataDxfId="537" totalsRowDxfId="536" dataCellStyle="Currency">
      <calculatedColumnFormula>IF((($F11-40000)&gt;=0),($F11-40000)/1000*3.42,0)</calculatedColumnFormula>
    </tableColumn>
    <tableColumn id="15" name="Water Chrg" dataDxfId="535" totalsRowDxfId="534" dataCellStyle="Currency">
      <calculatedColumnFormula>SUM(G11:K11)</calculatedColumnFormula>
    </tableColumn>
    <tableColumn id="11" name="2nd Source" dataDxfId="533" totalsRowDxfId="532" dataCellStyle="Currency">
      <calculatedColumnFormula>IF(   $H$5=1,    IF((F11-$H$6)&gt;0,((F11)/$P$6)*$E$8,0),   IF(F11&gt;0,(F11/$P$4)*$E$8,0)    )</calculatedColumnFormula>
    </tableColumn>
    <tableColumn id="12" name="Total Due" dataDxfId="531" totalsRowDxfId="530" dataCellStyle="Currency">
      <calculatedColumnFormula>SUM(L11:M11)</calculatedColumnFormula>
    </tableColumn>
    <tableColumn id="14" name="Notes" dataDxfId="529" totalsRowDxfId="528" dataCellStyle="Normal"/>
  </tableColumns>
  <tableStyleInfo name="TableStyleLight1" showFirstColumn="0" showLastColumn="0" showRowStripes="1" showColumnStripes="0"/>
</table>
</file>

<file path=xl/tables/table7.xml><?xml version="1.0" encoding="utf-8"?>
<table xmlns="http://schemas.openxmlformats.org/spreadsheetml/2006/main" id="6" name="Table27" displayName="Table27" ref="A10:O136" headerRowDxfId="527" dataDxfId="526" headerRowCellStyle="Normal" dataCellStyle="Normal">
  <tableColumns count="15">
    <tableColumn id="1" name="Customer" dataDxfId="525" totalsRowDxfId="524" dataCellStyle="Normal"/>
    <tableColumn id="2" name="Standby" dataDxfId="523" totalsRowDxfId="522" dataCellStyle="Normal"/>
    <tableColumn id="3" name="May" dataDxfId="521" dataCellStyle="Normal"/>
    <tableColumn id="4" name="June" dataDxfId="520" dataCellStyle="Normal"/>
    <tableColumn id="13" name="New Meter?" dataDxfId="519" totalsRowDxfId="518" dataCellStyle="Normal"/>
    <tableColumn id="5" name="Usage" dataDxfId="517" totalsRowDxfId="516" dataCellStyle="Normal">
      <calculatedColumnFormula>($D11-$C11)+$E11</calculatedColumnFormula>
    </tableColumn>
    <tableColumn id="6" name="Base Rate " dataDxfId="515" totalsRowDxfId="514" dataCellStyle="Currency">
      <calculatedColumnFormula>IF(OR($F11&gt;0,$B11=""),40.09,11.79)</calculatedColumnFormula>
    </tableColumn>
    <tableColumn id="7" name="Tier1" dataDxfId="513" totalsRowDxfId="512" dataCellStyle="Currency">
      <calculatedColumnFormula>IF(AND((($F11-10000)&gt;0),(($F11-10000)&lt; 10000)),($F11-10000)/1000*2.18,IF(($F11-10000)&gt;10000,2.18*10,0))</calculatedColumnFormula>
    </tableColumn>
    <tableColumn id="8" name="Tier2" dataDxfId="511" totalsRowDxfId="510" dataCellStyle="Currency">
      <calculatedColumnFormula>IF(AND((($F11-20000)&gt;0),(($F11-20000)&lt;10000)),($F11-20000)/1000*2.53,IF(($F11-20000)&gt;10000,2.53*10,0))</calculatedColumnFormula>
    </tableColumn>
    <tableColumn id="9" name="Tier3" dataDxfId="509" totalsRowDxfId="508" dataCellStyle="Currency">
      <calculatedColumnFormula>IF(AND((($F11-30000)&gt;=0),(($F11-30000)&lt;=10000)),($F11-30000)/1000*2.95,IF(($F11-30000)&gt;=10000,2.95*10,0))</calculatedColumnFormula>
    </tableColumn>
    <tableColumn id="10" name="Tier4" dataDxfId="507" totalsRowDxfId="506" dataCellStyle="Currency">
      <calculatedColumnFormula>IF((($F11-40000)&gt;=0),($F11-40000)/1000*3.42,0)</calculatedColumnFormula>
    </tableColumn>
    <tableColumn id="15" name="Water Chrg" dataDxfId="505" totalsRowDxfId="504" dataCellStyle="Currency">
      <calculatedColumnFormula>SUM(G11:K11)</calculatedColumnFormula>
    </tableColumn>
    <tableColumn id="11" name="2nd Source" dataDxfId="503" totalsRowDxfId="502" dataCellStyle="Currency">
      <calculatedColumnFormula>IF(   $H$5=1,    IF((F11-$H$6)&gt;0,((F11)/$P$6)*$E$8,0),   IF(F11&gt;0,(F11/$P$4)*$E$8,0)    )</calculatedColumnFormula>
    </tableColumn>
    <tableColumn id="12" name="Total Due" dataDxfId="501" totalsRowDxfId="500" dataCellStyle="Currency">
      <calculatedColumnFormula>SUM(L11:M11)</calculatedColumnFormula>
    </tableColumn>
    <tableColumn id="14" name="Notes" dataDxfId="499" totalsRowDxfId="498" dataCellStyle="Normal"/>
  </tableColumns>
  <tableStyleInfo name="TableStyleLight1" showFirstColumn="0" showLastColumn="0" showRowStripes="1" showColumnStripes="0"/>
</table>
</file>

<file path=xl/tables/table8.xml><?xml version="1.0" encoding="utf-8"?>
<table xmlns="http://schemas.openxmlformats.org/spreadsheetml/2006/main" id="16" name="Table217" displayName="Table217" ref="A10:O136" headerRowDxfId="497" dataDxfId="496" headerRowCellStyle="Normal" dataCellStyle="Normal">
  <tableColumns count="15">
    <tableColumn id="1" name="Customer" dataDxfId="495" totalsRowDxfId="494" dataCellStyle="Normal"/>
    <tableColumn id="2" name="Standby" dataDxfId="493" totalsRowDxfId="492" dataCellStyle="Normal"/>
    <tableColumn id="3" name="March" dataDxfId="491" dataCellStyle="Normal"/>
    <tableColumn id="4" name="April" dataDxfId="490" dataCellStyle="Normal"/>
    <tableColumn id="13" name="New Meter?" dataDxfId="489" totalsRowDxfId="488" dataCellStyle="Normal"/>
    <tableColumn id="5" name="Usage" dataDxfId="487" totalsRowDxfId="486" dataCellStyle="Normal">
      <calculatedColumnFormula>($D11-$C11)+$E11</calculatedColumnFormula>
    </tableColumn>
    <tableColumn id="6" name="Base Rate " dataDxfId="485" totalsRowDxfId="484" dataCellStyle="Currency">
      <calculatedColumnFormula>IF(OR($F11&gt;0,$B11=""),40.09,11.79)</calculatedColumnFormula>
    </tableColumn>
    <tableColumn id="7" name="Tier1" dataDxfId="483" totalsRowDxfId="482" dataCellStyle="Currency">
      <calculatedColumnFormula>IF(AND((($F11-10000)&gt;0),(($F11-10000)&lt; 10000)),($F11-10000)/1000*2.18,IF(($F11-10000)&gt;10000,2.18*10,0))</calculatedColumnFormula>
    </tableColumn>
    <tableColumn id="8" name="Tier2" dataDxfId="481" totalsRowDxfId="480" dataCellStyle="Currency">
      <calculatedColumnFormula>IF(AND((($F11-20000)&gt;0),(($F11-20000)&lt;10000)),($F11-20000)/1000*2.53,IF(($F11-20000)&gt;10000,2.53*10,0))</calculatedColumnFormula>
    </tableColumn>
    <tableColumn id="9" name="Tier3" dataDxfId="479" totalsRowDxfId="478" dataCellStyle="Currency">
      <calculatedColumnFormula>IF(AND((($F11-30000)&gt;=0),(($F11-30000)&lt;=10000)),($F11-30000)/1000*2.95,IF(($F11-30000)&gt;=10000,2.95*10,0))</calculatedColumnFormula>
    </tableColumn>
    <tableColumn id="10" name="Tier4" dataDxfId="477" totalsRowDxfId="476" dataCellStyle="Currency">
      <calculatedColumnFormula>IF((($F11-40000)&gt;=0),($F11-40000)/1000*3.42,0)</calculatedColumnFormula>
    </tableColumn>
    <tableColumn id="15" name="Water Chrg" dataDxfId="475" totalsRowDxfId="474" dataCellStyle="Currency">
      <calculatedColumnFormula>SUM(G11:K11)</calculatedColumnFormula>
    </tableColumn>
    <tableColumn id="11" name="2nd Source" dataDxfId="473" totalsRowDxfId="472" dataCellStyle="Currency">
      <calculatedColumnFormula>IF(   $H$5=1,    IF((F11-$H$6)&gt;0,((F11)/$P$6)*$E$8,0),   IF(F11&gt;0,(F11/$P$4)*$E$8,0)    )</calculatedColumnFormula>
    </tableColumn>
    <tableColumn id="12" name="Total Due" dataDxfId="471" totalsRowDxfId="470" dataCellStyle="Currency">
      <calculatedColumnFormula>SUM(L11:M11)</calculatedColumnFormula>
    </tableColumn>
    <tableColumn id="14" name="Notes" dataDxfId="469" totalsRowDxfId="468" dataCellStyle="Normal"/>
  </tableColumns>
  <tableStyleInfo name="TableStyleLight1" showFirstColumn="0" showLastColumn="0" showRowStripes="1" showColumnStripes="0"/>
</table>
</file>

<file path=xl/tables/table9.xml><?xml version="1.0" encoding="utf-8"?>
<table xmlns="http://schemas.openxmlformats.org/spreadsheetml/2006/main" id="1" name="Table22" displayName="Table22" ref="A10:O136" headerRowDxfId="467" dataDxfId="466" headerRowCellStyle="Normal" dataCellStyle="Normal">
  <tableColumns count="15">
    <tableColumn id="1" name="Customer" dataDxfId="465" totalsRowDxfId="464" dataCellStyle="Normal"/>
    <tableColumn id="2" name="Standby" dataDxfId="463" totalsRowDxfId="462" dataCellStyle="Normal"/>
    <tableColumn id="3" name="March" dataDxfId="461" dataCellStyle="Normal"/>
    <tableColumn id="4" name="April" dataDxfId="460" dataCellStyle="Normal"/>
    <tableColumn id="13" name="New Meter?" dataDxfId="459" totalsRowDxfId="458" dataCellStyle="Normal"/>
    <tableColumn id="5" name="Usage" dataDxfId="457" totalsRowDxfId="456" dataCellStyle="Normal">
      <calculatedColumnFormula>($D11-$C11)+$E11</calculatedColumnFormula>
    </tableColumn>
    <tableColumn id="6" name="Base Rate " dataDxfId="455" totalsRowDxfId="454" dataCellStyle="Currency">
      <calculatedColumnFormula>IF(OR($F11&gt;0,$B11=""),40.09,11.79)</calculatedColumnFormula>
    </tableColumn>
    <tableColumn id="7" name="Tier1" dataDxfId="453" totalsRowDxfId="452" dataCellStyle="Currency">
      <calculatedColumnFormula>IF(AND((($F11-10000)&gt;0),(($F11-10000)&lt; 10000)),($F11-10000)/1000*2.18,IF(($F11-10000)&gt;10000,2.18*10,0))</calculatedColumnFormula>
    </tableColumn>
    <tableColumn id="8" name="Tier2" dataDxfId="451" totalsRowDxfId="450" dataCellStyle="Currency">
      <calculatedColumnFormula>IF(AND((($F11-20000)&gt;0),(($F11-20000)&lt;10000)),($F11-20000)/1000*2.53,IF(($F11-20000)&gt;10000,2.53*10,0))</calculatedColumnFormula>
    </tableColumn>
    <tableColumn id="9" name="Tier3" dataDxfId="449" totalsRowDxfId="448" dataCellStyle="Currency">
      <calculatedColumnFormula>IF(AND((($F11-30000)&gt;=0),(($F11-30000)&lt;=10000)),($F11-30000)/1000*2.95,IF(($F11-30000)&gt;=10000,2.95*10,0))</calculatedColumnFormula>
    </tableColumn>
    <tableColumn id="10" name="Tier4" dataDxfId="447" totalsRowDxfId="446" dataCellStyle="Currency">
      <calculatedColumnFormula>IF((($F11-40000)&gt;=0),($F11-40000)/1000*3.42,0)</calculatedColumnFormula>
    </tableColumn>
    <tableColumn id="15" name="Water Chrg" dataDxfId="445" totalsRowDxfId="444" dataCellStyle="Currency">
      <calculatedColumnFormula>SUM(G11:K11)</calculatedColumnFormula>
    </tableColumn>
    <tableColumn id="11" name="2nd Source" dataDxfId="443" totalsRowDxfId="442" dataCellStyle="Currency">
      <calculatedColumnFormula>IF(   $H$5=1,    IF((F11-$H$6)&gt;0,((F11)/$P$6)*$E$8,0),   IF(F11&gt;0,(F11/$P$4)*$E$8,0)    )</calculatedColumnFormula>
    </tableColumn>
    <tableColumn id="12" name="Total Due" dataDxfId="441" totalsRowDxfId="440" dataCellStyle="Currency">
      <calculatedColumnFormula>SUM(L11:M11)</calculatedColumnFormula>
    </tableColumn>
    <tableColumn id="14" name="Notes" dataDxfId="439" totalsRowDxfId="438" dataCellStyle="Normal"/>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6"/>
  <sheetViews>
    <sheetView tabSelected="1" zoomScaleNormal="100" zoomScalePageLayoutView="55" workbookViewId="0"/>
  </sheetViews>
  <sheetFormatPr defaultRowHeight="15"/>
  <cols>
    <col min="1" max="1" width="22" bestFit="1" customWidth="1"/>
    <col min="2" max="3" width="15.42578125" style="81" bestFit="1" customWidth="1"/>
    <col min="4" max="4" width="20" style="81" bestFit="1" customWidth="1"/>
    <col min="5" max="5" width="15.140625" style="81" customWidth="1"/>
    <col min="6" max="6" width="17.7109375" bestFit="1" customWidth="1"/>
    <col min="8" max="8" width="11.5703125" bestFit="1" customWidth="1"/>
  </cols>
  <sheetData>
    <row r="1" spans="1:8">
      <c r="A1" s="119" t="s">
        <v>353</v>
      </c>
      <c r="B1" s="118"/>
      <c r="C1" s="118"/>
      <c r="D1" s="118"/>
      <c r="E1" s="118"/>
      <c r="F1" s="117"/>
    </row>
    <row r="2" spans="1:8" ht="5.25" customHeight="1" thickBot="1"/>
    <row r="3" spans="1:8" ht="15.75" thickBot="1">
      <c r="B3" s="120" t="s">
        <v>297</v>
      </c>
      <c r="C3" s="120" t="s">
        <v>297</v>
      </c>
      <c r="D3" s="116" t="s">
        <v>298</v>
      </c>
      <c r="E3" s="220" t="s">
        <v>373</v>
      </c>
      <c r="F3" s="221"/>
    </row>
    <row r="4" spans="1:8" ht="5.25" customHeight="1"/>
    <row r="5" spans="1:8">
      <c r="A5" s="115" t="s">
        <v>299</v>
      </c>
      <c r="B5" s="81">
        <f>'Table 3 Summation of Detail'!BM47</f>
        <v>1378700</v>
      </c>
      <c r="C5" s="81">
        <f>'Table 3 Summation of Detail'!AO47</f>
        <v>2037000.0000000002</v>
      </c>
      <c r="D5" s="81">
        <f t="shared" ref="D5:D11" si="0">C5-B5</f>
        <v>658300.00000000023</v>
      </c>
      <c r="E5" s="81">
        <f>'Table 3 Summation of Detail'!AO55</f>
        <v>1737825</v>
      </c>
      <c r="F5" t="s">
        <v>311</v>
      </c>
    </row>
    <row r="6" spans="1:8">
      <c r="A6" s="115" t="s">
        <v>300</v>
      </c>
      <c r="B6" s="81">
        <f>'Table 3 Summation of Detail'!BK47</f>
        <v>983500</v>
      </c>
      <c r="C6" s="81">
        <f>'Table 3 Summation of Detail'!AM47</f>
        <v>2066700</v>
      </c>
      <c r="D6" s="81">
        <f t="shared" si="0"/>
        <v>1083200</v>
      </c>
      <c r="E6" s="81">
        <f>'Table 3 Summation of Detail'!AM55</f>
        <v>1828091.6666666667</v>
      </c>
      <c r="F6" t="s">
        <v>312</v>
      </c>
    </row>
    <row r="7" spans="1:8">
      <c r="A7" s="115" t="s">
        <v>301</v>
      </c>
      <c r="B7" s="81">
        <f>'Table 3 Summation of Detail'!BI47</f>
        <v>2048100</v>
      </c>
      <c r="C7" s="81">
        <f>'Table 3 Summation of Detail'!AK47</f>
        <v>4000500</v>
      </c>
      <c r="D7" s="81">
        <f t="shared" si="0"/>
        <v>1952400</v>
      </c>
      <c r="E7" s="81">
        <f>'Table 3 Summation of Detail'!AK55</f>
        <v>1990791.6666666667</v>
      </c>
      <c r="F7" t="s">
        <v>313</v>
      </c>
    </row>
    <row r="8" spans="1:8">
      <c r="A8" s="115" t="s">
        <v>302</v>
      </c>
      <c r="B8" s="81">
        <f>'Table 3 Summation of Detail'!BG47</f>
        <v>3090100</v>
      </c>
      <c r="C8" s="81">
        <f>'Table 3 Summation of Detail'!AI47</f>
        <v>2972700</v>
      </c>
      <c r="D8" s="81">
        <f t="shared" si="0"/>
        <v>-117400</v>
      </c>
      <c r="E8" s="81">
        <f>'Table 3 Summation of Detail'!AI55</f>
        <v>1981008.3333333333</v>
      </c>
      <c r="F8" t="s">
        <v>314</v>
      </c>
    </row>
    <row r="9" spans="1:8">
      <c r="A9" s="115" t="s">
        <v>303</v>
      </c>
      <c r="B9" s="81">
        <f>'Table 3 Summation of Detail'!BE47</f>
        <v>2948900</v>
      </c>
      <c r="C9" s="81">
        <f>'Table 3 Summation of Detail'!AG47</f>
        <v>3367000</v>
      </c>
      <c r="D9" s="81">
        <f t="shared" si="0"/>
        <v>418100</v>
      </c>
      <c r="E9" s="81">
        <f>'Table 3 Summation of Detail'!AG55</f>
        <v>2015850</v>
      </c>
      <c r="F9" t="s">
        <v>315</v>
      </c>
    </row>
    <row r="10" spans="1:8">
      <c r="A10" s="115" t="s">
        <v>304</v>
      </c>
      <c r="B10" s="81">
        <f>'Table 3 Summation of Detail'!BC47</f>
        <v>3420500</v>
      </c>
      <c r="C10" s="81">
        <f>'Table 3 Summation of Detail'!AE47</f>
        <v>2600300</v>
      </c>
      <c r="D10" s="81">
        <f t="shared" si="0"/>
        <v>-820200</v>
      </c>
      <c r="E10" s="81">
        <f>'Table 3 Summation of Detail'!AE55</f>
        <v>1947500</v>
      </c>
      <c r="F10" t="s">
        <v>316</v>
      </c>
    </row>
    <row r="11" spans="1:8">
      <c r="A11" s="114" t="s">
        <v>305</v>
      </c>
      <c r="B11" s="81">
        <f>'Table 3 Summation of Detail'!BA47</f>
        <v>1668000</v>
      </c>
      <c r="C11" s="81">
        <f>'Table 3 Summation of Detail'!AC47</f>
        <v>1310000</v>
      </c>
      <c r="D11" s="81">
        <f t="shared" si="0"/>
        <v>-358000</v>
      </c>
      <c r="E11" s="81">
        <f>'Table 3 Summation of Detail'!AC55</f>
        <v>1917666.6666666667</v>
      </c>
      <c r="F11" t="s">
        <v>317</v>
      </c>
    </row>
    <row r="12" spans="1:8">
      <c r="A12" s="114" t="s">
        <v>306</v>
      </c>
      <c r="B12" s="81">
        <f>'Table 3 Summation of Detail'!AY47</f>
        <v>919700</v>
      </c>
      <c r="C12" s="81">
        <f>'Table 3 Summation of Detail'!AA47</f>
        <v>919700</v>
      </c>
      <c r="D12" s="81">
        <f t="shared" ref="D12:D17" si="1">B12-C12</f>
        <v>0</v>
      </c>
      <c r="E12" s="81">
        <f>'Table 3 Summation of Detail'!AA55</f>
        <v>1917666.6666666667</v>
      </c>
      <c r="F12" t="s">
        <v>318</v>
      </c>
      <c r="H12" s="214"/>
    </row>
    <row r="13" spans="1:8">
      <c r="A13" s="115" t="s">
        <v>307</v>
      </c>
      <c r="B13" s="81">
        <f>'Table 3 Summation of Detail'!AW47</f>
        <v>927100</v>
      </c>
      <c r="C13" s="81">
        <f>'Table 3 Summation of Detail'!Y47</f>
        <v>927100</v>
      </c>
      <c r="D13" s="81">
        <f t="shared" si="1"/>
        <v>0</v>
      </c>
      <c r="E13" s="81">
        <f>'Table 3 Summation of Detail'!Y55</f>
        <v>1917666.6666666667</v>
      </c>
      <c r="F13" t="s">
        <v>319</v>
      </c>
      <c r="H13" s="214"/>
    </row>
    <row r="14" spans="1:8">
      <c r="A14" s="115" t="s">
        <v>308</v>
      </c>
      <c r="B14" s="81">
        <f>'Table 3 Summation of Detail'!AU47</f>
        <v>937000</v>
      </c>
      <c r="C14" s="81">
        <f>'Table 3 Summation of Detail'!W47</f>
        <v>937000</v>
      </c>
      <c r="D14" s="81">
        <f t="shared" si="1"/>
        <v>0</v>
      </c>
      <c r="E14" s="81">
        <f>'Table 3 Summation of Detail'!W55</f>
        <v>1917666.6666666667</v>
      </c>
      <c r="F14" t="s">
        <v>320</v>
      </c>
      <c r="H14" s="214"/>
    </row>
    <row r="15" spans="1:8">
      <c r="A15" s="115" t="s">
        <v>309</v>
      </c>
      <c r="B15" s="81">
        <f>'Table 3 Summation of Detail'!AS47</f>
        <v>937000</v>
      </c>
      <c r="C15" s="81">
        <f>'Table 3 Summation of Detail'!U47</f>
        <v>937000</v>
      </c>
      <c r="D15" s="81">
        <f t="shared" si="1"/>
        <v>0</v>
      </c>
      <c r="E15" s="81">
        <f>'Table 3 Summation of Detail'!U55</f>
        <v>1917666.6666666667</v>
      </c>
      <c r="F15" t="s">
        <v>321</v>
      </c>
    </row>
    <row r="16" spans="1:8">
      <c r="A16" s="114" t="s">
        <v>310</v>
      </c>
      <c r="B16" s="81">
        <f>'Table 3 Summation of Detail'!AQ47</f>
        <v>937000</v>
      </c>
      <c r="C16" s="81">
        <f>'Table 3 Summation of Detail'!S47</f>
        <v>937000</v>
      </c>
      <c r="D16" s="81">
        <f t="shared" si="1"/>
        <v>0</v>
      </c>
      <c r="E16" s="81">
        <f>'Table 3 Summation of Detail'!S55</f>
        <v>1917666.6666666667</v>
      </c>
      <c r="F16" t="s">
        <v>322</v>
      </c>
    </row>
    <row r="17" spans="1:6" ht="15.75" thickBot="1">
      <c r="A17" s="114"/>
      <c r="B17" s="82">
        <f>SUM(B5:B16)</f>
        <v>20195600</v>
      </c>
      <c r="C17" s="82">
        <f>SUM(C5:C16)</f>
        <v>23012000</v>
      </c>
      <c r="D17" s="82">
        <f t="shared" si="1"/>
        <v>-2816400</v>
      </c>
      <c r="E17" s="82"/>
    </row>
    <row r="18" spans="1:6" ht="15.75" thickTop="1">
      <c r="A18" s="121" t="s">
        <v>325</v>
      </c>
    </row>
    <row r="19" spans="1:6">
      <c r="A19" t="s">
        <v>324</v>
      </c>
      <c r="B19" s="81">
        <f>SUM(B5:B11)/7</f>
        <v>2219685.7142857141</v>
      </c>
      <c r="C19" s="81">
        <f>SUM(C5:C11)/7</f>
        <v>2622028.5714285714</v>
      </c>
      <c r="D19" s="81">
        <f>C19-B19</f>
        <v>402342.85714285728</v>
      </c>
    </row>
    <row r="20" spans="1:6" ht="15.75" thickBot="1"/>
    <row r="21" spans="1:6" ht="15.75" thickBot="1">
      <c r="A21" t="s">
        <v>374</v>
      </c>
      <c r="E21" s="116">
        <f>(B17+C17)/2</f>
        <v>21603800</v>
      </c>
      <c r="F21" t="s">
        <v>368</v>
      </c>
    </row>
    <row r="22" spans="1:6" ht="15.75" thickBot="1">
      <c r="A22" t="s">
        <v>323</v>
      </c>
      <c r="E22" s="116">
        <f>(B17+C17)/24</f>
        <v>1800316.6666666667</v>
      </c>
      <c r="F22" t="s">
        <v>368</v>
      </c>
    </row>
    <row r="24" spans="1:6">
      <c r="A24" t="s">
        <v>412</v>
      </c>
      <c r="C24" s="81">
        <f>'Table 3 Summation of Detail'!E58</f>
        <v>21216000</v>
      </c>
    </row>
    <row r="25" spans="1:6">
      <c r="A25" t="s">
        <v>413</v>
      </c>
      <c r="C25" s="81">
        <f>'Table 3 Summation of Detail'!E59</f>
        <v>1796000</v>
      </c>
    </row>
    <row r="26" spans="1:6" ht="15.75" thickBot="1">
      <c r="A26" t="s">
        <v>406</v>
      </c>
      <c r="C26" s="219">
        <f>SUM(C24:C25)</f>
        <v>23012000</v>
      </c>
      <c r="D26" s="215" t="s">
        <v>407</v>
      </c>
    </row>
    <row r="27" spans="1:6" ht="15.75" thickTop="1"/>
    <row r="28" spans="1:6">
      <c r="A28" s="119" t="s">
        <v>404</v>
      </c>
      <c r="B28" s="118"/>
      <c r="C28" s="118"/>
      <c r="D28" s="118"/>
      <c r="E28" s="118"/>
      <c r="F28" s="117"/>
    </row>
    <row r="29" spans="1:6" ht="50.25" customHeight="1">
      <c r="A29" s="222" t="s">
        <v>380</v>
      </c>
      <c r="B29" s="222"/>
      <c r="C29" s="222"/>
      <c r="D29" s="222"/>
      <c r="E29" s="222"/>
      <c r="F29" s="222"/>
    </row>
    <row r="30" spans="1:6" ht="159" customHeight="1">
      <c r="A30" s="222" t="s">
        <v>397</v>
      </c>
      <c r="B30" s="222"/>
      <c r="C30" s="222"/>
      <c r="D30" s="222"/>
      <c r="E30" s="222"/>
      <c r="F30" s="222"/>
    </row>
    <row r="31" spans="1:6" ht="99" customHeight="1">
      <c r="A31" s="222" t="s">
        <v>385</v>
      </c>
      <c r="B31" s="222"/>
      <c r="C31" s="222"/>
      <c r="D31" s="222"/>
      <c r="E31" s="222"/>
      <c r="F31" s="222"/>
    </row>
    <row r="32" spans="1:6" ht="85.5" customHeight="1">
      <c r="A32" s="222" t="s">
        <v>381</v>
      </c>
      <c r="B32" s="222"/>
      <c r="C32" s="222"/>
      <c r="D32" s="222"/>
      <c r="E32" s="222"/>
      <c r="F32" s="222"/>
    </row>
    <row r="33" spans="1:6" ht="69" customHeight="1">
      <c r="A33" s="223" t="s">
        <v>386</v>
      </c>
      <c r="B33" s="223"/>
      <c r="C33" s="223"/>
      <c r="D33" s="223"/>
      <c r="E33" s="223"/>
      <c r="F33" s="223"/>
    </row>
    <row r="34" spans="1:6" ht="98.25" customHeight="1">
      <c r="A34" s="223" t="s">
        <v>382</v>
      </c>
      <c r="B34" s="223"/>
      <c r="C34" s="223"/>
      <c r="D34" s="223"/>
      <c r="E34" s="223"/>
      <c r="F34" s="223"/>
    </row>
    <row r="35" spans="1:6" ht="21.75" customHeight="1">
      <c r="A35" s="222" t="s">
        <v>387</v>
      </c>
      <c r="B35" s="222"/>
      <c r="C35" s="222"/>
      <c r="D35" s="222"/>
      <c r="E35" s="222"/>
      <c r="F35" s="222"/>
    </row>
    <row r="36" spans="1:6" ht="83.25" customHeight="1">
      <c r="A36" s="222" t="s">
        <v>391</v>
      </c>
      <c r="B36" s="222"/>
      <c r="C36" s="222"/>
      <c r="D36" s="222"/>
      <c r="E36" s="222"/>
      <c r="F36" s="222"/>
    </row>
  </sheetData>
  <mergeCells count="9">
    <mergeCell ref="E3:F3"/>
    <mergeCell ref="A30:F30"/>
    <mergeCell ref="A31:F31"/>
    <mergeCell ref="A36:F36"/>
    <mergeCell ref="A29:F29"/>
    <mergeCell ref="A32:F32"/>
    <mergeCell ref="A34:F34"/>
    <mergeCell ref="A33:F33"/>
    <mergeCell ref="A35:F35"/>
  </mergeCells>
  <pageMargins left="0.7" right="0.7" top="0.83" bottom="0.39" header="0.3" footer="0.2"/>
  <pageSetup scale="85" orientation="portrait" horizontalDpi="4294967293" r:id="rId1"/>
  <headerFooter>
    <oddHeader>&amp;LHi-Country
Customer Usage Summary</oddHeader>
    <oddFooter>&amp;L&amp;A
&amp;F&amp;Rpage &amp;P of &amp;N</oddFooter>
  </headerFooter>
  <rowBreaks count="1" manualBreakCount="1">
    <brk id="32" max="16383" man="1"/>
  </rowBreaks>
</worksheet>
</file>

<file path=xl/worksheets/sheet10.xml><?xml version="1.0" encoding="utf-8"?>
<worksheet xmlns="http://schemas.openxmlformats.org/spreadsheetml/2006/main" xmlns:r="http://schemas.openxmlformats.org/officeDocument/2006/relationships">
  <sheetPr>
    <pageSetUpPr fitToPage="1"/>
  </sheetPr>
  <dimension ref="A1:P157"/>
  <sheetViews>
    <sheetView zoomScale="90" zoomScaleNormal="9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1" width="11.42578125" style="1" customWidth="1"/>
    <col min="12" max="12" width="12.140625" style="1" bestFit="1" customWidth="1"/>
    <col min="13" max="13" width="11.42578125" style="1" customWidth="1"/>
    <col min="14" max="14" width="11.85546875" style="1" customWidth="1"/>
    <col min="15" max="15" width="44.7109375" style="1" customWidth="1"/>
    <col min="16" max="16384" width="9.140625" style="1"/>
  </cols>
  <sheetData>
    <row r="1" spans="1:16" ht="46.5">
      <c r="A1" s="2" t="s">
        <v>141</v>
      </c>
    </row>
    <row r="2" spans="1:16" ht="28.5">
      <c r="A2" s="3" t="s">
        <v>142</v>
      </c>
    </row>
    <row r="4" spans="1:16">
      <c r="A4" s="1" t="s">
        <v>143</v>
      </c>
      <c r="B4" s="23">
        <v>41091</v>
      </c>
      <c r="D4" s="1" t="s">
        <v>146</v>
      </c>
      <c r="G4" s="1" t="s">
        <v>156</v>
      </c>
      <c r="J4" s="1" t="s">
        <v>163</v>
      </c>
      <c r="K4" s="5">
        <v>42.19</v>
      </c>
      <c r="M4" s="1" t="s">
        <v>164</v>
      </c>
      <c r="N4" s="5">
        <v>12.41</v>
      </c>
      <c r="O4" s="1" t="s">
        <v>149</v>
      </c>
      <c r="P4" s="1">
        <f>SUM(F11:F136)</f>
        <v>2972700</v>
      </c>
    </row>
    <row r="5" spans="1:16">
      <c r="A5" s="1" t="s">
        <v>165</v>
      </c>
      <c r="B5" s="24">
        <v>41118</v>
      </c>
      <c r="D5" s="1" t="s">
        <v>144</v>
      </c>
      <c r="G5" s="1" t="s">
        <v>155</v>
      </c>
      <c r="H5" s="1">
        <v>0</v>
      </c>
      <c r="J5" s="1" t="s">
        <v>166</v>
      </c>
      <c r="K5" s="5">
        <v>2.2999999999999998</v>
      </c>
      <c r="M5" s="1" t="s">
        <v>6</v>
      </c>
      <c r="N5" s="5">
        <v>185</v>
      </c>
      <c r="O5" s="1" t="s">
        <v>154</v>
      </c>
      <c r="P5" s="1">
        <f>P4-F16</f>
        <v>2875700</v>
      </c>
    </row>
    <row r="6" spans="1:16">
      <c r="B6" s="4"/>
      <c r="D6" s="1" t="s">
        <v>145</v>
      </c>
      <c r="G6" s="1" t="s">
        <v>158</v>
      </c>
      <c r="H6" s="1">
        <v>35000</v>
      </c>
      <c r="J6" s="1" t="s">
        <v>167</v>
      </c>
      <c r="K6" s="5">
        <v>2.67</v>
      </c>
      <c r="M6" s="1" t="s">
        <v>168</v>
      </c>
      <c r="N6" s="5">
        <v>1.99</v>
      </c>
      <c r="O6" s="1" t="s">
        <v>160</v>
      </c>
      <c r="P6" s="1">
        <f>SUMIF(F11:F15,"&gt;" &amp; $H$6)+SUMIF(F17:F136,"&gt;" &amp; $H$6)+SUMIF(F16,"&gt;" &amp; $H$7)</f>
        <v>2070000</v>
      </c>
    </row>
    <row r="7" spans="1:16">
      <c r="B7" s="4"/>
      <c r="D7" s="1" t="s">
        <v>150</v>
      </c>
      <c r="E7" s="12">
        <f>E6-E5</f>
        <v>0</v>
      </c>
      <c r="G7" s="1" t="s">
        <v>159</v>
      </c>
      <c r="H7" s="12">
        <v>100000</v>
      </c>
      <c r="J7" s="1" t="s">
        <v>169</v>
      </c>
      <c r="K7" s="5">
        <v>3.1</v>
      </c>
      <c r="M7" s="1" t="s">
        <v>170</v>
      </c>
      <c r="N7" s="5">
        <v>1755</v>
      </c>
      <c r="O7" s="1" t="s">
        <v>161</v>
      </c>
      <c r="P7" s="1">
        <f>(SUMIF(F11:F15,"&gt;" &amp; $H$6)-(COUNTIF(F11:F15,"&gt;" &amp; $H$6)*$H$6))+(SUMIF(F17:F136,"&gt;" &amp; $H$6)-(COUNTIF(F17:F136,"&gt;" &amp; $H$6)*$H$6))+(SUMIF(F16,"&gt;" &amp; $H$7)-(COUNTIF(F16,"&gt;" &amp; $H$7)*$H$7))</f>
        <v>1125000</v>
      </c>
    </row>
    <row r="8" spans="1:16">
      <c r="D8" s="1" t="s">
        <v>147</v>
      </c>
      <c r="E8" s="25">
        <v>0</v>
      </c>
      <c r="H8" s="6"/>
      <c r="J8" s="1" t="s">
        <v>171</v>
      </c>
      <c r="K8" s="5">
        <v>3.6</v>
      </c>
    </row>
    <row r="10" spans="1:16">
      <c r="A10" s="7" t="s">
        <v>0</v>
      </c>
      <c r="B10" s="10" t="s">
        <v>137</v>
      </c>
      <c r="C10" s="13" t="s">
        <v>181</v>
      </c>
      <c r="D10" s="26" t="s">
        <v>182</v>
      </c>
      <c r="E10" s="10" t="s">
        <v>140</v>
      </c>
      <c r="F10" s="10" t="s">
        <v>157</v>
      </c>
      <c r="G10" s="21" t="s">
        <v>132</v>
      </c>
      <c r="H10" s="21" t="s">
        <v>128</v>
      </c>
      <c r="I10" s="21" t="s">
        <v>129</v>
      </c>
      <c r="J10" s="22" t="s">
        <v>130</v>
      </c>
      <c r="K10" s="22" t="s">
        <v>131</v>
      </c>
      <c r="L10" s="22" t="s">
        <v>162</v>
      </c>
      <c r="M10" s="22" t="s">
        <v>148</v>
      </c>
      <c r="N10" s="22" t="s">
        <v>135</v>
      </c>
      <c r="O10" s="9" t="s">
        <v>127</v>
      </c>
    </row>
    <row r="11" spans="1:16">
      <c r="A11" s="1" t="s">
        <v>1</v>
      </c>
      <c r="B11" s="11"/>
      <c r="C11" s="11">
        <v>8614000</v>
      </c>
      <c r="D11" s="11">
        <v>8926000</v>
      </c>
      <c r="E11" s="11">
        <v>0</v>
      </c>
      <c r="F11" s="11">
        <f t="shared" ref="F11:F74" si="0">($D11-$C11)+$E11</f>
        <v>312000</v>
      </c>
      <c r="G11" s="17">
        <f>IF(OR($F11&gt;0,$B11=""),$K$4,$N$4)</f>
        <v>42.19</v>
      </c>
      <c r="H11" s="17">
        <f>IF(AND((($F11-10000)&gt;=0),(($F11-10000)&lt;= 10000)),($F11-10000)/1000*$K$5,IF(($F11-10000)&gt;=10000,$K$5*10,0))</f>
        <v>23</v>
      </c>
      <c r="I11" s="17">
        <f>IF(AND((($F11-20000)&gt;=0),(($F11-20000)&lt;=10000)),($F11-20000)/1000*$K$6,IF(($F11-20000)&gt;=10000,$K$6*10,0))</f>
        <v>26.7</v>
      </c>
      <c r="J11" s="18">
        <f>IF(AND((($F11-30000)&gt;=0),(($F11-30000)&lt;=10000)),($F11-30000)/1000*$K$7,IF(($F11-30000)&gt;=10000,$K$7*10,0))</f>
        <v>31</v>
      </c>
      <c r="K11" s="18">
        <f>IF((($F11-40000)&gt;=0),($F11-40000)/1000*$K$8,0)</f>
        <v>979.2</v>
      </c>
      <c r="L11" s="18">
        <f>SUM(G11:K11)</f>
        <v>1102.0900000000001</v>
      </c>
      <c r="M11" s="18">
        <f>IF(   $H$5=1,    IF((F11-$H$6)&gt;0,((F11-$H$6)/$P$7)*$E$8,0),   IF(F11&gt;0,(F11/$P$4)*$E$8,0)    )</f>
        <v>0</v>
      </c>
      <c r="N11" s="18">
        <f>SUM(L11:M11)</f>
        <v>1102.0900000000001</v>
      </c>
      <c r="O11" s="8"/>
    </row>
    <row r="12" spans="1:16">
      <c r="A12" s="1" t="s">
        <v>2</v>
      </c>
      <c r="B12" s="11"/>
      <c r="C12" s="11">
        <v>7052000</v>
      </c>
      <c r="D12" s="11">
        <v>7052000</v>
      </c>
      <c r="E12" s="11">
        <v>0</v>
      </c>
      <c r="F12" s="11">
        <f t="shared" si="0"/>
        <v>0</v>
      </c>
      <c r="G12" s="17">
        <f>IF(OR($F12&gt;0,$B12=""),$K$4,$N$4)</f>
        <v>42.19</v>
      </c>
      <c r="H12" s="17">
        <f>IF(AND((($F12-10000)&gt;=0),(($F12-10000)&lt;= 10000)),($F12-10000)/1000*$K$5,IF(($F12-10000)&gt;=10000,$K$5*10,0))</f>
        <v>0</v>
      </c>
      <c r="I12" s="17">
        <f>IF(AND((($F12-20000)&gt;=0),(($F12-20000)&lt;=10000)),($F12-20000)/1000*$K$6,IF(($F12-20000)&gt;=10000,$K$6*10,0))</f>
        <v>0</v>
      </c>
      <c r="J12" s="18">
        <f>IF(AND((($F12-30000)&gt;=0),(($F12-30000)&lt;=10000)),($F12-30000)/1000*$K$7,IF(($F12-30000)&gt;=10000,$K$7*10,0))</f>
        <v>0</v>
      </c>
      <c r="K12" s="18">
        <f>IF((($F12-40000)&gt;=0),($F12-40000)/1000*$K$8,0)</f>
        <v>0</v>
      </c>
      <c r="L12" s="18">
        <f t="shared" ref="L12:L75" si="1">SUM(G12:K12)</f>
        <v>42.19</v>
      </c>
      <c r="M12" s="18">
        <f>IF(   $H$5=1,    IF((F12-$H$6)&gt;0,((F12-$H$6)/$P$7)*$E$8,0),   IF(F12&gt;0,(F12/$P$4)*$E$8,0)    )</f>
        <v>0</v>
      </c>
      <c r="N12" s="18">
        <f t="shared" ref="N12:N75" si="2">SUM(L12:M12)</f>
        <v>42.19</v>
      </c>
      <c r="O12" s="8"/>
    </row>
    <row r="13" spans="1:16">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IF((F13-$H$6)&gt;0,((F13-$H$6)/$P$7)*$E$8,0),   IF(F13&gt;0,(F13/$P$4)*$E$8,0)    )</f>
        <v>0</v>
      </c>
      <c r="N13" s="18">
        <f t="shared" si="2"/>
        <v>42.19</v>
      </c>
      <c r="O13" s="8" t="s">
        <v>134</v>
      </c>
    </row>
    <row r="14" spans="1:16">
      <c r="A14" s="1" t="s">
        <v>4</v>
      </c>
      <c r="B14" s="11"/>
      <c r="C14" s="11">
        <v>3708000</v>
      </c>
      <c r="D14" s="11">
        <v>3708000</v>
      </c>
      <c r="E14" s="11">
        <v>0</v>
      </c>
      <c r="F14" s="11">
        <f t="shared" si="0"/>
        <v>0</v>
      </c>
      <c r="G14" s="17">
        <f>IF(OR($F14&gt;0,$B14=""),$K$4,$N$4)</f>
        <v>42.19</v>
      </c>
      <c r="H14" s="17">
        <f>IF(AND((($F14-10000)&gt;=0),(($F14-10000)&lt;= 10000)),($F14-10000)/1000*$K$5,IF(($F14-10000)&gt;=10000,$K$5*10,0))</f>
        <v>0</v>
      </c>
      <c r="I14" s="17">
        <f>IF(AND((($F14-20000)&gt;=0),(($F14-20000)&lt;=10000)),($F14-20000)/1000*$K$6,IF(($F14-20000)&gt;=10000,$K$6*10,0))</f>
        <v>0</v>
      </c>
      <c r="J14" s="18">
        <f>IF(AND((($F14-30000)&gt;=0),(($F14-30000)&lt;=10000)),($F14-30000)/1000*$K$7,IF(($F14-30000)&gt;=10000,$K$7*10,0))</f>
        <v>0</v>
      </c>
      <c r="K14" s="18">
        <f>IF((($F14-40000)&gt;=0),($F14-40000)/1000*$K$8,0)</f>
        <v>0</v>
      </c>
      <c r="L14" s="18">
        <f t="shared" si="1"/>
        <v>42.19</v>
      </c>
      <c r="M14" s="18">
        <f>IF(   $H$5=1,    IF((F14-$H$6)&gt;0,((F14-$H$6)/$P$7)*$E$8,0),   IF(F14&gt;0,(F14/$P$4)*$E$8,0)    )</f>
        <v>0</v>
      </c>
      <c r="N14" s="18">
        <f t="shared" si="2"/>
        <v>42.19</v>
      </c>
      <c r="O14" s="8"/>
    </row>
    <row r="15" spans="1:16">
      <c r="A15" s="1" t="s">
        <v>5</v>
      </c>
      <c r="B15" s="11"/>
      <c r="C15" s="11">
        <v>2661000</v>
      </c>
      <c r="D15" s="11">
        <v>2742000</v>
      </c>
      <c r="E15" s="11">
        <v>0</v>
      </c>
      <c r="F15" s="11">
        <f t="shared" si="0"/>
        <v>81000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147.6</v>
      </c>
      <c r="L15" s="18">
        <f t="shared" si="1"/>
        <v>270.49</v>
      </c>
      <c r="M15" s="18">
        <f>IF(   $H$5=1,    IF((F15-$H$6)&gt;0,((F15-$H$6)/$P$7)*$E$8,0),   IF(F15&gt;0,(F15/$P$4)*$E$8,0)    )</f>
        <v>0</v>
      </c>
      <c r="N15" s="18">
        <f t="shared" si="2"/>
        <v>270.49</v>
      </c>
      <c r="O15" s="8"/>
    </row>
    <row r="16" spans="1:16">
      <c r="A16" s="1" t="s">
        <v>6</v>
      </c>
      <c r="B16" s="11"/>
      <c r="C16" s="11">
        <v>26303000</v>
      </c>
      <c r="D16" s="11">
        <v>26400000</v>
      </c>
      <c r="E16" s="11">
        <v>0</v>
      </c>
      <c r="F16" s="11">
        <f t="shared" si="0"/>
        <v>97000</v>
      </c>
      <c r="G16" s="17">
        <f>$N$5</f>
        <v>185</v>
      </c>
      <c r="H16" s="17">
        <f>IF(($F16-100000)&gt;=0,($F16-100000)/1000*$N$6,0)</f>
        <v>0</v>
      </c>
      <c r="I16" s="17"/>
      <c r="J16" s="18"/>
      <c r="K16" s="18"/>
      <c r="L16" s="18">
        <f t="shared" si="1"/>
        <v>185</v>
      </c>
      <c r="M16" s="18">
        <f>IF(   $H$5=1,     IF((F16-$H$7)&gt;0,((F16-$H$7)/$P$7)*$E$8,0),   IF(F16&gt;0,(F16/$P$4)*$E$8,0)    )</f>
        <v>0</v>
      </c>
      <c r="N16" s="18">
        <f t="shared" si="2"/>
        <v>185</v>
      </c>
      <c r="O16" s="8" t="s">
        <v>133</v>
      </c>
    </row>
    <row r="17" spans="1:15">
      <c r="A17" s="1" t="s">
        <v>7</v>
      </c>
      <c r="B17" s="11"/>
      <c r="C17" s="11">
        <v>630000</v>
      </c>
      <c r="D17" s="11">
        <v>643000</v>
      </c>
      <c r="E17" s="11">
        <v>0</v>
      </c>
      <c r="F17" s="11">
        <f t="shared" si="0"/>
        <v>13000</v>
      </c>
      <c r="G17" s="17">
        <f t="shared" ref="G17:G80" si="3">IF(OR($F17&gt;0,$B17=""),$K$4,$N$4)</f>
        <v>42.19</v>
      </c>
      <c r="H17" s="17">
        <f t="shared" ref="H17:H80" si="4">IF(AND((($F17-10000)&gt;=0),(($F17-10000)&lt;= 10000)),($F17-10000)/1000*$K$5,IF(($F17-10000)&gt;=10000,$K$5*10,0))</f>
        <v>6.8999999999999995</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49.089999999999996</v>
      </c>
      <c r="M17" s="18">
        <f t="shared" ref="M17:M48" si="8">IF(   $H$5=1,    IF((F17-$H$6)&gt;0,((F17-$H$6)/$P$7)*$E$8,0),   IF(F17&gt;0,(F17/$P$4)*$E$8,0)    )</f>
        <v>0</v>
      </c>
      <c r="N17" s="18">
        <f t="shared" si="2"/>
        <v>49.089999999999996</v>
      </c>
      <c r="O17" s="8"/>
    </row>
    <row r="18" spans="1:15">
      <c r="A18" s="1" t="s">
        <v>8</v>
      </c>
      <c r="B18" s="11"/>
      <c r="C18" s="11">
        <v>164000</v>
      </c>
      <c r="D18" s="11">
        <v>322000</v>
      </c>
      <c r="E18" s="11">
        <v>0</v>
      </c>
      <c r="F18" s="11">
        <f t="shared" si="0"/>
        <v>158000</v>
      </c>
      <c r="G18" s="17">
        <f t="shared" si="3"/>
        <v>42.19</v>
      </c>
      <c r="H18" s="17">
        <f t="shared" si="4"/>
        <v>23</v>
      </c>
      <c r="I18" s="17">
        <f t="shared" si="5"/>
        <v>26.7</v>
      </c>
      <c r="J18" s="18">
        <f t="shared" si="6"/>
        <v>31</v>
      </c>
      <c r="K18" s="18">
        <f t="shared" si="7"/>
        <v>424.8</v>
      </c>
      <c r="L18" s="18">
        <f t="shared" si="1"/>
        <v>547.69000000000005</v>
      </c>
      <c r="M18" s="18">
        <f t="shared" si="8"/>
        <v>0</v>
      </c>
      <c r="N18" s="18">
        <f t="shared" si="2"/>
        <v>547.69000000000005</v>
      </c>
      <c r="O18" s="8" t="s">
        <v>174</v>
      </c>
    </row>
    <row r="19" spans="1:15">
      <c r="A19" s="1" t="s">
        <v>9</v>
      </c>
      <c r="B19" s="11"/>
      <c r="C19" s="11">
        <v>374000</v>
      </c>
      <c r="D19" s="11">
        <v>411000</v>
      </c>
      <c r="E19" s="11">
        <v>0</v>
      </c>
      <c r="F19" s="11">
        <f t="shared" si="0"/>
        <v>37000</v>
      </c>
      <c r="G19" s="17">
        <f t="shared" si="3"/>
        <v>42.19</v>
      </c>
      <c r="H19" s="17">
        <f t="shared" si="4"/>
        <v>23</v>
      </c>
      <c r="I19" s="17">
        <f t="shared" si="5"/>
        <v>26.7</v>
      </c>
      <c r="J19" s="18">
        <f t="shared" si="6"/>
        <v>21.7</v>
      </c>
      <c r="K19" s="18">
        <f t="shared" si="7"/>
        <v>0</v>
      </c>
      <c r="L19" s="18">
        <f t="shared" si="1"/>
        <v>113.59</v>
      </c>
      <c r="M19" s="18">
        <f t="shared" si="8"/>
        <v>0</v>
      </c>
      <c r="N19" s="18">
        <f t="shared" si="2"/>
        <v>113.59</v>
      </c>
      <c r="O19" s="8"/>
    </row>
    <row r="20" spans="1:15">
      <c r="A20" s="1" t="s">
        <v>10</v>
      </c>
      <c r="B20" s="11"/>
      <c r="C20" s="11">
        <v>1611000</v>
      </c>
      <c r="D20" s="11">
        <v>1631000</v>
      </c>
      <c r="E20" s="11">
        <v>0</v>
      </c>
      <c r="F20" s="11">
        <f t="shared" si="0"/>
        <v>20000</v>
      </c>
      <c r="G20" s="17">
        <f t="shared" si="3"/>
        <v>42.19</v>
      </c>
      <c r="H20" s="17">
        <f t="shared" si="4"/>
        <v>23</v>
      </c>
      <c r="I20" s="17">
        <f t="shared" si="5"/>
        <v>0</v>
      </c>
      <c r="J20" s="18">
        <f t="shared" si="6"/>
        <v>0</v>
      </c>
      <c r="K20" s="18">
        <f t="shared" si="7"/>
        <v>0</v>
      </c>
      <c r="L20" s="18">
        <f t="shared" si="1"/>
        <v>65.19</v>
      </c>
      <c r="M20" s="18">
        <f t="shared" si="8"/>
        <v>0</v>
      </c>
      <c r="N20" s="18">
        <f t="shared" si="2"/>
        <v>65.19</v>
      </c>
      <c r="O20" s="8"/>
    </row>
    <row r="21" spans="1:15">
      <c r="A21" s="1" t="s">
        <v>11</v>
      </c>
      <c r="B21" s="11"/>
      <c r="C21" s="11">
        <v>2064000</v>
      </c>
      <c r="D21" s="11">
        <v>2080000</v>
      </c>
      <c r="E21" s="11">
        <v>0</v>
      </c>
      <c r="F21" s="11">
        <f t="shared" si="0"/>
        <v>16000</v>
      </c>
      <c r="G21" s="17">
        <f t="shared" si="3"/>
        <v>42.19</v>
      </c>
      <c r="H21" s="17">
        <f t="shared" si="4"/>
        <v>13.799999999999999</v>
      </c>
      <c r="I21" s="17">
        <f t="shared" si="5"/>
        <v>0</v>
      </c>
      <c r="J21" s="18">
        <f t="shared" si="6"/>
        <v>0</v>
      </c>
      <c r="K21" s="18">
        <f t="shared" si="7"/>
        <v>0</v>
      </c>
      <c r="L21" s="18">
        <f t="shared" si="1"/>
        <v>55.989999999999995</v>
      </c>
      <c r="M21" s="18">
        <f t="shared" si="8"/>
        <v>0</v>
      </c>
      <c r="N21" s="18">
        <f t="shared" si="2"/>
        <v>55.989999999999995</v>
      </c>
      <c r="O21" s="8"/>
    </row>
    <row r="22" spans="1:15">
      <c r="A22" s="1" t="s">
        <v>12</v>
      </c>
      <c r="B22" s="11"/>
      <c r="C22" s="11">
        <v>2307000</v>
      </c>
      <c r="D22" s="11">
        <v>2336000</v>
      </c>
      <c r="E22" s="11">
        <v>0</v>
      </c>
      <c r="F22" s="11">
        <f t="shared" si="0"/>
        <v>29000</v>
      </c>
      <c r="G22" s="17">
        <f t="shared" si="3"/>
        <v>42.19</v>
      </c>
      <c r="H22" s="17">
        <f t="shared" si="4"/>
        <v>23</v>
      </c>
      <c r="I22" s="17">
        <f t="shared" si="5"/>
        <v>24.03</v>
      </c>
      <c r="J22" s="18">
        <f t="shared" si="6"/>
        <v>0</v>
      </c>
      <c r="K22" s="18">
        <f t="shared" si="7"/>
        <v>0</v>
      </c>
      <c r="L22" s="18">
        <f t="shared" si="1"/>
        <v>89.22</v>
      </c>
      <c r="M22" s="18">
        <f t="shared" si="8"/>
        <v>0</v>
      </c>
      <c r="N22" s="18">
        <f t="shared" si="2"/>
        <v>89.22</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6608000</v>
      </c>
      <c r="D24" s="11">
        <v>6714000</v>
      </c>
      <c r="E24" s="11">
        <v>0</v>
      </c>
      <c r="F24" s="11">
        <f t="shared" si="0"/>
        <v>106000</v>
      </c>
      <c r="G24" s="17">
        <f t="shared" si="3"/>
        <v>42.19</v>
      </c>
      <c r="H24" s="17">
        <f t="shared" si="4"/>
        <v>23</v>
      </c>
      <c r="I24" s="17">
        <f t="shared" si="5"/>
        <v>26.7</v>
      </c>
      <c r="J24" s="18">
        <f t="shared" si="6"/>
        <v>31</v>
      </c>
      <c r="K24" s="18">
        <f t="shared" si="7"/>
        <v>237.6</v>
      </c>
      <c r="L24" s="18">
        <f t="shared" si="1"/>
        <v>360.49</v>
      </c>
      <c r="M24" s="18">
        <f t="shared" si="8"/>
        <v>0</v>
      </c>
      <c r="N24" s="18">
        <f t="shared" si="2"/>
        <v>360.49</v>
      </c>
      <c r="O24" s="8"/>
    </row>
    <row r="25" spans="1:15">
      <c r="A25" s="1" t="s">
        <v>15</v>
      </c>
      <c r="B25" s="11"/>
      <c r="C25" s="11">
        <v>2726000</v>
      </c>
      <c r="D25" s="11">
        <v>2754000</v>
      </c>
      <c r="E25" s="11">
        <v>0</v>
      </c>
      <c r="F25" s="11">
        <f t="shared" si="0"/>
        <v>28000</v>
      </c>
      <c r="G25" s="17">
        <f t="shared" si="3"/>
        <v>42.19</v>
      </c>
      <c r="H25" s="17">
        <f t="shared" si="4"/>
        <v>23</v>
      </c>
      <c r="I25" s="17">
        <f t="shared" si="5"/>
        <v>21.36</v>
      </c>
      <c r="J25" s="18">
        <f t="shared" si="6"/>
        <v>0</v>
      </c>
      <c r="K25" s="18">
        <f t="shared" si="7"/>
        <v>0</v>
      </c>
      <c r="L25" s="18">
        <f t="shared" si="1"/>
        <v>86.55</v>
      </c>
      <c r="M25" s="18">
        <f t="shared" si="8"/>
        <v>0</v>
      </c>
      <c r="N25" s="18">
        <f t="shared" si="2"/>
        <v>86.55</v>
      </c>
      <c r="O25" s="8"/>
    </row>
    <row r="26" spans="1:15">
      <c r="A26" s="1" t="s">
        <v>16</v>
      </c>
      <c r="B26" s="11"/>
      <c r="C26" s="11">
        <v>1656000</v>
      </c>
      <c r="D26" s="11">
        <v>1675000</v>
      </c>
      <c r="E26" s="11">
        <v>0</v>
      </c>
      <c r="F26" s="11">
        <f t="shared" si="0"/>
        <v>19000</v>
      </c>
      <c r="G26" s="17">
        <f t="shared" si="3"/>
        <v>42.19</v>
      </c>
      <c r="H26" s="17">
        <f t="shared" si="4"/>
        <v>20.7</v>
      </c>
      <c r="I26" s="17">
        <f t="shared" si="5"/>
        <v>0</v>
      </c>
      <c r="J26" s="18">
        <f t="shared" si="6"/>
        <v>0</v>
      </c>
      <c r="K26" s="18">
        <f t="shared" si="7"/>
        <v>0</v>
      </c>
      <c r="L26" s="18">
        <f t="shared" si="1"/>
        <v>62.89</v>
      </c>
      <c r="M26" s="18">
        <f t="shared" si="8"/>
        <v>0</v>
      </c>
      <c r="N26" s="18">
        <f t="shared" si="2"/>
        <v>62.89</v>
      </c>
      <c r="O26" s="8"/>
    </row>
    <row r="27" spans="1:15">
      <c r="A27" s="1" t="s">
        <v>17</v>
      </c>
      <c r="B27" s="11"/>
      <c r="C27" s="11">
        <v>1217000</v>
      </c>
      <c r="D27" s="11">
        <v>1223000</v>
      </c>
      <c r="E27" s="11">
        <v>0</v>
      </c>
      <c r="F27" s="11">
        <f t="shared" si="0"/>
        <v>6000</v>
      </c>
      <c r="G27" s="17">
        <f t="shared" si="3"/>
        <v>42.19</v>
      </c>
      <c r="H27" s="17">
        <f t="shared" si="4"/>
        <v>0</v>
      </c>
      <c r="I27" s="17">
        <f t="shared" si="5"/>
        <v>0</v>
      </c>
      <c r="J27" s="18">
        <f t="shared" si="6"/>
        <v>0</v>
      </c>
      <c r="K27" s="18">
        <f t="shared" si="7"/>
        <v>0</v>
      </c>
      <c r="L27" s="18">
        <f t="shared" si="1"/>
        <v>42.19</v>
      </c>
      <c r="M27" s="18">
        <f t="shared" si="8"/>
        <v>0</v>
      </c>
      <c r="N27" s="18">
        <f t="shared" si="2"/>
        <v>42.19</v>
      </c>
      <c r="O27" s="8"/>
    </row>
    <row r="28" spans="1:15">
      <c r="A28" s="1" t="s">
        <v>18</v>
      </c>
      <c r="B28" s="11"/>
      <c r="C28" s="11">
        <v>4088000</v>
      </c>
      <c r="D28" s="11">
        <v>4101000</v>
      </c>
      <c r="E28" s="11">
        <v>0</v>
      </c>
      <c r="F28" s="11">
        <f t="shared" si="0"/>
        <v>13000</v>
      </c>
      <c r="G28" s="17">
        <f t="shared" si="3"/>
        <v>42.19</v>
      </c>
      <c r="H28" s="17">
        <f t="shared" si="4"/>
        <v>6.8999999999999995</v>
      </c>
      <c r="I28" s="17">
        <f t="shared" si="5"/>
        <v>0</v>
      </c>
      <c r="J28" s="18">
        <f t="shared" si="6"/>
        <v>0</v>
      </c>
      <c r="K28" s="18">
        <f t="shared" si="7"/>
        <v>0</v>
      </c>
      <c r="L28" s="18">
        <f t="shared" si="1"/>
        <v>49.089999999999996</v>
      </c>
      <c r="M28" s="18">
        <f t="shared" si="8"/>
        <v>0</v>
      </c>
      <c r="N28" s="18">
        <f t="shared" si="2"/>
        <v>49.089999999999996</v>
      </c>
      <c r="O28" s="8"/>
    </row>
    <row r="29" spans="1:15">
      <c r="A29" s="1" t="s">
        <v>19</v>
      </c>
      <c r="B29" s="11"/>
      <c r="C29" s="11">
        <v>1282000</v>
      </c>
      <c r="D29" s="11">
        <v>1327000</v>
      </c>
      <c r="E29" s="11">
        <v>0</v>
      </c>
      <c r="F29" s="11">
        <f t="shared" si="0"/>
        <v>45000</v>
      </c>
      <c r="G29" s="17">
        <f t="shared" si="3"/>
        <v>42.19</v>
      </c>
      <c r="H29" s="17">
        <f t="shared" si="4"/>
        <v>23</v>
      </c>
      <c r="I29" s="17">
        <f t="shared" si="5"/>
        <v>26.7</v>
      </c>
      <c r="J29" s="18">
        <f t="shared" si="6"/>
        <v>31</v>
      </c>
      <c r="K29" s="18">
        <f t="shared" si="7"/>
        <v>18</v>
      </c>
      <c r="L29" s="18">
        <f t="shared" si="1"/>
        <v>140.88999999999999</v>
      </c>
      <c r="M29" s="18">
        <f t="shared" si="8"/>
        <v>0</v>
      </c>
      <c r="N29" s="18">
        <f t="shared" si="2"/>
        <v>140.88999999999999</v>
      </c>
      <c r="O29" s="8"/>
    </row>
    <row r="30" spans="1:15">
      <c r="A30" s="1" t="s">
        <v>20</v>
      </c>
      <c r="B30" s="11"/>
      <c r="C30" s="11">
        <v>2243000</v>
      </c>
      <c r="D30" s="11">
        <v>2250000</v>
      </c>
      <c r="E30" s="11">
        <v>0</v>
      </c>
      <c r="F30" s="11">
        <f t="shared" si="0"/>
        <v>7000</v>
      </c>
      <c r="G30" s="17">
        <f t="shared" si="3"/>
        <v>42.19</v>
      </c>
      <c r="H30" s="17">
        <f t="shared" si="4"/>
        <v>0</v>
      </c>
      <c r="I30" s="17">
        <f t="shared" si="5"/>
        <v>0</v>
      </c>
      <c r="J30" s="18">
        <f t="shared" si="6"/>
        <v>0</v>
      </c>
      <c r="K30" s="18">
        <f t="shared" si="7"/>
        <v>0</v>
      </c>
      <c r="L30" s="18">
        <f t="shared" si="1"/>
        <v>42.19</v>
      </c>
      <c r="M30" s="18">
        <f t="shared" si="8"/>
        <v>0</v>
      </c>
      <c r="N30" s="18">
        <f t="shared" si="2"/>
        <v>42.19</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705000</v>
      </c>
      <c r="D32" s="11">
        <v>716000</v>
      </c>
      <c r="E32" s="11">
        <v>0</v>
      </c>
      <c r="F32" s="11">
        <f t="shared" si="0"/>
        <v>11000</v>
      </c>
      <c r="G32" s="17">
        <f t="shared" si="3"/>
        <v>42.19</v>
      </c>
      <c r="H32" s="17">
        <f t="shared" si="4"/>
        <v>2.2999999999999998</v>
      </c>
      <c r="I32" s="17">
        <f t="shared" si="5"/>
        <v>0</v>
      </c>
      <c r="J32" s="18">
        <f t="shared" si="6"/>
        <v>0</v>
      </c>
      <c r="K32" s="18">
        <f t="shared" si="7"/>
        <v>0</v>
      </c>
      <c r="L32" s="18">
        <f t="shared" si="1"/>
        <v>44.489999999999995</v>
      </c>
      <c r="M32" s="18">
        <f t="shared" si="8"/>
        <v>0</v>
      </c>
      <c r="N32" s="18">
        <f t="shared" si="2"/>
        <v>44.489999999999995</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2571000</v>
      </c>
      <c r="D35" s="11">
        <v>2620000</v>
      </c>
      <c r="E35" s="11">
        <v>0</v>
      </c>
      <c r="F35" s="11">
        <f t="shared" si="0"/>
        <v>49000</v>
      </c>
      <c r="G35" s="17">
        <f t="shared" si="3"/>
        <v>42.19</v>
      </c>
      <c r="H35" s="17">
        <f t="shared" si="4"/>
        <v>23</v>
      </c>
      <c r="I35" s="17">
        <f t="shared" si="5"/>
        <v>26.7</v>
      </c>
      <c r="J35" s="18">
        <f t="shared" si="6"/>
        <v>31</v>
      </c>
      <c r="K35" s="18">
        <f t="shared" si="7"/>
        <v>32.4</v>
      </c>
      <c r="L35" s="18">
        <f t="shared" si="1"/>
        <v>155.29</v>
      </c>
      <c r="M35" s="18">
        <f t="shared" si="8"/>
        <v>0</v>
      </c>
      <c r="N35" s="18">
        <f t="shared" si="2"/>
        <v>155.29</v>
      </c>
      <c r="O35" s="8"/>
    </row>
    <row r="36" spans="1:15">
      <c r="A36" s="1" t="s">
        <v>26</v>
      </c>
      <c r="B36" s="11"/>
      <c r="C36" s="11">
        <v>453000</v>
      </c>
      <c r="D36" s="11">
        <v>479000</v>
      </c>
      <c r="E36" s="11">
        <v>0</v>
      </c>
      <c r="F36" s="11">
        <f t="shared" si="0"/>
        <v>26000</v>
      </c>
      <c r="G36" s="17">
        <f t="shared" si="3"/>
        <v>42.19</v>
      </c>
      <c r="H36" s="17">
        <f t="shared" si="4"/>
        <v>23</v>
      </c>
      <c r="I36" s="17">
        <f t="shared" si="5"/>
        <v>16.02</v>
      </c>
      <c r="J36" s="18">
        <f t="shared" si="6"/>
        <v>0</v>
      </c>
      <c r="K36" s="18">
        <f t="shared" si="7"/>
        <v>0</v>
      </c>
      <c r="L36" s="18">
        <f t="shared" si="1"/>
        <v>81.209999999999994</v>
      </c>
      <c r="M36" s="18">
        <f t="shared" si="8"/>
        <v>0</v>
      </c>
      <c r="N36" s="18">
        <f t="shared" si="2"/>
        <v>81.209999999999994</v>
      </c>
      <c r="O36" s="8"/>
    </row>
    <row r="37" spans="1:15">
      <c r="A37" s="1" t="s">
        <v>27</v>
      </c>
      <c r="B37" s="11"/>
      <c r="C37" s="11">
        <v>2159000</v>
      </c>
      <c r="D37" s="11">
        <v>2163000</v>
      </c>
      <c r="E37" s="11">
        <v>0</v>
      </c>
      <c r="F37" s="11">
        <f t="shared" si="0"/>
        <v>4000</v>
      </c>
      <c r="G37" s="17">
        <f t="shared" si="3"/>
        <v>42.19</v>
      </c>
      <c r="H37" s="17">
        <f t="shared" si="4"/>
        <v>0</v>
      </c>
      <c r="I37" s="17">
        <f t="shared" si="5"/>
        <v>0</v>
      </c>
      <c r="J37" s="18">
        <f t="shared" si="6"/>
        <v>0</v>
      </c>
      <c r="K37" s="18">
        <f t="shared" si="7"/>
        <v>0</v>
      </c>
      <c r="L37" s="18">
        <f t="shared" si="1"/>
        <v>42.19</v>
      </c>
      <c r="M37" s="18">
        <f t="shared" si="8"/>
        <v>0</v>
      </c>
      <c r="N37" s="18">
        <f t="shared" si="2"/>
        <v>42.19</v>
      </c>
      <c r="O37" s="8"/>
    </row>
    <row r="38" spans="1:15">
      <c r="A38" s="1" t="s">
        <v>28</v>
      </c>
      <c r="B38" s="11"/>
      <c r="C38" s="11">
        <v>1404000</v>
      </c>
      <c r="D38" s="11">
        <v>1413000</v>
      </c>
      <c r="E38" s="11">
        <v>0</v>
      </c>
      <c r="F38" s="11">
        <f t="shared" si="0"/>
        <v>9000</v>
      </c>
      <c r="G38" s="17">
        <f t="shared" si="3"/>
        <v>42.19</v>
      </c>
      <c r="H38" s="17">
        <f t="shared" si="4"/>
        <v>0</v>
      </c>
      <c r="I38" s="17">
        <f t="shared" si="5"/>
        <v>0</v>
      </c>
      <c r="J38" s="18">
        <f t="shared" si="6"/>
        <v>0</v>
      </c>
      <c r="K38" s="18">
        <f t="shared" si="7"/>
        <v>0</v>
      </c>
      <c r="L38" s="18">
        <f t="shared" si="1"/>
        <v>42.19</v>
      </c>
      <c r="M38" s="18">
        <f t="shared" si="8"/>
        <v>0</v>
      </c>
      <c r="N38" s="18">
        <f t="shared" si="2"/>
        <v>42.19</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553000</v>
      </c>
      <c r="D41" s="11">
        <v>561000</v>
      </c>
      <c r="E41" s="11">
        <v>0</v>
      </c>
      <c r="F41" s="11">
        <f t="shared" si="0"/>
        <v>8000</v>
      </c>
      <c r="G41" s="17">
        <f t="shared" si="3"/>
        <v>42.19</v>
      </c>
      <c r="H41" s="17">
        <f t="shared" si="4"/>
        <v>0</v>
      </c>
      <c r="I41" s="17">
        <f t="shared" si="5"/>
        <v>0</v>
      </c>
      <c r="J41" s="18">
        <f t="shared" si="6"/>
        <v>0</v>
      </c>
      <c r="K41" s="18">
        <f t="shared" si="7"/>
        <v>0</v>
      </c>
      <c r="L41" s="18">
        <f t="shared" si="1"/>
        <v>42.19</v>
      </c>
      <c r="M41" s="18">
        <f t="shared" si="8"/>
        <v>0</v>
      </c>
      <c r="N41" s="18">
        <f t="shared" si="2"/>
        <v>42.19</v>
      </c>
      <c r="O41" s="8"/>
    </row>
    <row r="42" spans="1:15">
      <c r="A42" s="1" t="s">
        <v>32</v>
      </c>
      <c r="B42" s="11"/>
      <c r="C42" s="11">
        <v>3916000</v>
      </c>
      <c r="D42" s="11">
        <v>3931000</v>
      </c>
      <c r="E42" s="11">
        <v>0</v>
      </c>
      <c r="F42" s="11">
        <f t="shared" si="0"/>
        <v>15000</v>
      </c>
      <c r="G42" s="17">
        <f t="shared" si="3"/>
        <v>42.19</v>
      </c>
      <c r="H42" s="17">
        <f t="shared" si="4"/>
        <v>11.5</v>
      </c>
      <c r="I42" s="17">
        <f t="shared" si="5"/>
        <v>0</v>
      </c>
      <c r="J42" s="18">
        <f t="shared" si="6"/>
        <v>0</v>
      </c>
      <c r="K42" s="18">
        <f t="shared" si="7"/>
        <v>0</v>
      </c>
      <c r="L42" s="18">
        <f t="shared" si="1"/>
        <v>53.69</v>
      </c>
      <c r="M42" s="18">
        <f t="shared" si="8"/>
        <v>0</v>
      </c>
      <c r="N42" s="18">
        <f t="shared" si="2"/>
        <v>53.69</v>
      </c>
      <c r="O42" s="8"/>
    </row>
    <row r="43" spans="1:15">
      <c r="A43" s="1" t="s">
        <v>33</v>
      </c>
      <c r="B43" s="11"/>
      <c r="C43" s="11">
        <v>1236000</v>
      </c>
      <c r="D43" s="11">
        <v>1252000</v>
      </c>
      <c r="E43" s="11">
        <v>0</v>
      </c>
      <c r="F43" s="11">
        <f t="shared" si="0"/>
        <v>16000</v>
      </c>
      <c r="G43" s="17">
        <f t="shared" si="3"/>
        <v>42.19</v>
      </c>
      <c r="H43" s="17">
        <f t="shared" si="4"/>
        <v>13.799999999999999</v>
      </c>
      <c r="I43" s="17">
        <f t="shared" si="5"/>
        <v>0</v>
      </c>
      <c r="J43" s="18">
        <f t="shared" si="6"/>
        <v>0</v>
      </c>
      <c r="K43" s="18">
        <f t="shared" si="7"/>
        <v>0</v>
      </c>
      <c r="L43" s="18">
        <f t="shared" si="1"/>
        <v>55.989999999999995</v>
      </c>
      <c r="M43" s="18">
        <f t="shared" si="8"/>
        <v>0</v>
      </c>
      <c r="N43" s="18">
        <f t="shared" si="2"/>
        <v>55.989999999999995</v>
      </c>
      <c r="O43" s="8"/>
    </row>
    <row r="44" spans="1:15">
      <c r="A44" s="1" t="s">
        <v>34</v>
      </c>
      <c r="B44" s="11"/>
      <c r="C44" s="11">
        <v>397000</v>
      </c>
      <c r="D44" s="11">
        <v>452000</v>
      </c>
      <c r="E44" s="11">
        <v>0</v>
      </c>
      <c r="F44" s="11">
        <f t="shared" si="0"/>
        <v>55000</v>
      </c>
      <c r="G44" s="17">
        <f t="shared" si="3"/>
        <v>42.19</v>
      </c>
      <c r="H44" s="17">
        <f t="shared" si="4"/>
        <v>23</v>
      </c>
      <c r="I44" s="17">
        <f t="shared" si="5"/>
        <v>26.7</v>
      </c>
      <c r="J44" s="18">
        <f t="shared" si="6"/>
        <v>31</v>
      </c>
      <c r="K44" s="18">
        <f t="shared" si="7"/>
        <v>54</v>
      </c>
      <c r="L44" s="18">
        <f t="shared" si="1"/>
        <v>176.89</v>
      </c>
      <c r="M44" s="18">
        <f t="shared" si="8"/>
        <v>0</v>
      </c>
      <c r="N44" s="18">
        <f t="shared" si="2"/>
        <v>176.89</v>
      </c>
      <c r="O44" s="8" t="s">
        <v>175</v>
      </c>
    </row>
    <row r="45" spans="1:15">
      <c r="A45" s="1" t="s">
        <v>35</v>
      </c>
      <c r="B45" s="11"/>
      <c r="C45" s="11">
        <v>1733000</v>
      </c>
      <c r="D45" s="11">
        <v>1805000</v>
      </c>
      <c r="E45" s="11">
        <v>0</v>
      </c>
      <c r="F45" s="11">
        <f t="shared" si="0"/>
        <v>72000</v>
      </c>
      <c r="G45" s="17">
        <f t="shared" si="3"/>
        <v>42.19</v>
      </c>
      <c r="H45" s="17">
        <f t="shared" si="4"/>
        <v>23</v>
      </c>
      <c r="I45" s="17">
        <f t="shared" si="5"/>
        <v>26.7</v>
      </c>
      <c r="J45" s="18">
        <f t="shared" si="6"/>
        <v>31</v>
      </c>
      <c r="K45" s="18">
        <f t="shared" si="7"/>
        <v>115.2</v>
      </c>
      <c r="L45" s="18">
        <f t="shared" si="1"/>
        <v>238.09</v>
      </c>
      <c r="M45" s="18">
        <f t="shared" si="8"/>
        <v>0</v>
      </c>
      <c r="N45" s="18">
        <f t="shared" si="2"/>
        <v>238.09</v>
      </c>
      <c r="O45" s="8"/>
    </row>
    <row r="46" spans="1:15">
      <c r="A46" s="1" t="s">
        <v>36</v>
      </c>
      <c r="B46" s="11"/>
      <c r="C46" s="11">
        <v>1616000</v>
      </c>
      <c r="D46" s="11">
        <v>1624000</v>
      </c>
      <c r="E46" s="11">
        <v>0</v>
      </c>
      <c r="F46" s="11">
        <f t="shared" si="0"/>
        <v>8000</v>
      </c>
      <c r="G46" s="17">
        <f t="shared" si="3"/>
        <v>42.19</v>
      </c>
      <c r="H46" s="17">
        <f t="shared" si="4"/>
        <v>0</v>
      </c>
      <c r="I46" s="17">
        <f t="shared" si="5"/>
        <v>0</v>
      </c>
      <c r="J46" s="18">
        <f t="shared" si="6"/>
        <v>0</v>
      </c>
      <c r="K46" s="18">
        <f t="shared" si="7"/>
        <v>0</v>
      </c>
      <c r="L46" s="18">
        <f t="shared" si="1"/>
        <v>42.19</v>
      </c>
      <c r="M46" s="18">
        <f t="shared" si="8"/>
        <v>0</v>
      </c>
      <c r="N46" s="18">
        <f t="shared" si="2"/>
        <v>42.19</v>
      </c>
      <c r="O46" s="8"/>
    </row>
    <row r="47" spans="1:15">
      <c r="A47" s="1" t="s">
        <v>37</v>
      </c>
      <c r="B47" s="11"/>
      <c r="C47" s="11">
        <v>2073000</v>
      </c>
      <c r="D47" s="11">
        <v>2145000</v>
      </c>
      <c r="E47" s="11">
        <v>0</v>
      </c>
      <c r="F47" s="11">
        <f t="shared" si="0"/>
        <v>72000</v>
      </c>
      <c r="G47" s="17">
        <f t="shared" si="3"/>
        <v>42.19</v>
      </c>
      <c r="H47" s="17">
        <f t="shared" si="4"/>
        <v>23</v>
      </c>
      <c r="I47" s="17">
        <f t="shared" si="5"/>
        <v>26.7</v>
      </c>
      <c r="J47" s="18">
        <f t="shared" si="6"/>
        <v>31</v>
      </c>
      <c r="K47" s="18">
        <f t="shared" si="7"/>
        <v>115.2</v>
      </c>
      <c r="L47" s="18">
        <f t="shared" si="1"/>
        <v>238.09</v>
      </c>
      <c r="M47" s="18">
        <f t="shared" si="8"/>
        <v>0</v>
      </c>
      <c r="N47" s="18">
        <f t="shared" si="2"/>
        <v>238.09</v>
      </c>
      <c r="O47" s="8"/>
    </row>
    <row r="48" spans="1:15">
      <c r="A48" s="1" t="s">
        <v>38</v>
      </c>
      <c r="B48" s="11"/>
      <c r="C48" s="11">
        <v>1969000</v>
      </c>
      <c r="D48" s="11">
        <v>2091000</v>
      </c>
      <c r="E48" s="11">
        <v>0</v>
      </c>
      <c r="F48" s="11">
        <f t="shared" si="0"/>
        <v>122000</v>
      </c>
      <c r="G48" s="17">
        <f t="shared" si="3"/>
        <v>42.19</v>
      </c>
      <c r="H48" s="17">
        <f t="shared" si="4"/>
        <v>23</v>
      </c>
      <c r="I48" s="17">
        <f t="shared" si="5"/>
        <v>26.7</v>
      </c>
      <c r="J48" s="18">
        <f t="shared" si="6"/>
        <v>31</v>
      </c>
      <c r="K48" s="18">
        <f t="shared" si="7"/>
        <v>295.2</v>
      </c>
      <c r="L48" s="18">
        <f t="shared" si="1"/>
        <v>418.09</v>
      </c>
      <c r="M48" s="18">
        <f t="shared" si="8"/>
        <v>0</v>
      </c>
      <c r="N48" s="18">
        <f t="shared" si="2"/>
        <v>418.09</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ref="M49:M80" si="9">IF(   $H$5=1,    IF((F49-$H$6)&gt;0,((F49-$H$6)/$P$7)*$E$8,0),   IF(F49&gt;0,(F49/$P$4)*$E$8,0)    )</f>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9"/>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9"/>
        <v>0</v>
      </c>
      <c r="N51" s="18">
        <f t="shared" si="2"/>
        <v>12.41</v>
      </c>
      <c r="O51" s="8"/>
    </row>
    <row r="52" spans="1:15">
      <c r="A52" s="1" t="s">
        <v>42</v>
      </c>
      <c r="B52" s="11"/>
      <c r="C52" s="11">
        <v>3138000</v>
      </c>
      <c r="D52" s="11">
        <v>3149000</v>
      </c>
      <c r="E52" s="11">
        <v>0</v>
      </c>
      <c r="F52" s="11">
        <f t="shared" si="0"/>
        <v>11000</v>
      </c>
      <c r="G52" s="17">
        <f t="shared" si="3"/>
        <v>42.19</v>
      </c>
      <c r="H52" s="17">
        <f t="shared" si="4"/>
        <v>2.2999999999999998</v>
      </c>
      <c r="I52" s="17">
        <f t="shared" si="5"/>
        <v>0</v>
      </c>
      <c r="J52" s="18">
        <f t="shared" si="6"/>
        <v>0</v>
      </c>
      <c r="K52" s="18">
        <f t="shared" si="7"/>
        <v>0</v>
      </c>
      <c r="L52" s="18">
        <f t="shared" si="1"/>
        <v>44.489999999999995</v>
      </c>
      <c r="M52" s="18">
        <f t="shared" si="9"/>
        <v>0</v>
      </c>
      <c r="N52" s="18">
        <f t="shared" si="2"/>
        <v>44.489999999999995</v>
      </c>
      <c r="O52" s="8"/>
    </row>
    <row r="53" spans="1:15">
      <c r="A53" s="1" t="s">
        <v>43</v>
      </c>
      <c r="B53" s="11"/>
      <c r="C53" s="11">
        <v>3317000</v>
      </c>
      <c r="D53" s="11">
        <v>3346000</v>
      </c>
      <c r="E53" s="11">
        <v>0</v>
      </c>
      <c r="F53" s="11">
        <f t="shared" si="0"/>
        <v>29000</v>
      </c>
      <c r="G53" s="17">
        <f t="shared" si="3"/>
        <v>42.19</v>
      </c>
      <c r="H53" s="17">
        <f t="shared" si="4"/>
        <v>23</v>
      </c>
      <c r="I53" s="17">
        <f t="shared" si="5"/>
        <v>24.03</v>
      </c>
      <c r="J53" s="18">
        <f t="shared" si="6"/>
        <v>0</v>
      </c>
      <c r="K53" s="18">
        <f t="shared" si="7"/>
        <v>0</v>
      </c>
      <c r="L53" s="18">
        <f t="shared" si="1"/>
        <v>89.22</v>
      </c>
      <c r="M53" s="18">
        <f t="shared" si="9"/>
        <v>0</v>
      </c>
      <c r="N53" s="18">
        <f t="shared" si="2"/>
        <v>89.22</v>
      </c>
      <c r="O53" s="8"/>
    </row>
    <row r="54" spans="1:15">
      <c r="A54" s="1" t="s">
        <v>44</v>
      </c>
      <c r="B54" s="11"/>
      <c r="C54" s="11">
        <v>4358000</v>
      </c>
      <c r="D54" s="11">
        <v>4453000</v>
      </c>
      <c r="E54" s="11">
        <v>0</v>
      </c>
      <c r="F54" s="11">
        <f t="shared" si="0"/>
        <v>95000</v>
      </c>
      <c r="G54" s="17">
        <f t="shared" si="3"/>
        <v>42.19</v>
      </c>
      <c r="H54" s="17">
        <f t="shared" si="4"/>
        <v>23</v>
      </c>
      <c r="I54" s="17">
        <f t="shared" si="5"/>
        <v>26.7</v>
      </c>
      <c r="J54" s="18">
        <f t="shared" si="6"/>
        <v>31</v>
      </c>
      <c r="K54" s="18">
        <f t="shared" si="7"/>
        <v>198</v>
      </c>
      <c r="L54" s="18">
        <f t="shared" si="1"/>
        <v>320.89</v>
      </c>
      <c r="M54" s="18">
        <f t="shared" si="9"/>
        <v>0</v>
      </c>
      <c r="N54" s="18">
        <f t="shared" si="2"/>
        <v>320.89</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9"/>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9"/>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9"/>
        <v>0</v>
      </c>
      <c r="N57" s="18">
        <f t="shared" si="2"/>
        <v>12.41</v>
      </c>
      <c r="O57" s="8"/>
    </row>
    <row r="58" spans="1:15">
      <c r="A58" s="1" t="s">
        <v>48</v>
      </c>
      <c r="B58" s="11"/>
      <c r="C58" s="11">
        <v>1136000</v>
      </c>
      <c r="D58" s="11">
        <v>1139000</v>
      </c>
      <c r="E58" s="11">
        <v>0</v>
      </c>
      <c r="F58" s="11">
        <f t="shared" si="0"/>
        <v>3000</v>
      </c>
      <c r="G58" s="17">
        <f t="shared" si="3"/>
        <v>42.19</v>
      </c>
      <c r="H58" s="17">
        <f t="shared" si="4"/>
        <v>0</v>
      </c>
      <c r="I58" s="17">
        <f t="shared" si="5"/>
        <v>0</v>
      </c>
      <c r="J58" s="18">
        <f t="shared" si="6"/>
        <v>0</v>
      </c>
      <c r="K58" s="18">
        <f t="shared" si="7"/>
        <v>0</v>
      </c>
      <c r="L58" s="18">
        <f t="shared" si="1"/>
        <v>42.19</v>
      </c>
      <c r="M58" s="18">
        <f t="shared" si="9"/>
        <v>0</v>
      </c>
      <c r="N58" s="18">
        <f t="shared" si="2"/>
        <v>42.19</v>
      </c>
      <c r="O58" s="8"/>
    </row>
    <row r="59" spans="1:15">
      <c r="A59" s="1" t="s">
        <v>49</v>
      </c>
      <c r="B59" s="11"/>
      <c r="C59" s="11">
        <v>965000</v>
      </c>
      <c r="D59" s="11">
        <v>980000</v>
      </c>
      <c r="E59" s="11">
        <v>0</v>
      </c>
      <c r="F59" s="11">
        <f t="shared" si="0"/>
        <v>15000</v>
      </c>
      <c r="G59" s="17">
        <f t="shared" si="3"/>
        <v>42.19</v>
      </c>
      <c r="H59" s="17">
        <f t="shared" si="4"/>
        <v>11.5</v>
      </c>
      <c r="I59" s="17">
        <f t="shared" si="5"/>
        <v>0</v>
      </c>
      <c r="J59" s="18">
        <f t="shared" si="6"/>
        <v>0</v>
      </c>
      <c r="K59" s="18">
        <f t="shared" si="7"/>
        <v>0</v>
      </c>
      <c r="L59" s="18">
        <f t="shared" si="1"/>
        <v>53.69</v>
      </c>
      <c r="M59" s="18">
        <f t="shared" si="9"/>
        <v>0</v>
      </c>
      <c r="N59" s="18">
        <f t="shared" si="2"/>
        <v>53.69</v>
      </c>
      <c r="O59" s="8"/>
    </row>
    <row r="60" spans="1:15">
      <c r="A60" s="1" t="s">
        <v>50</v>
      </c>
      <c r="B60" s="11"/>
      <c r="C60" s="11">
        <v>3549000</v>
      </c>
      <c r="D60" s="11">
        <v>3573000</v>
      </c>
      <c r="E60" s="11">
        <v>0</v>
      </c>
      <c r="F60" s="11">
        <f t="shared" si="0"/>
        <v>24000</v>
      </c>
      <c r="G60" s="17">
        <f t="shared" si="3"/>
        <v>42.19</v>
      </c>
      <c r="H60" s="17">
        <f t="shared" si="4"/>
        <v>23</v>
      </c>
      <c r="I60" s="17">
        <f t="shared" si="5"/>
        <v>10.68</v>
      </c>
      <c r="J60" s="18">
        <f t="shared" si="6"/>
        <v>0</v>
      </c>
      <c r="K60" s="18">
        <f t="shared" si="7"/>
        <v>0</v>
      </c>
      <c r="L60" s="18">
        <f t="shared" si="1"/>
        <v>75.87</v>
      </c>
      <c r="M60" s="18">
        <f t="shared" si="9"/>
        <v>0</v>
      </c>
      <c r="N60" s="18">
        <f t="shared" si="2"/>
        <v>75.87</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9"/>
        <v>0</v>
      </c>
      <c r="N61" s="18">
        <f t="shared" si="2"/>
        <v>12.41</v>
      </c>
      <c r="O61" s="8"/>
    </row>
    <row r="62" spans="1:15">
      <c r="A62" s="1" t="s">
        <v>52</v>
      </c>
      <c r="B62" s="11"/>
      <c r="C62" s="11">
        <v>1744000</v>
      </c>
      <c r="D62" s="11">
        <v>1750000</v>
      </c>
      <c r="E62" s="11">
        <v>0</v>
      </c>
      <c r="F62" s="11">
        <f t="shared" si="0"/>
        <v>6000</v>
      </c>
      <c r="G62" s="17">
        <f t="shared" si="3"/>
        <v>42.19</v>
      </c>
      <c r="H62" s="17">
        <f t="shared" si="4"/>
        <v>0</v>
      </c>
      <c r="I62" s="17">
        <f t="shared" si="5"/>
        <v>0</v>
      </c>
      <c r="J62" s="18">
        <f t="shared" si="6"/>
        <v>0</v>
      </c>
      <c r="K62" s="18">
        <f t="shared" si="7"/>
        <v>0</v>
      </c>
      <c r="L62" s="18">
        <f t="shared" si="1"/>
        <v>42.19</v>
      </c>
      <c r="M62" s="18">
        <f t="shared" si="9"/>
        <v>0</v>
      </c>
      <c r="N62" s="18">
        <f t="shared" si="2"/>
        <v>42.19</v>
      </c>
      <c r="O62" s="8"/>
    </row>
    <row r="63" spans="1:15">
      <c r="A63" s="1" t="s">
        <v>53</v>
      </c>
      <c r="B63" s="11"/>
      <c r="C63" s="11">
        <v>2441000</v>
      </c>
      <c r="D63" s="11">
        <v>2473000</v>
      </c>
      <c r="E63" s="11">
        <v>0</v>
      </c>
      <c r="F63" s="11">
        <f t="shared" si="0"/>
        <v>32000</v>
      </c>
      <c r="G63" s="17">
        <f t="shared" si="3"/>
        <v>42.19</v>
      </c>
      <c r="H63" s="17">
        <f t="shared" si="4"/>
        <v>23</v>
      </c>
      <c r="I63" s="17">
        <f t="shared" si="5"/>
        <v>26.7</v>
      </c>
      <c r="J63" s="18">
        <f t="shared" si="6"/>
        <v>6.2</v>
      </c>
      <c r="K63" s="18">
        <f t="shared" si="7"/>
        <v>0</v>
      </c>
      <c r="L63" s="18">
        <f t="shared" si="1"/>
        <v>98.09</v>
      </c>
      <c r="M63" s="18">
        <f t="shared" si="9"/>
        <v>0</v>
      </c>
      <c r="N63" s="18">
        <f t="shared" si="2"/>
        <v>98.09</v>
      </c>
      <c r="O63" s="8"/>
    </row>
    <row r="64" spans="1:15">
      <c r="A64" s="1" t="s">
        <v>54</v>
      </c>
      <c r="B64" s="11"/>
      <c r="C64" s="11">
        <v>3594000</v>
      </c>
      <c r="D64" s="11">
        <v>3688000</v>
      </c>
      <c r="E64" s="11">
        <v>0</v>
      </c>
      <c r="F64" s="11">
        <f t="shared" si="0"/>
        <v>94000</v>
      </c>
      <c r="G64" s="17">
        <f t="shared" si="3"/>
        <v>42.19</v>
      </c>
      <c r="H64" s="17">
        <f t="shared" si="4"/>
        <v>23</v>
      </c>
      <c r="I64" s="17">
        <f t="shared" si="5"/>
        <v>26.7</v>
      </c>
      <c r="J64" s="18">
        <f t="shared" si="6"/>
        <v>31</v>
      </c>
      <c r="K64" s="18">
        <f t="shared" si="7"/>
        <v>194.4</v>
      </c>
      <c r="L64" s="18">
        <f t="shared" si="1"/>
        <v>317.29000000000002</v>
      </c>
      <c r="M64" s="18">
        <f t="shared" si="9"/>
        <v>0</v>
      </c>
      <c r="N64" s="18">
        <f t="shared" si="2"/>
        <v>317.29000000000002</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9"/>
        <v>0</v>
      </c>
      <c r="N65" s="18">
        <f t="shared" si="2"/>
        <v>12.41</v>
      </c>
      <c r="O65" s="8"/>
    </row>
    <row r="66" spans="1:15">
      <c r="A66" s="1" t="s">
        <v>56</v>
      </c>
      <c r="B66" s="11"/>
      <c r="C66" s="11">
        <v>1608000</v>
      </c>
      <c r="D66" s="11">
        <v>1642000</v>
      </c>
      <c r="E66" s="11">
        <v>0</v>
      </c>
      <c r="F66" s="11">
        <f t="shared" si="0"/>
        <v>34000</v>
      </c>
      <c r="G66" s="17">
        <f t="shared" si="3"/>
        <v>42.19</v>
      </c>
      <c r="H66" s="17">
        <f t="shared" si="4"/>
        <v>23</v>
      </c>
      <c r="I66" s="17">
        <f t="shared" si="5"/>
        <v>26.7</v>
      </c>
      <c r="J66" s="18">
        <f t="shared" si="6"/>
        <v>12.4</v>
      </c>
      <c r="K66" s="18">
        <f t="shared" si="7"/>
        <v>0</v>
      </c>
      <c r="L66" s="18">
        <f t="shared" si="1"/>
        <v>104.29</v>
      </c>
      <c r="M66" s="18">
        <f t="shared" si="9"/>
        <v>0</v>
      </c>
      <c r="N66" s="18">
        <f t="shared" si="2"/>
        <v>104.29</v>
      </c>
      <c r="O66" s="8"/>
    </row>
    <row r="67" spans="1:15">
      <c r="A67" s="1" t="s">
        <v>57</v>
      </c>
      <c r="B67" s="11"/>
      <c r="C67" s="11">
        <v>1619000</v>
      </c>
      <c r="D67" s="11">
        <v>1619000</v>
      </c>
      <c r="E67" s="11">
        <v>0</v>
      </c>
      <c r="F67" s="11">
        <f t="shared" si="0"/>
        <v>0</v>
      </c>
      <c r="G67" s="17">
        <f t="shared" si="3"/>
        <v>42.19</v>
      </c>
      <c r="H67" s="17">
        <f t="shared" si="4"/>
        <v>0</v>
      </c>
      <c r="I67" s="17">
        <f t="shared" si="5"/>
        <v>0</v>
      </c>
      <c r="J67" s="18">
        <f t="shared" si="6"/>
        <v>0</v>
      </c>
      <c r="K67" s="18">
        <f t="shared" si="7"/>
        <v>0</v>
      </c>
      <c r="L67" s="18">
        <f t="shared" si="1"/>
        <v>42.19</v>
      </c>
      <c r="M67" s="18">
        <f t="shared" si="9"/>
        <v>0</v>
      </c>
      <c r="N67" s="18">
        <f t="shared" si="2"/>
        <v>42.19</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9"/>
        <v>0</v>
      </c>
      <c r="N68" s="18">
        <f t="shared" si="2"/>
        <v>12.41</v>
      </c>
      <c r="O68" s="8" t="s">
        <v>183</v>
      </c>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9"/>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9"/>
        <v>0</v>
      </c>
      <c r="N70" s="18">
        <f t="shared" si="2"/>
        <v>12.41</v>
      </c>
      <c r="O70" s="8"/>
    </row>
    <row r="71" spans="1:15">
      <c r="A71" s="1" t="s">
        <v>61</v>
      </c>
      <c r="B71" s="11"/>
      <c r="C71" s="11">
        <v>1375000</v>
      </c>
      <c r="D71" s="11">
        <v>1380000</v>
      </c>
      <c r="E71" s="11">
        <v>0</v>
      </c>
      <c r="F71" s="11">
        <f t="shared" si="0"/>
        <v>5000</v>
      </c>
      <c r="G71" s="17">
        <f t="shared" si="3"/>
        <v>42.19</v>
      </c>
      <c r="H71" s="17">
        <f t="shared" si="4"/>
        <v>0</v>
      </c>
      <c r="I71" s="17">
        <f t="shared" si="5"/>
        <v>0</v>
      </c>
      <c r="J71" s="18">
        <f t="shared" si="6"/>
        <v>0</v>
      </c>
      <c r="K71" s="18">
        <f t="shared" si="7"/>
        <v>0</v>
      </c>
      <c r="L71" s="18">
        <f t="shared" si="1"/>
        <v>42.19</v>
      </c>
      <c r="M71" s="18">
        <f t="shared" si="9"/>
        <v>0</v>
      </c>
      <c r="N71" s="18">
        <f t="shared" si="2"/>
        <v>42.19</v>
      </c>
      <c r="O71" s="8"/>
    </row>
    <row r="72" spans="1:15">
      <c r="A72" s="1" t="s">
        <v>62</v>
      </c>
      <c r="B72" s="11"/>
      <c r="C72" s="11">
        <v>1936000</v>
      </c>
      <c r="D72" s="11">
        <v>1976000</v>
      </c>
      <c r="E72" s="11">
        <v>0</v>
      </c>
      <c r="F72" s="11">
        <f t="shared" si="0"/>
        <v>40000</v>
      </c>
      <c r="G72" s="17">
        <f t="shared" si="3"/>
        <v>42.19</v>
      </c>
      <c r="H72" s="17">
        <f t="shared" si="4"/>
        <v>23</v>
      </c>
      <c r="I72" s="17">
        <f t="shared" si="5"/>
        <v>26.7</v>
      </c>
      <c r="J72" s="18">
        <f t="shared" si="6"/>
        <v>31</v>
      </c>
      <c r="K72" s="18">
        <f t="shared" si="7"/>
        <v>0</v>
      </c>
      <c r="L72" s="18">
        <f t="shared" si="1"/>
        <v>122.89</v>
      </c>
      <c r="M72" s="18">
        <f t="shared" si="9"/>
        <v>0</v>
      </c>
      <c r="N72" s="18">
        <f t="shared" si="2"/>
        <v>122.89</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9"/>
        <v>0</v>
      </c>
      <c r="N73" s="18">
        <f t="shared" si="2"/>
        <v>12.41</v>
      </c>
      <c r="O73" s="8"/>
    </row>
    <row r="74" spans="1:15">
      <c r="A74" s="1" t="s">
        <v>64</v>
      </c>
      <c r="B74" s="11"/>
      <c r="C74" s="11">
        <v>5026000</v>
      </c>
      <c r="D74" s="11">
        <v>5065000</v>
      </c>
      <c r="E74" s="11">
        <v>0</v>
      </c>
      <c r="F74" s="11">
        <f t="shared" si="0"/>
        <v>39000</v>
      </c>
      <c r="G74" s="17">
        <f t="shared" si="3"/>
        <v>42.19</v>
      </c>
      <c r="H74" s="17">
        <f t="shared" si="4"/>
        <v>23</v>
      </c>
      <c r="I74" s="17">
        <f t="shared" si="5"/>
        <v>26.7</v>
      </c>
      <c r="J74" s="18">
        <f t="shared" si="6"/>
        <v>27.900000000000002</v>
      </c>
      <c r="K74" s="18">
        <f t="shared" si="7"/>
        <v>0</v>
      </c>
      <c r="L74" s="18">
        <f t="shared" si="1"/>
        <v>119.79</v>
      </c>
      <c r="M74" s="18">
        <f t="shared" si="9"/>
        <v>0</v>
      </c>
      <c r="N74" s="18">
        <f t="shared" si="2"/>
        <v>119.79</v>
      </c>
      <c r="O74" s="8"/>
    </row>
    <row r="75" spans="1:15">
      <c r="A75" s="1" t="s">
        <v>65</v>
      </c>
      <c r="B75" s="11"/>
      <c r="C75" s="11">
        <v>6790000</v>
      </c>
      <c r="D75" s="11">
        <v>6855000</v>
      </c>
      <c r="E75" s="11">
        <v>0</v>
      </c>
      <c r="F75" s="11">
        <f t="shared" ref="F75:F136" si="10">($D75-$C75)+$E75</f>
        <v>65000</v>
      </c>
      <c r="G75" s="17">
        <f t="shared" si="3"/>
        <v>42.19</v>
      </c>
      <c r="H75" s="17">
        <f t="shared" si="4"/>
        <v>23</v>
      </c>
      <c r="I75" s="17">
        <f t="shared" si="5"/>
        <v>26.7</v>
      </c>
      <c r="J75" s="18">
        <f t="shared" si="6"/>
        <v>31</v>
      </c>
      <c r="K75" s="18">
        <f t="shared" si="7"/>
        <v>90</v>
      </c>
      <c r="L75" s="18">
        <f t="shared" si="1"/>
        <v>212.89</v>
      </c>
      <c r="M75" s="18">
        <f t="shared" si="9"/>
        <v>0</v>
      </c>
      <c r="N75" s="18">
        <f t="shared" si="2"/>
        <v>212.89</v>
      </c>
      <c r="O75" s="8"/>
    </row>
    <row r="76" spans="1:15">
      <c r="A76" s="1" t="s">
        <v>66</v>
      </c>
      <c r="B76" s="11"/>
      <c r="C76" s="11">
        <v>9318000</v>
      </c>
      <c r="D76" s="11">
        <v>9371000</v>
      </c>
      <c r="E76" s="11">
        <v>0</v>
      </c>
      <c r="F76" s="11">
        <f t="shared" si="10"/>
        <v>53000</v>
      </c>
      <c r="G76" s="17">
        <f t="shared" si="3"/>
        <v>42.19</v>
      </c>
      <c r="H76" s="17">
        <f t="shared" si="4"/>
        <v>23</v>
      </c>
      <c r="I76" s="17">
        <f t="shared" si="5"/>
        <v>26.7</v>
      </c>
      <c r="J76" s="18">
        <f t="shared" si="6"/>
        <v>31</v>
      </c>
      <c r="K76" s="18">
        <f t="shared" si="7"/>
        <v>46.800000000000004</v>
      </c>
      <c r="L76" s="18">
        <f t="shared" ref="L76:L136" si="11">SUM(G76:K76)</f>
        <v>169.69</v>
      </c>
      <c r="M76" s="18">
        <f t="shared" si="9"/>
        <v>0</v>
      </c>
      <c r="N76" s="18">
        <f t="shared" ref="N76:N136" si="12">SUM(L76:M76)</f>
        <v>169.69</v>
      </c>
      <c r="O76" s="8"/>
    </row>
    <row r="77" spans="1:15">
      <c r="A77" s="1" t="s">
        <v>67</v>
      </c>
      <c r="B77" s="11" t="s">
        <v>138</v>
      </c>
      <c r="C77" s="11">
        <v>0</v>
      </c>
      <c r="D77" s="11">
        <v>0</v>
      </c>
      <c r="E77" s="11">
        <v>0</v>
      </c>
      <c r="F77" s="11">
        <f t="shared" si="10"/>
        <v>0</v>
      </c>
      <c r="G77" s="17">
        <f t="shared" si="3"/>
        <v>12.41</v>
      </c>
      <c r="H77" s="17">
        <f t="shared" si="4"/>
        <v>0</v>
      </c>
      <c r="I77" s="17">
        <f t="shared" si="5"/>
        <v>0</v>
      </c>
      <c r="J77" s="18">
        <f t="shared" si="6"/>
        <v>0</v>
      </c>
      <c r="K77" s="18">
        <f t="shared" si="7"/>
        <v>0</v>
      </c>
      <c r="L77" s="18">
        <f t="shared" si="11"/>
        <v>12.41</v>
      </c>
      <c r="M77" s="18">
        <f t="shared" si="9"/>
        <v>0</v>
      </c>
      <c r="N77" s="18">
        <f t="shared" si="12"/>
        <v>12.41</v>
      </c>
      <c r="O77" s="8"/>
    </row>
    <row r="78" spans="1:15">
      <c r="A78" s="1" t="s">
        <v>68</v>
      </c>
      <c r="B78" s="11"/>
      <c r="C78" s="11">
        <v>3660000</v>
      </c>
      <c r="D78" s="11">
        <v>3690000</v>
      </c>
      <c r="E78" s="11">
        <v>0</v>
      </c>
      <c r="F78" s="11">
        <f t="shared" si="10"/>
        <v>30000</v>
      </c>
      <c r="G78" s="17">
        <f t="shared" si="3"/>
        <v>42.19</v>
      </c>
      <c r="H78" s="17">
        <f t="shared" si="4"/>
        <v>23</v>
      </c>
      <c r="I78" s="17">
        <f t="shared" si="5"/>
        <v>26.7</v>
      </c>
      <c r="J78" s="18">
        <f t="shared" si="6"/>
        <v>0</v>
      </c>
      <c r="K78" s="18">
        <f t="shared" si="7"/>
        <v>0</v>
      </c>
      <c r="L78" s="18">
        <f t="shared" si="11"/>
        <v>91.89</v>
      </c>
      <c r="M78" s="18">
        <f t="shared" si="9"/>
        <v>0</v>
      </c>
      <c r="N78" s="18">
        <f t="shared" si="12"/>
        <v>91.89</v>
      </c>
      <c r="O78" s="8"/>
    </row>
    <row r="79" spans="1:15">
      <c r="A79" s="1" t="s">
        <v>69</v>
      </c>
      <c r="B79" s="11"/>
      <c r="C79" s="11">
        <v>2447000</v>
      </c>
      <c r="D79" s="11">
        <v>2472000</v>
      </c>
      <c r="E79" s="11">
        <v>0</v>
      </c>
      <c r="F79" s="11">
        <f t="shared" si="10"/>
        <v>25000</v>
      </c>
      <c r="G79" s="17">
        <f t="shared" si="3"/>
        <v>42.19</v>
      </c>
      <c r="H79" s="17">
        <f t="shared" si="4"/>
        <v>23</v>
      </c>
      <c r="I79" s="17">
        <f t="shared" si="5"/>
        <v>13.35</v>
      </c>
      <c r="J79" s="18">
        <f t="shared" si="6"/>
        <v>0</v>
      </c>
      <c r="K79" s="18">
        <f t="shared" si="7"/>
        <v>0</v>
      </c>
      <c r="L79" s="18">
        <f t="shared" si="11"/>
        <v>78.539999999999992</v>
      </c>
      <c r="M79" s="18">
        <f t="shared" si="9"/>
        <v>0</v>
      </c>
      <c r="N79" s="18">
        <f t="shared" si="12"/>
        <v>78.539999999999992</v>
      </c>
      <c r="O79" s="8"/>
    </row>
    <row r="80" spans="1:15">
      <c r="A80" s="1" t="s">
        <v>70</v>
      </c>
      <c r="B80" s="11"/>
      <c r="C80" s="11">
        <v>1523000</v>
      </c>
      <c r="D80" s="11">
        <v>1548000</v>
      </c>
      <c r="E80" s="11">
        <v>0</v>
      </c>
      <c r="F80" s="11">
        <f t="shared" si="10"/>
        <v>25000</v>
      </c>
      <c r="G80" s="17">
        <f t="shared" si="3"/>
        <v>42.19</v>
      </c>
      <c r="H80" s="17">
        <f t="shared" si="4"/>
        <v>23</v>
      </c>
      <c r="I80" s="17">
        <f t="shared" si="5"/>
        <v>13.35</v>
      </c>
      <c r="J80" s="18">
        <f t="shared" si="6"/>
        <v>0</v>
      </c>
      <c r="K80" s="18">
        <f t="shared" si="7"/>
        <v>0</v>
      </c>
      <c r="L80" s="18">
        <f t="shared" si="11"/>
        <v>78.539999999999992</v>
      </c>
      <c r="M80" s="18">
        <f t="shared" si="9"/>
        <v>0</v>
      </c>
      <c r="N80" s="18">
        <f t="shared" si="12"/>
        <v>78.539999999999992</v>
      </c>
      <c r="O80" s="8"/>
    </row>
    <row r="81" spans="1:15">
      <c r="A81" s="1" t="s">
        <v>71</v>
      </c>
      <c r="B81" s="11" t="s">
        <v>138</v>
      </c>
      <c r="C81" s="11">
        <v>0</v>
      </c>
      <c r="D81" s="11">
        <v>0</v>
      </c>
      <c r="E81" s="11">
        <v>0</v>
      </c>
      <c r="F81" s="11">
        <f t="shared" si="10"/>
        <v>0</v>
      </c>
      <c r="G81" s="17">
        <f t="shared" ref="G81:G136" si="13">IF(OR($F81&gt;0,$B81=""),$K$4,$N$4)</f>
        <v>12.41</v>
      </c>
      <c r="H81" s="17">
        <f t="shared" ref="H81:H136" si="14">IF(AND((($F81-10000)&gt;=0),(($F81-10000)&lt;= 10000)),($F81-10000)/1000*$K$5,IF(($F81-10000)&gt;=10000,$K$5*10,0))</f>
        <v>0</v>
      </c>
      <c r="I81" s="17">
        <f t="shared" ref="I81:I136" si="15">IF(AND((($F81-20000)&gt;=0),(($F81-20000)&lt;=10000)),($F81-20000)/1000*$K$6,IF(($F81-20000)&gt;=10000,$K$6*10,0))</f>
        <v>0</v>
      </c>
      <c r="J81" s="18">
        <f t="shared" ref="J81:J136" si="16">IF(AND((($F81-30000)&gt;=0),(($F81-30000)&lt;=10000)),($F81-30000)/1000*$K$7,IF(($F81-30000)&gt;=10000,$K$7*10,0))</f>
        <v>0</v>
      </c>
      <c r="K81" s="18">
        <f t="shared" ref="K81:K136" si="17">IF((($F81-40000)&gt;=0),($F81-40000)/1000*$K$8,0)</f>
        <v>0</v>
      </c>
      <c r="L81" s="18">
        <f t="shared" si="11"/>
        <v>12.41</v>
      </c>
      <c r="M81" s="18">
        <f t="shared" ref="M81:M112" si="18">IF(   $H$5=1,    IF((F81-$H$6)&gt;0,((F81-$H$6)/$P$7)*$E$8,0),   IF(F81&gt;0,(F81/$P$4)*$E$8,0)    )</f>
        <v>0</v>
      </c>
      <c r="N81" s="18">
        <f t="shared" si="12"/>
        <v>12.41</v>
      </c>
      <c r="O81" s="8"/>
    </row>
    <row r="82" spans="1:15">
      <c r="A82" s="1" t="s">
        <v>72</v>
      </c>
      <c r="B82" s="11"/>
      <c r="C82" s="11">
        <v>263000</v>
      </c>
      <c r="D82" s="11">
        <v>300000</v>
      </c>
      <c r="E82" s="11">
        <v>0</v>
      </c>
      <c r="F82" s="11">
        <f t="shared" si="10"/>
        <v>37000</v>
      </c>
      <c r="G82" s="17">
        <f t="shared" si="13"/>
        <v>42.19</v>
      </c>
      <c r="H82" s="17">
        <f t="shared" si="14"/>
        <v>23</v>
      </c>
      <c r="I82" s="17">
        <f t="shared" si="15"/>
        <v>26.7</v>
      </c>
      <c r="J82" s="18">
        <f t="shared" si="16"/>
        <v>21.7</v>
      </c>
      <c r="K82" s="18">
        <f t="shared" si="17"/>
        <v>0</v>
      </c>
      <c r="L82" s="18">
        <f t="shared" si="11"/>
        <v>113.59</v>
      </c>
      <c r="M82" s="18">
        <f t="shared" si="18"/>
        <v>0</v>
      </c>
      <c r="N82" s="18">
        <f t="shared" si="12"/>
        <v>113.59</v>
      </c>
      <c r="O82" s="8" t="s">
        <v>139</v>
      </c>
    </row>
    <row r="83" spans="1:15">
      <c r="A83" s="1" t="s">
        <v>73</v>
      </c>
      <c r="B83" s="11"/>
      <c r="C83" s="11">
        <v>1993000</v>
      </c>
      <c r="D83" s="11">
        <v>1997000</v>
      </c>
      <c r="E83" s="11">
        <v>0</v>
      </c>
      <c r="F83" s="11">
        <f t="shared" si="10"/>
        <v>4000</v>
      </c>
      <c r="G83" s="17">
        <f t="shared" si="13"/>
        <v>42.19</v>
      </c>
      <c r="H83" s="17">
        <f t="shared" si="14"/>
        <v>0</v>
      </c>
      <c r="I83" s="17">
        <f t="shared" si="15"/>
        <v>0</v>
      </c>
      <c r="J83" s="18">
        <f t="shared" si="16"/>
        <v>0</v>
      </c>
      <c r="K83" s="18">
        <f t="shared" si="17"/>
        <v>0</v>
      </c>
      <c r="L83" s="18">
        <f t="shared" si="11"/>
        <v>42.19</v>
      </c>
      <c r="M83" s="18">
        <f t="shared" si="18"/>
        <v>0</v>
      </c>
      <c r="N83" s="18">
        <f t="shared" si="12"/>
        <v>42.19</v>
      </c>
      <c r="O83" s="8"/>
    </row>
    <row r="84" spans="1:15">
      <c r="A84" s="1" t="s">
        <v>74</v>
      </c>
      <c r="B84" s="11" t="s">
        <v>138</v>
      </c>
      <c r="C84" s="11">
        <v>0</v>
      </c>
      <c r="D84" s="11">
        <v>0</v>
      </c>
      <c r="E84" s="11">
        <v>0</v>
      </c>
      <c r="F84" s="11">
        <f t="shared" si="10"/>
        <v>0</v>
      </c>
      <c r="G84" s="17">
        <f t="shared" si="13"/>
        <v>12.41</v>
      </c>
      <c r="H84" s="17">
        <f t="shared" si="14"/>
        <v>0</v>
      </c>
      <c r="I84" s="17">
        <f t="shared" si="15"/>
        <v>0</v>
      </c>
      <c r="J84" s="18">
        <f t="shared" si="16"/>
        <v>0</v>
      </c>
      <c r="K84" s="18">
        <f t="shared" si="17"/>
        <v>0</v>
      </c>
      <c r="L84" s="18">
        <f t="shared" si="11"/>
        <v>12.41</v>
      </c>
      <c r="M84" s="18">
        <f t="shared" si="18"/>
        <v>0</v>
      </c>
      <c r="N84" s="18">
        <f t="shared" si="12"/>
        <v>12.41</v>
      </c>
      <c r="O84" s="8"/>
    </row>
    <row r="85" spans="1:15">
      <c r="A85" s="1" t="s">
        <v>75</v>
      </c>
      <c r="B85" s="11"/>
      <c r="C85" s="11">
        <v>749000</v>
      </c>
      <c r="D85" s="11">
        <v>752000</v>
      </c>
      <c r="E85" s="11">
        <v>0</v>
      </c>
      <c r="F85" s="11">
        <f t="shared" si="10"/>
        <v>3000</v>
      </c>
      <c r="G85" s="17">
        <f t="shared" si="13"/>
        <v>42.19</v>
      </c>
      <c r="H85" s="17">
        <f t="shared" si="14"/>
        <v>0</v>
      </c>
      <c r="I85" s="17">
        <f t="shared" si="15"/>
        <v>0</v>
      </c>
      <c r="J85" s="18">
        <f t="shared" si="16"/>
        <v>0</v>
      </c>
      <c r="K85" s="18">
        <f t="shared" si="17"/>
        <v>0</v>
      </c>
      <c r="L85" s="18">
        <f t="shared" si="11"/>
        <v>42.19</v>
      </c>
      <c r="M85" s="18">
        <f t="shared" si="18"/>
        <v>0</v>
      </c>
      <c r="N85" s="18">
        <f t="shared" si="12"/>
        <v>42.19</v>
      </c>
      <c r="O85" s="8"/>
    </row>
    <row r="86" spans="1:15">
      <c r="A86" s="1" t="s">
        <v>76</v>
      </c>
      <c r="B86" s="11"/>
      <c r="C86" s="11">
        <v>247000</v>
      </c>
      <c r="D86" s="11">
        <v>278000</v>
      </c>
      <c r="E86" s="11">
        <v>0</v>
      </c>
      <c r="F86" s="11">
        <f t="shared" si="10"/>
        <v>31000</v>
      </c>
      <c r="G86" s="17">
        <f t="shared" si="13"/>
        <v>42.19</v>
      </c>
      <c r="H86" s="17">
        <f t="shared" si="14"/>
        <v>23</v>
      </c>
      <c r="I86" s="17">
        <f t="shared" si="15"/>
        <v>26.7</v>
      </c>
      <c r="J86" s="18">
        <f t="shared" si="16"/>
        <v>3.1</v>
      </c>
      <c r="K86" s="18">
        <f t="shared" si="17"/>
        <v>0</v>
      </c>
      <c r="L86" s="18">
        <f t="shared" si="11"/>
        <v>94.99</v>
      </c>
      <c r="M86" s="18">
        <f t="shared" si="18"/>
        <v>0</v>
      </c>
      <c r="N86" s="18">
        <f t="shared" si="12"/>
        <v>94.99</v>
      </c>
      <c r="O86" s="8" t="s">
        <v>139</v>
      </c>
    </row>
    <row r="87" spans="1:15">
      <c r="A87" s="1" t="s">
        <v>77</v>
      </c>
      <c r="B87" s="11"/>
      <c r="C87" s="11">
        <v>132000</v>
      </c>
      <c r="D87" s="11">
        <v>149000</v>
      </c>
      <c r="E87" s="11">
        <v>0</v>
      </c>
      <c r="F87" s="11">
        <f t="shared" si="10"/>
        <v>17000</v>
      </c>
      <c r="G87" s="17">
        <f t="shared" si="13"/>
        <v>42.19</v>
      </c>
      <c r="H87" s="17">
        <f t="shared" si="14"/>
        <v>16.099999999999998</v>
      </c>
      <c r="I87" s="17">
        <f t="shared" si="15"/>
        <v>0</v>
      </c>
      <c r="J87" s="18">
        <f t="shared" si="16"/>
        <v>0</v>
      </c>
      <c r="K87" s="18">
        <f t="shared" si="17"/>
        <v>0</v>
      </c>
      <c r="L87" s="18">
        <f t="shared" si="11"/>
        <v>58.289999999999992</v>
      </c>
      <c r="M87" s="18">
        <f t="shared" si="18"/>
        <v>0</v>
      </c>
      <c r="N87" s="18">
        <f t="shared" si="12"/>
        <v>58.289999999999992</v>
      </c>
      <c r="O87" s="8"/>
    </row>
    <row r="88" spans="1:15">
      <c r="A88" s="1" t="s">
        <v>78</v>
      </c>
      <c r="B88" s="11"/>
      <c r="C88" s="11">
        <v>1367000</v>
      </c>
      <c r="D88" s="11">
        <v>1409000</v>
      </c>
      <c r="E88" s="11">
        <v>0</v>
      </c>
      <c r="F88" s="11">
        <f t="shared" si="10"/>
        <v>42000</v>
      </c>
      <c r="G88" s="17">
        <f t="shared" si="13"/>
        <v>42.19</v>
      </c>
      <c r="H88" s="17">
        <f t="shared" si="14"/>
        <v>23</v>
      </c>
      <c r="I88" s="17">
        <f t="shared" si="15"/>
        <v>26.7</v>
      </c>
      <c r="J88" s="18">
        <f t="shared" si="16"/>
        <v>31</v>
      </c>
      <c r="K88" s="18">
        <f t="shared" si="17"/>
        <v>7.2</v>
      </c>
      <c r="L88" s="18">
        <f t="shared" si="11"/>
        <v>130.09</v>
      </c>
      <c r="M88" s="18">
        <f t="shared" si="18"/>
        <v>0</v>
      </c>
      <c r="N88" s="18">
        <f t="shared" si="12"/>
        <v>130.09</v>
      </c>
      <c r="O88" s="8"/>
    </row>
    <row r="89" spans="1:15">
      <c r="A89" s="1" t="s">
        <v>79</v>
      </c>
      <c r="B89" s="11"/>
      <c r="C89" s="11">
        <v>3486000</v>
      </c>
      <c r="D89" s="11">
        <v>3502000</v>
      </c>
      <c r="E89" s="11">
        <v>0</v>
      </c>
      <c r="F89" s="11">
        <f t="shared" si="10"/>
        <v>16000</v>
      </c>
      <c r="G89" s="17">
        <f t="shared" si="13"/>
        <v>42.19</v>
      </c>
      <c r="H89" s="17">
        <f t="shared" si="14"/>
        <v>13.799999999999999</v>
      </c>
      <c r="I89" s="17">
        <f t="shared" si="15"/>
        <v>0</v>
      </c>
      <c r="J89" s="18">
        <f t="shared" si="16"/>
        <v>0</v>
      </c>
      <c r="K89" s="18">
        <f t="shared" si="17"/>
        <v>0</v>
      </c>
      <c r="L89" s="18">
        <f t="shared" si="11"/>
        <v>55.989999999999995</v>
      </c>
      <c r="M89" s="18">
        <f t="shared" si="18"/>
        <v>0</v>
      </c>
      <c r="N89" s="18">
        <f t="shared" si="12"/>
        <v>55.989999999999995</v>
      </c>
      <c r="O89" s="8"/>
    </row>
    <row r="90" spans="1:15">
      <c r="A90" s="1" t="s">
        <v>80</v>
      </c>
      <c r="B90" s="11"/>
      <c r="C90" s="11">
        <v>3044000</v>
      </c>
      <c r="D90" s="11">
        <v>3048000</v>
      </c>
      <c r="E90" s="11">
        <v>0</v>
      </c>
      <c r="F90" s="11">
        <f t="shared" si="10"/>
        <v>4000</v>
      </c>
      <c r="G90" s="17">
        <f t="shared" si="13"/>
        <v>42.19</v>
      </c>
      <c r="H90" s="17">
        <f t="shared" si="14"/>
        <v>0</v>
      </c>
      <c r="I90" s="17">
        <f t="shared" si="15"/>
        <v>0</v>
      </c>
      <c r="J90" s="18">
        <f t="shared" si="16"/>
        <v>0</v>
      </c>
      <c r="K90" s="18">
        <f t="shared" si="17"/>
        <v>0</v>
      </c>
      <c r="L90" s="18">
        <f t="shared" si="11"/>
        <v>42.19</v>
      </c>
      <c r="M90" s="18">
        <f t="shared" si="18"/>
        <v>0</v>
      </c>
      <c r="N90" s="18">
        <f t="shared" si="12"/>
        <v>42.19</v>
      </c>
      <c r="O90" s="8"/>
    </row>
    <row r="91" spans="1:15">
      <c r="A91" s="1" t="s">
        <v>81</v>
      </c>
      <c r="B91" s="11" t="s">
        <v>138</v>
      </c>
      <c r="C91" s="11">
        <v>0</v>
      </c>
      <c r="D91" s="11">
        <v>0</v>
      </c>
      <c r="E91" s="11">
        <v>0</v>
      </c>
      <c r="F91" s="11">
        <f t="shared" si="10"/>
        <v>0</v>
      </c>
      <c r="G91" s="17">
        <f t="shared" si="13"/>
        <v>12.41</v>
      </c>
      <c r="H91" s="17">
        <f t="shared" si="14"/>
        <v>0</v>
      </c>
      <c r="I91" s="17">
        <f t="shared" si="15"/>
        <v>0</v>
      </c>
      <c r="J91" s="18">
        <f t="shared" si="16"/>
        <v>0</v>
      </c>
      <c r="K91" s="18">
        <f t="shared" si="17"/>
        <v>0</v>
      </c>
      <c r="L91" s="18">
        <f t="shared" si="11"/>
        <v>12.41</v>
      </c>
      <c r="M91" s="18">
        <f t="shared" si="18"/>
        <v>0</v>
      </c>
      <c r="N91" s="18">
        <f t="shared" si="12"/>
        <v>12.41</v>
      </c>
      <c r="O91" s="8"/>
    </row>
    <row r="92" spans="1:15">
      <c r="A92" s="1" t="s">
        <v>82</v>
      </c>
      <c r="B92" s="11"/>
      <c r="C92" s="11">
        <v>3364000</v>
      </c>
      <c r="D92" s="11">
        <v>3428000</v>
      </c>
      <c r="E92" s="11">
        <v>0</v>
      </c>
      <c r="F92" s="11">
        <f t="shared" si="10"/>
        <v>64000</v>
      </c>
      <c r="G92" s="17">
        <f t="shared" si="13"/>
        <v>42.19</v>
      </c>
      <c r="H92" s="17">
        <f t="shared" si="14"/>
        <v>23</v>
      </c>
      <c r="I92" s="17">
        <f t="shared" si="15"/>
        <v>26.7</v>
      </c>
      <c r="J92" s="18">
        <f t="shared" si="16"/>
        <v>31</v>
      </c>
      <c r="K92" s="18">
        <f t="shared" si="17"/>
        <v>86.4</v>
      </c>
      <c r="L92" s="18">
        <f t="shared" si="11"/>
        <v>209.29000000000002</v>
      </c>
      <c r="M92" s="18">
        <f t="shared" si="18"/>
        <v>0</v>
      </c>
      <c r="N92" s="18">
        <f t="shared" si="12"/>
        <v>209.29000000000002</v>
      </c>
      <c r="O92" s="8"/>
    </row>
    <row r="93" spans="1:15">
      <c r="A93" s="1" t="s">
        <v>83</v>
      </c>
      <c r="B93" s="11"/>
      <c r="C93" s="11">
        <v>7721000</v>
      </c>
      <c r="D93" s="11">
        <v>7766000</v>
      </c>
      <c r="E93" s="11">
        <v>0</v>
      </c>
      <c r="F93" s="11">
        <f t="shared" si="10"/>
        <v>45000</v>
      </c>
      <c r="G93" s="17">
        <f t="shared" si="13"/>
        <v>42.19</v>
      </c>
      <c r="H93" s="17">
        <f t="shared" si="14"/>
        <v>23</v>
      </c>
      <c r="I93" s="17">
        <f t="shared" si="15"/>
        <v>26.7</v>
      </c>
      <c r="J93" s="18">
        <f t="shared" si="16"/>
        <v>31</v>
      </c>
      <c r="K93" s="18">
        <f t="shared" si="17"/>
        <v>18</v>
      </c>
      <c r="L93" s="18">
        <f t="shared" si="11"/>
        <v>140.88999999999999</v>
      </c>
      <c r="M93" s="18">
        <f t="shared" si="18"/>
        <v>0</v>
      </c>
      <c r="N93" s="18">
        <f t="shared" si="12"/>
        <v>140.88999999999999</v>
      </c>
      <c r="O93" s="8"/>
    </row>
    <row r="94" spans="1:15">
      <c r="A94" s="1" t="s">
        <v>84</v>
      </c>
      <c r="B94" s="11"/>
      <c r="C94" s="11">
        <v>3800000</v>
      </c>
      <c r="D94" s="11">
        <v>3800000</v>
      </c>
      <c r="E94" s="11">
        <v>0</v>
      </c>
      <c r="F94" s="11">
        <f t="shared" si="10"/>
        <v>0</v>
      </c>
      <c r="G94" s="17">
        <f t="shared" si="13"/>
        <v>42.19</v>
      </c>
      <c r="H94" s="17">
        <f t="shared" si="14"/>
        <v>0</v>
      </c>
      <c r="I94" s="17">
        <f t="shared" si="15"/>
        <v>0</v>
      </c>
      <c r="J94" s="18">
        <f t="shared" si="16"/>
        <v>0</v>
      </c>
      <c r="K94" s="18">
        <f t="shared" si="17"/>
        <v>0</v>
      </c>
      <c r="L94" s="18">
        <f t="shared" si="11"/>
        <v>42.19</v>
      </c>
      <c r="M94" s="18">
        <f t="shared" si="18"/>
        <v>0</v>
      </c>
      <c r="N94" s="18">
        <f t="shared" si="12"/>
        <v>42.19</v>
      </c>
      <c r="O94" s="8"/>
    </row>
    <row r="95" spans="1:15">
      <c r="A95" s="1" t="s">
        <v>85</v>
      </c>
      <c r="B95" s="11"/>
      <c r="C95" s="11">
        <v>2084000</v>
      </c>
      <c r="D95" s="11">
        <v>2113000</v>
      </c>
      <c r="E95" s="11">
        <v>0</v>
      </c>
      <c r="F95" s="11">
        <f t="shared" si="10"/>
        <v>29000</v>
      </c>
      <c r="G95" s="17">
        <f t="shared" si="13"/>
        <v>42.19</v>
      </c>
      <c r="H95" s="17">
        <f t="shared" si="14"/>
        <v>23</v>
      </c>
      <c r="I95" s="17">
        <f t="shared" si="15"/>
        <v>24.03</v>
      </c>
      <c r="J95" s="18">
        <f t="shared" si="16"/>
        <v>0</v>
      </c>
      <c r="K95" s="18">
        <f t="shared" si="17"/>
        <v>0</v>
      </c>
      <c r="L95" s="18">
        <f t="shared" si="11"/>
        <v>89.22</v>
      </c>
      <c r="M95" s="18">
        <f t="shared" si="18"/>
        <v>0</v>
      </c>
      <c r="N95" s="18">
        <f t="shared" si="12"/>
        <v>89.22</v>
      </c>
      <c r="O95" s="8"/>
    </row>
    <row r="96" spans="1:15">
      <c r="A96" s="1" t="s">
        <v>86</v>
      </c>
      <c r="B96" s="11"/>
      <c r="C96" s="11">
        <v>1875000</v>
      </c>
      <c r="D96" s="11">
        <v>1876000</v>
      </c>
      <c r="E96" s="11">
        <v>0</v>
      </c>
      <c r="F96" s="11">
        <f t="shared" si="10"/>
        <v>1000</v>
      </c>
      <c r="G96" s="17">
        <f t="shared" si="13"/>
        <v>42.19</v>
      </c>
      <c r="H96" s="17">
        <f t="shared" si="14"/>
        <v>0</v>
      </c>
      <c r="I96" s="17">
        <f t="shared" si="15"/>
        <v>0</v>
      </c>
      <c r="J96" s="18">
        <f t="shared" si="16"/>
        <v>0</v>
      </c>
      <c r="K96" s="18">
        <f t="shared" si="17"/>
        <v>0</v>
      </c>
      <c r="L96" s="18">
        <f t="shared" si="11"/>
        <v>42.19</v>
      </c>
      <c r="M96" s="18">
        <f t="shared" si="18"/>
        <v>0</v>
      </c>
      <c r="N96" s="18">
        <f t="shared" si="12"/>
        <v>42.19</v>
      </c>
      <c r="O96" s="8"/>
    </row>
    <row r="97" spans="1:15">
      <c r="A97" s="1" t="s">
        <v>87</v>
      </c>
      <c r="B97" s="11" t="s">
        <v>138</v>
      </c>
      <c r="C97" s="11">
        <v>0</v>
      </c>
      <c r="D97" s="11">
        <v>0</v>
      </c>
      <c r="E97" s="11">
        <v>0</v>
      </c>
      <c r="F97" s="11">
        <f t="shared" si="10"/>
        <v>0</v>
      </c>
      <c r="G97" s="17">
        <f t="shared" si="13"/>
        <v>12.41</v>
      </c>
      <c r="H97" s="17">
        <f t="shared" si="14"/>
        <v>0</v>
      </c>
      <c r="I97" s="17">
        <f t="shared" si="15"/>
        <v>0</v>
      </c>
      <c r="J97" s="18">
        <f t="shared" si="16"/>
        <v>0</v>
      </c>
      <c r="K97" s="18">
        <f t="shared" si="17"/>
        <v>0</v>
      </c>
      <c r="L97" s="18">
        <f t="shared" si="11"/>
        <v>12.41</v>
      </c>
      <c r="M97" s="18">
        <f t="shared" si="18"/>
        <v>0</v>
      </c>
      <c r="N97" s="18">
        <f t="shared" si="12"/>
        <v>12.41</v>
      </c>
      <c r="O97" s="8"/>
    </row>
    <row r="98" spans="1:15">
      <c r="A98" s="1" t="s">
        <v>88</v>
      </c>
      <c r="B98" s="11"/>
      <c r="C98" s="11">
        <v>1256000</v>
      </c>
      <c r="D98" s="11">
        <v>1268000</v>
      </c>
      <c r="E98" s="11">
        <v>0</v>
      </c>
      <c r="F98" s="11">
        <f t="shared" si="10"/>
        <v>12000</v>
      </c>
      <c r="G98" s="17">
        <f t="shared" si="13"/>
        <v>42.19</v>
      </c>
      <c r="H98" s="17">
        <f t="shared" si="14"/>
        <v>4.5999999999999996</v>
      </c>
      <c r="I98" s="17">
        <f t="shared" si="15"/>
        <v>0</v>
      </c>
      <c r="J98" s="18">
        <f t="shared" si="16"/>
        <v>0</v>
      </c>
      <c r="K98" s="18">
        <f t="shared" si="17"/>
        <v>0</v>
      </c>
      <c r="L98" s="18">
        <f t="shared" si="11"/>
        <v>46.79</v>
      </c>
      <c r="M98" s="18">
        <f t="shared" si="18"/>
        <v>0</v>
      </c>
      <c r="N98" s="18">
        <f t="shared" si="12"/>
        <v>46.79</v>
      </c>
      <c r="O98" s="8"/>
    </row>
    <row r="99" spans="1:15">
      <c r="A99" s="1" t="s">
        <v>89</v>
      </c>
      <c r="B99" s="11"/>
      <c r="C99" s="11">
        <v>2370000</v>
      </c>
      <c r="D99" s="11">
        <v>2437000</v>
      </c>
      <c r="E99" s="11">
        <v>0</v>
      </c>
      <c r="F99" s="11">
        <f t="shared" si="10"/>
        <v>67000</v>
      </c>
      <c r="G99" s="17">
        <f t="shared" si="13"/>
        <v>42.19</v>
      </c>
      <c r="H99" s="17">
        <f t="shared" si="14"/>
        <v>23</v>
      </c>
      <c r="I99" s="17">
        <f t="shared" si="15"/>
        <v>26.7</v>
      </c>
      <c r="J99" s="18">
        <f t="shared" si="16"/>
        <v>31</v>
      </c>
      <c r="K99" s="18">
        <f t="shared" si="17"/>
        <v>97.2</v>
      </c>
      <c r="L99" s="18">
        <f t="shared" si="11"/>
        <v>220.09</v>
      </c>
      <c r="M99" s="18">
        <f t="shared" si="18"/>
        <v>0</v>
      </c>
      <c r="N99" s="18">
        <f t="shared" si="12"/>
        <v>220.09</v>
      </c>
      <c r="O99" s="8"/>
    </row>
    <row r="100" spans="1:15">
      <c r="A100" s="1" t="s">
        <v>90</v>
      </c>
      <c r="B100" s="11"/>
      <c r="C100" s="11">
        <v>1258000</v>
      </c>
      <c r="D100" s="11">
        <v>1260000</v>
      </c>
      <c r="E100" s="11">
        <v>0</v>
      </c>
      <c r="F100" s="11">
        <f t="shared" si="10"/>
        <v>2000</v>
      </c>
      <c r="G100" s="17">
        <f t="shared" si="13"/>
        <v>42.19</v>
      </c>
      <c r="H100" s="17">
        <f t="shared" si="14"/>
        <v>0</v>
      </c>
      <c r="I100" s="17">
        <f t="shared" si="15"/>
        <v>0</v>
      </c>
      <c r="J100" s="18">
        <f t="shared" si="16"/>
        <v>0</v>
      </c>
      <c r="K100" s="18">
        <f t="shared" si="17"/>
        <v>0</v>
      </c>
      <c r="L100" s="18">
        <f t="shared" si="11"/>
        <v>42.19</v>
      </c>
      <c r="M100" s="18">
        <f t="shared" si="18"/>
        <v>0</v>
      </c>
      <c r="N100" s="18">
        <f t="shared" si="12"/>
        <v>42.19</v>
      </c>
      <c r="O100" s="8"/>
    </row>
    <row r="101" spans="1:15">
      <c r="A101" s="1" t="s">
        <v>91</v>
      </c>
      <c r="B101" s="11"/>
      <c r="C101" s="11">
        <v>270200</v>
      </c>
      <c r="D101" s="11">
        <v>272900</v>
      </c>
      <c r="E101" s="11">
        <v>0</v>
      </c>
      <c r="F101" s="11">
        <f t="shared" si="10"/>
        <v>2700</v>
      </c>
      <c r="G101" s="17">
        <f t="shared" si="13"/>
        <v>42.19</v>
      </c>
      <c r="H101" s="17">
        <f t="shared" si="14"/>
        <v>0</v>
      </c>
      <c r="I101" s="17">
        <f t="shared" si="15"/>
        <v>0</v>
      </c>
      <c r="J101" s="18">
        <f t="shared" si="16"/>
        <v>0</v>
      </c>
      <c r="K101" s="18">
        <f t="shared" si="17"/>
        <v>0</v>
      </c>
      <c r="L101" s="18">
        <f t="shared" si="11"/>
        <v>42.19</v>
      </c>
      <c r="M101" s="18">
        <f t="shared" si="18"/>
        <v>0</v>
      </c>
      <c r="N101" s="18">
        <f t="shared" si="12"/>
        <v>42.19</v>
      </c>
      <c r="O101" s="8"/>
    </row>
    <row r="102" spans="1:15">
      <c r="A102" s="1" t="s">
        <v>92</v>
      </c>
      <c r="B102" s="11"/>
      <c r="C102" s="11">
        <v>2550000</v>
      </c>
      <c r="D102" s="11">
        <v>2559000</v>
      </c>
      <c r="E102" s="11">
        <v>0</v>
      </c>
      <c r="F102" s="11">
        <f t="shared" si="10"/>
        <v>9000</v>
      </c>
      <c r="G102" s="17">
        <f t="shared" si="13"/>
        <v>42.19</v>
      </c>
      <c r="H102" s="17">
        <f t="shared" si="14"/>
        <v>0</v>
      </c>
      <c r="I102" s="17">
        <f t="shared" si="15"/>
        <v>0</v>
      </c>
      <c r="J102" s="18">
        <f t="shared" si="16"/>
        <v>0</v>
      </c>
      <c r="K102" s="18">
        <f t="shared" si="17"/>
        <v>0</v>
      </c>
      <c r="L102" s="18">
        <f t="shared" si="11"/>
        <v>42.19</v>
      </c>
      <c r="M102" s="18">
        <f t="shared" si="18"/>
        <v>0</v>
      </c>
      <c r="N102" s="18">
        <f t="shared" si="12"/>
        <v>42.19</v>
      </c>
      <c r="O102" s="8"/>
    </row>
    <row r="103" spans="1:15">
      <c r="A103" s="1" t="s">
        <v>93</v>
      </c>
      <c r="B103" s="11" t="s">
        <v>138</v>
      </c>
      <c r="C103" s="11">
        <v>0</v>
      </c>
      <c r="D103" s="11">
        <v>0</v>
      </c>
      <c r="E103" s="11">
        <v>0</v>
      </c>
      <c r="F103" s="11">
        <f t="shared" si="10"/>
        <v>0</v>
      </c>
      <c r="G103" s="17">
        <f t="shared" si="13"/>
        <v>12.41</v>
      </c>
      <c r="H103" s="17">
        <f t="shared" si="14"/>
        <v>0</v>
      </c>
      <c r="I103" s="17">
        <f t="shared" si="15"/>
        <v>0</v>
      </c>
      <c r="J103" s="18">
        <f t="shared" si="16"/>
        <v>0</v>
      </c>
      <c r="K103" s="18">
        <f t="shared" si="17"/>
        <v>0</v>
      </c>
      <c r="L103" s="18">
        <f t="shared" si="11"/>
        <v>12.41</v>
      </c>
      <c r="M103" s="18">
        <f t="shared" si="18"/>
        <v>0</v>
      </c>
      <c r="N103" s="18">
        <f t="shared" si="12"/>
        <v>12.41</v>
      </c>
      <c r="O103" s="8"/>
    </row>
    <row r="104" spans="1:15">
      <c r="A104" s="1" t="s">
        <v>94</v>
      </c>
      <c r="B104" s="11" t="s">
        <v>138</v>
      </c>
      <c r="C104" s="11">
        <v>0</v>
      </c>
      <c r="D104" s="11">
        <v>0</v>
      </c>
      <c r="E104" s="11">
        <v>0</v>
      </c>
      <c r="F104" s="11">
        <f t="shared" si="10"/>
        <v>0</v>
      </c>
      <c r="G104" s="17">
        <f t="shared" si="13"/>
        <v>12.41</v>
      </c>
      <c r="H104" s="17">
        <f t="shared" si="14"/>
        <v>0</v>
      </c>
      <c r="I104" s="17">
        <f t="shared" si="15"/>
        <v>0</v>
      </c>
      <c r="J104" s="18">
        <f t="shared" si="16"/>
        <v>0</v>
      </c>
      <c r="K104" s="18">
        <f t="shared" si="17"/>
        <v>0</v>
      </c>
      <c r="L104" s="18">
        <f t="shared" si="11"/>
        <v>12.41</v>
      </c>
      <c r="M104" s="18">
        <f t="shared" si="18"/>
        <v>0</v>
      </c>
      <c r="N104" s="18">
        <f t="shared" si="12"/>
        <v>12.41</v>
      </c>
      <c r="O104" s="8"/>
    </row>
    <row r="105" spans="1:15">
      <c r="A105" s="1" t="s">
        <v>95</v>
      </c>
      <c r="B105" s="11" t="s">
        <v>138</v>
      </c>
      <c r="C105" s="11">
        <v>0</v>
      </c>
      <c r="D105" s="11">
        <v>0</v>
      </c>
      <c r="E105" s="11">
        <v>0</v>
      </c>
      <c r="F105" s="11">
        <f t="shared" si="10"/>
        <v>0</v>
      </c>
      <c r="G105" s="17">
        <f t="shared" si="13"/>
        <v>12.41</v>
      </c>
      <c r="H105" s="17">
        <f t="shared" si="14"/>
        <v>0</v>
      </c>
      <c r="I105" s="17">
        <f t="shared" si="15"/>
        <v>0</v>
      </c>
      <c r="J105" s="18">
        <f t="shared" si="16"/>
        <v>0</v>
      </c>
      <c r="K105" s="18">
        <f t="shared" si="17"/>
        <v>0</v>
      </c>
      <c r="L105" s="18">
        <f t="shared" si="11"/>
        <v>12.41</v>
      </c>
      <c r="M105" s="18">
        <f t="shared" si="18"/>
        <v>0</v>
      </c>
      <c r="N105" s="18">
        <f t="shared" si="12"/>
        <v>12.41</v>
      </c>
      <c r="O105" s="8"/>
    </row>
    <row r="106" spans="1:15">
      <c r="A106" s="1" t="s">
        <v>96</v>
      </c>
      <c r="B106" s="11"/>
      <c r="C106" s="11">
        <v>1899000</v>
      </c>
      <c r="D106" s="11">
        <v>1913000</v>
      </c>
      <c r="E106" s="11">
        <v>0</v>
      </c>
      <c r="F106" s="11">
        <f t="shared" si="10"/>
        <v>14000</v>
      </c>
      <c r="G106" s="17">
        <f t="shared" si="13"/>
        <v>42.19</v>
      </c>
      <c r="H106" s="17">
        <f t="shared" si="14"/>
        <v>9.1999999999999993</v>
      </c>
      <c r="I106" s="17">
        <f t="shared" si="15"/>
        <v>0</v>
      </c>
      <c r="J106" s="18">
        <f t="shared" si="16"/>
        <v>0</v>
      </c>
      <c r="K106" s="18">
        <f t="shared" si="17"/>
        <v>0</v>
      </c>
      <c r="L106" s="18">
        <f t="shared" si="11"/>
        <v>51.39</v>
      </c>
      <c r="M106" s="18">
        <f t="shared" si="18"/>
        <v>0</v>
      </c>
      <c r="N106" s="18">
        <f t="shared" si="12"/>
        <v>51.39</v>
      </c>
      <c r="O106" s="8"/>
    </row>
    <row r="107" spans="1:15">
      <c r="A107" s="1" t="s">
        <v>97</v>
      </c>
      <c r="B107" s="11" t="s">
        <v>138</v>
      </c>
      <c r="C107" s="11">
        <v>0</v>
      </c>
      <c r="D107" s="11">
        <v>0</v>
      </c>
      <c r="E107" s="11">
        <v>0</v>
      </c>
      <c r="F107" s="11">
        <f t="shared" si="10"/>
        <v>0</v>
      </c>
      <c r="G107" s="17">
        <f t="shared" si="13"/>
        <v>12.41</v>
      </c>
      <c r="H107" s="17">
        <f t="shared" si="14"/>
        <v>0</v>
      </c>
      <c r="I107" s="17">
        <f t="shared" si="15"/>
        <v>0</v>
      </c>
      <c r="J107" s="18">
        <f t="shared" si="16"/>
        <v>0</v>
      </c>
      <c r="K107" s="18">
        <f t="shared" si="17"/>
        <v>0</v>
      </c>
      <c r="L107" s="18">
        <f t="shared" si="11"/>
        <v>12.41</v>
      </c>
      <c r="M107" s="18">
        <f t="shared" si="18"/>
        <v>0</v>
      </c>
      <c r="N107" s="18">
        <f t="shared" si="12"/>
        <v>12.41</v>
      </c>
      <c r="O107" s="8"/>
    </row>
    <row r="108" spans="1:15">
      <c r="A108" s="1" t="s">
        <v>98</v>
      </c>
      <c r="B108" s="11" t="s">
        <v>138</v>
      </c>
      <c r="C108" s="11">
        <v>0</v>
      </c>
      <c r="D108" s="11">
        <v>0</v>
      </c>
      <c r="E108" s="11">
        <v>0</v>
      </c>
      <c r="F108" s="11">
        <f t="shared" si="10"/>
        <v>0</v>
      </c>
      <c r="G108" s="17">
        <f t="shared" si="13"/>
        <v>12.41</v>
      </c>
      <c r="H108" s="17">
        <f t="shared" si="14"/>
        <v>0</v>
      </c>
      <c r="I108" s="17">
        <f t="shared" si="15"/>
        <v>0</v>
      </c>
      <c r="J108" s="18">
        <f t="shared" si="16"/>
        <v>0</v>
      </c>
      <c r="K108" s="18">
        <f t="shared" si="17"/>
        <v>0</v>
      </c>
      <c r="L108" s="18">
        <f t="shared" si="11"/>
        <v>12.41</v>
      </c>
      <c r="M108" s="18">
        <f t="shared" si="18"/>
        <v>0</v>
      </c>
      <c r="N108" s="18">
        <f t="shared" si="12"/>
        <v>12.41</v>
      </c>
      <c r="O108" s="8"/>
    </row>
    <row r="109" spans="1:15">
      <c r="A109" s="1" t="s">
        <v>99</v>
      </c>
      <c r="B109" s="11"/>
      <c r="C109" s="11">
        <v>1680000</v>
      </c>
      <c r="D109" s="11">
        <v>1680000</v>
      </c>
      <c r="E109" s="11">
        <v>0</v>
      </c>
      <c r="F109" s="11">
        <f t="shared" si="10"/>
        <v>0</v>
      </c>
      <c r="G109" s="17">
        <f t="shared" si="13"/>
        <v>42.19</v>
      </c>
      <c r="H109" s="17">
        <f t="shared" si="14"/>
        <v>0</v>
      </c>
      <c r="I109" s="17">
        <f t="shared" si="15"/>
        <v>0</v>
      </c>
      <c r="J109" s="18">
        <f t="shared" si="16"/>
        <v>0</v>
      </c>
      <c r="K109" s="18">
        <f t="shared" si="17"/>
        <v>0</v>
      </c>
      <c r="L109" s="18">
        <f t="shared" si="11"/>
        <v>42.19</v>
      </c>
      <c r="M109" s="18">
        <f t="shared" si="18"/>
        <v>0</v>
      </c>
      <c r="N109" s="18">
        <f t="shared" si="12"/>
        <v>42.19</v>
      </c>
      <c r="O109" s="8"/>
    </row>
    <row r="110" spans="1:15">
      <c r="A110" s="1" t="s">
        <v>100</v>
      </c>
      <c r="B110" s="11"/>
      <c r="C110" s="11">
        <v>546000</v>
      </c>
      <c r="D110" s="11">
        <v>546000</v>
      </c>
      <c r="E110" s="11">
        <v>0</v>
      </c>
      <c r="F110" s="11">
        <f t="shared" si="10"/>
        <v>0</v>
      </c>
      <c r="G110" s="17">
        <f t="shared" si="13"/>
        <v>42.19</v>
      </c>
      <c r="H110" s="17">
        <f t="shared" si="14"/>
        <v>0</v>
      </c>
      <c r="I110" s="17">
        <f t="shared" si="15"/>
        <v>0</v>
      </c>
      <c r="J110" s="18">
        <f t="shared" si="16"/>
        <v>0</v>
      </c>
      <c r="K110" s="18">
        <f t="shared" si="17"/>
        <v>0</v>
      </c>
      <c r="L110" s="18">
        <f t="shared" si="11"/>
        <v>42.19</v>
      </c>
      <c r="M110" s="18">
        <f t="shared" si="18"/>
        <v>0</v>
      </c>
      <c r="N110" s="18">
        <f t="shared" si="12"/>
        <v>42.19</v>
      </c>
      <c r="O110" s="8" t="s">
        <v>184</v>
      </c>
    </row>
    <row r="111" spans="1:15">
      <c r="A111" s="1" t="s">
        <v>101</v>
      </c>
      <c r="B111" s="11"/>
      <c r="C111" s="11">
        <v>4603000</v>
      </c>
      <c r="D111" s="11">
        <v>4625000</v>
      </c>
      <c r="E111" s="11">
        <v>0</v>
      </c>
      <c r="F111" s="11">
        <f t="shared" si="10"/>
        <v>22000</v>
      </c>
      <c r="G111" s="17">
        <f t="shared" si="13"/>
        <v>42.19</v>
      </c>
      <c r="H111" s="17">
        <f t="shared" si="14"/>
        <v>23</v>
      </c>
      <c r="I111" s="17">
        <f t="shared" si="15"/>
        <v>5.34</v>
      </c>
      <c r="J111" s="18">
        <f t="shared" si="16"/>
        <v>0</v>
      </c>
      <c r="K111" s="18">
        <f t="shared" si="17"/>
        <v>0</v>
      </c>
      <c r="L111" s="18">
        <f t="shared" si="11"/>
        <v>70.53</v>
      </c>
      <c r="M111" s="18">
        <f t="shared" si="18"/>
        <v>0</v>
      </c>
      <c r="N111" s="18">
        <f t="shared" si="12"/>
        <v>70.53</v>
      </c>
      <c r="O111" s="8"/>
    </row>
    <row r="112" spans="1:15">
      <c r="A112" s="1" t="s">
        <v>102</v>
      </c>
      <c r="B112" s="11" t="s">
        <v>138</v>
      </c>
      <c r="C112" s="11">
        <v>0</v>
      </c>
      <c r="D112" s="11">
        <v>0</v>
      </c>
      <c r="E112" s="11">
        <v>0</v>
      </c>
      <c r="F112" s="11">
        <f t="shared" si="10"/>
        <v>0</v>
      </c>
      <c r="G112" s="17">
        <f t="shared" si="13"/>
        <v>12.41</v>
      </c>
      <c r="H112" s="17">
        <f t="shared" si="14"/>
        <v>0</v>
      </c>
      <c r="I112" s="17">
        <f t="shared" si="15"/>
        <v>0</v>
      </c>
      <c r="J112" s="18">
        <f t="shared" si="16"/>
        <v>0</v>
      </c>
      <c r="K112" s="18">
        <f t="shared" si="17"/>
        <v>0</v>
      </c>
      <c r="L112" s="18">
        <f t="shared" si="11"/>
        <v>12.41</v>
      </c>
      <c r="M112" s="18">
        <f t="shared" si="18"/>
        <v>0</v>
      </c>
      <c r="N112" s="18">
        <f t="shared" si="12"/>
        <v>12.41</v>
      </c>
      <c r="O112" s="8"/>
    </row>
    <row r="113" spans="1:15">
      <c r="A113" s="1" t="s">
        <v>103</v>
      </c>
      <c r="B113" s="11"/>
      <c r="C113" s="11">
        <v>1322000</v>
      </c>
      <c r="D113" s="11">
        <v>1381000</v>
      </c>
      <c r="E113" s="11">
        <v>0</v>
      </c>
      <c r="F113" s="11">
        <f t="shared" si="10"/>
        <v>59000</v>
      </c>
      <c r="G113" s="17">
        <f t="shared" si="13"/>
        <v>42.19</v>
      </c>
      <c r="H113" s="17">
        <f t="shared" si="14"/>
        <v>23</v>
      </c>
      <c r="I113" s="17">
        <f t="shared" si="15"/>
        <v>26.7</v>
      </c>
      <c r="J113" s="18">
        <f t="shared" si="16"/>
        <v>31</v>
      </c>
      <c r="K113" s="18">
        <f t="shared" si="17"/>
        <v>68.400000000000006</v>
      </c>
      <c r="L113" s="18">
        <f t="shared" si="11"/>
        <v>191.29000000000002</v>
      </c>
      <c r="M113" s="18">
        <f t="shared" ref="M113:M136" si="19">IF(   $H$5=1,    IF((F113-$H$6)&gt;0,((F113-$H$6)/$P$7)*$E$8,0),   IF(F113&gt;0,(F113/$P$4)*$E$8,0)    )</f>
        <v>0</v>
      </c>
      <c r="N113" s="18">
        <f t="shared" si="12"/>
        <v>191.29000000000002</v>
      </c>
      <c r="O113" s="8"/>
    </row>
    <row r="114" spans="1:15">
      <c r="A114" s="1" t="s">
        <v>104</v>
      </c>
      <c r="B114" s="11" t="s">
        <v>138</v>
      </c>
      <c r="C114" s="11">
        <v>0</v>
      </c>
      <c r="D114" s="11">
        <v>0</v>
      </c>
      <c r="E114" s="11">
        <v>0</v>
      </c>
      <c r="F114" s="11">
        <f t="shared" si="10"/>
        <v>0</v>
      </c>
      <c r="G114" s="17">
        <f t="shared" si="13"/>
        <v>12.41</v>
      </c>
      <c r="H114" s="17">
        <f t="shared" si="14"/>
        <v>0</v>
      </c>
      <c r="I114" s="17">
        <f t="shared" si="15"/>
        <v>0</v>
      </c>
      <c r="J114" s="18">
        <f t="shared" si="16"/>
        <v>0</v>
      </c>
      <c r="K114" s="18">
        <f t="shared" si="17"/>
        <v>0</v>
      </c>
      <c r="L114" s="18">
        <f t="shared" si="11"/>
        <v>12.41</v>
      </c>
      <c r="M114" s="18">
        <f t="shared" si="19"/>
        <v>0</v>
      </c>
      <c r="N114" s="18">
        <f t="shared" si="12"/>
        <v>12.41</v>
      </c>
      <c r="O114" s="8"/>
    </row>
    <row r="115" spans="1:15">
      <c r="A115" s="1" t="s">
        <v>105</v>
      </c>
      <c r="B115" s="11"/>
      <c r="C115" s="11">
        <v>1557000</v>
      </c>
      <c r="D115" s="11">
        <v>1600000</v>
      </c>
      <c r="E115" s="11">
        <v>0</v>
      </c>
      <c r="F115" s="11">
        <f t="shared" si="10"/>
        <v>43000</v>
      </c>
      <c r="G115" s="17">
        <f t="shared" si="13"/>
        <v>42.19</v>
      </c>
      <c r="H115" s="17">
        <f t="shared" si="14"/>
        <v>23</v>
      </c>
      <c r="I115" s="17">
        <f t="shared" si="15"/>
        <v>26.7</v>
      </c>
      <c r="J115" s="18">
        <f t="shared" si="16"/>
        <v>31</v>
      </c>
      <c r="K115" s="18">
        <f t="shared" si="17"/>
        <v>10.8</v>
      </c>
      <c r="L115" s="18">
        <f t="shared" si="11"/>
        <v>133.69</v>
      </c>
      <c r="M115" s="18">
        <f t="shared" si="19"/>
        <v>0</v>
      </c>
      <c r="N115" s="18">
        <f t="shared" si="12"/>
        <v>133.69</v>
      </c>
      <c r="O115" s="8"/>
    </row>
    <row r="116" spans="1:15">
      <c r="A116" s="1" t="s">
        <v>106</v>
      </c>
      <c r="B116" s="11"/>
      <c r="C116" s="11">
        <v>1799000</v>
      </c>
      <c r="D116" s="11">
        <v>1801000</v>
      </c>
      <c r="E116" s="11">
        <v>0</v>
      </c>
      <c r="F116" s="11">
        <f t="shared" si="10"/>
        <v>2000</v>
      </c>
      <c r="G116" s="17">
        <f t="shared" si="13"/>
        <v>42.19</v>
      </c>
      <c r="H116" s="17">
        <f t="shared" si="14"/>
        <v>0</v>
      </c>
      <c r="I116" s="17">
        <f t="shared" si="15"/>
        <v>0</v>
      </c>
      <c r="J116" s="18">
        <f t="shared" si="16"/>
        <v>0</v>
      </c>
      <c r="K116" s="18">
        <f t="shared" si="17"/>
        <v>0</v>
      </c>
      <c r="L116" s="18">
        <f t="shared" si="11"/>
        <v>42.19</v>
      </c>
      <c r="M116" s="18">
        <f t="shared" si="19"/>
        <v>0</v>
      </c>
      <c r="N116" s="18">
        <f t="shared" si="12"/>
        <v>42.19</v>
      </c>
      <c r="O116" s="8"/>
    </row>
    <row r="117" spans="1:15">
      <c r="A117" s="1" t="s">
        <v>107</v>
      </c>
      <c r="B117" s="11"/>
      <c r="C117" s="11">
        <v>335000</v>
      </c>
      <c r="D117" s="11">
        <v>336000</v>
      </c>
      <c r="E117" s="11">
        <v>0</v>
      </c>
      <c r="F117" s="11">
        <f t="shared" si="10"/>
        <v>1000</v>
      </c>
      <c r="G117" s="17">
        <f t="shared" si="13"/>
        <v>42.19</v>
      </c>
      <c r="H117" s="17">
        <f t="shared" si="14"/>
        <v>0</v>
      </c>
      <c r="I117" s="17">
        <f t="shared" si="15"/>
        <v>0</v>
      </c>
      <c r="J117" s="18">
        <f t="shared" si="16"/>
        <v>0</v>
      </c>
      <c r="K117" s="18">
        <f t="shared" si="17"/>
        <v>0</v>
      </c>
      <c r="L117" s="18">
        <f t="shared" si="11"/>
        <v>42.19</v>
      </c>
      <c r="M117" s="18">
        <f t="shared" si="19"/>
        <v>0</v>
      </c>
      <c r="N117" s="18">
        <f t="shared" si="12"/>
        <v>42.19</v>
      </c>
      <c r="O117" s="8"/>
    </row>
    <row r="118" spans="1:15">
      <c r="A118" s="1" t="s">
        <v>108</v>
      </c>
      <c r="B118" s="11"/>
      <c r="C118" s="11">
        <v>2675000</v>
      </c>
      <c r="D118" s="11">
        <v>2705000</v>
      </c>
      <c r="E118" s="11">
        <v>0</v>
      </c>
      <c r="F118" s="11">
        <f t="shared" si="10"/>
        <v>30000</v>
      </c>
      <c r="G118" s="17">
        <f t="shared" si="13"/>
        <v>42.19</v>
      </c>
      <c r="H118" s="17">
        <f t="shared" si="14"/>
        <v>23</v>
      </c>
      <c r="I118" s="17">
        <f t="shared" si="15"/>
        <v>26.7</v>
      </c>
      <c r="J118" s="18">
        <f t="shared" si="16"/>
        <v>0</v>
      </c>
      <c r="K118" s="18">
        <f t="shared" si="17"/>
        <v>0</v>
      </c>
      <c r="L118" s="18">
        <f t="shared" si="11"/>
        <v>91.89</v>
      </c>
      <c r="M118" s="18">
        <f t="shared" si="19"/>
        <v>0</v>
      </c>
      <c r="N118" s="18">
        <f t="shared" si="12"/>
        <v>91.89</v>
      </c>
      <c r="O118" s="8"/>
    </row>
    <row r="119" spans="1:15">
      <c r="A119" s="1" t="s">
        <v>109</v>
      </c>
      <c r="B119" s="11" t="s">
        <v>138</v>
      </c>
      <c r="C119" s="11">
        <v>0</v>
      </c>
      <c r="D119" s="11">
        <v>0</v>
      </c>
      <c r="E119" s="11">
        <v>0</v>
      </c>
      <c r="F119" s="11">
        <f t="shared" si="10"/>
        <v>0</v>
      </c>
      <c r="G119" s="17">
        <f t="shared" si="13"/>
        <v>12.41</v>
      </c>
      <c r="H119" s="17">
        <f t="shared" si="14"/>
        <v>0</v>
      </c>
      <c r="I119" s="17">
        <f t="shared" si="15"/>
        <v>0</v>
      </c>
      <c r="J119" s="18">
        <f t="shared" si="16"/>
        <v>0</v>
      </c>
      <c r="K119" s="18">
        <f t="shared" si="17"/>
        <v>0</v>
      </c>
      <c r="L119" s="18">
        <f t="shared" si="11"/>
        <v>12.41</v>
      </c>
      <c r="M119" s="18">
        <f t="shared" si="19"/>
        <v>0</v>
      </c>
      <c r="N119" s="18">
        <f t="shared" si="12"/>
        <v>12.41</v>
      </c>
      <c r="O119" s="8"/>
    </row>
    <row r="120" spans="1:15">
      <c r="A120" s="1" t="s">
        <v>110</v>
      </c>
      <c r="B120" s="11"/>
      <c r="C120" s="11">
        <v>3862000</v>
      </c>
      <c r="D120" s="11">
        <v>3871000</v>
      </c>
      <c r="E120" s="11">
        <v>0</v>
      </c>
      <c r="F120" s="11">
        <f t="shared" si="10"/>
        <v>9000</v>
      </c>
      <c r="G120" s="17">
        <f t="shared" si="13"/>
        <v>42.19</v>
      </c>
      <c r="H120" s="17">
        <f t="shared" si="14"/>
        <v>0</v>
      </c>
      <c r="I120" s="17">
        <f t="shared" si="15"/>
        <v>0</v>
      </c>
      <c r="J120" s="18">
        <f t="shared" si="16"/>
        <v>0</v>
      </c>
      <c r="K120" s="18">
        <f t="shared" si="17"/>
        <v>0</v>
      </c>
      <c r="L120" s="18">
        <f t="shared" si="11"/>
        <v>42.19</v>
      </c>
      <c r="M120" s="18">
        <f t="shared" si="19"/>
        <v>0</v>
      </c>
      <c r="N120" s="18">
        <f t="shared" si="12"/>
        <v>42.19</v>
      </c>
      <c r="O120" s="8"/>
    </row>
    <row r="121" spans="1:15">
      <c r="A121" s="1" t="s">
        <v>111</v>
      </c>
      <c r="B121" s="11"/>
      <c r="C121" s="11">
        <v>3606000</v>
      </c>
      <c r="D121" s="11">
        <v>3646000</v>
      </c>
      <c r="E121" s="11">
        <v>0</v>
      </c>
      <c r="F121" s="11">
        <f t="shared" si="10"/>
        <v>40000</v>
      </c>
      <c r="G121" s="17">
        <f t="shared" si="13"/>
        <v>42.19</v>
      </c>
      <c r="H121" s="17">
        <f t="shared" si="14"/>
        <v>23</v>
      </c>
      <c r="I121" s="17">
        <f t="shared" si="15"/>
        <v>26.7</v>
      </c>
      <c r="J121" s="18">
        <f t="shared" si="16"/>
        <v>31</v>
      </c>
      <c r="K121" s="18">
        <f t="shared" si="17"/>
        <v>0</v>
      </c>
      <c r="L121" s="18">
        <f t="shared" si="11"/>
        <v>122.89</v>
      </c>
      <c r="M121" s="18">
        <f t="shared" si="19"/>
        <v>0</v>
      </c>
      <c r="N121" s="18">
        <f t="shared" si="12"/>
        <v>122.89</v>
      </c>
      <c r="O121" s="8"/>
    </row>
    <row r="122" spans="1:15">
      <c r="A122" s="1" t="s">
        <v>112</v>
      </c>
      <c r="B122" s="11"/>
      <c r="C122" s="11">
        <v>356000</v>
      </c>
      <c r="D122" s="11">
        <v>359000</v>
      </c>
      <c r="E122" s="11">
        <v>0</v>
      </c>
      <c r="F122" s="11">
        <f t="shared" si="10"/>
        <v>3000</v>
      </c>
      <c r="G122" s="17">
        <f t="shared" si="13"/>
        <v>42.19</v>
      </c>
      <c r="H122" s="17">
        <f t="shared" si="14"/>
        <v>0</v>
      </c>
      <c r="I122" s="17">
        <f t="shared" si="15"/>
        <v>0</v>
      </c>
      <c r="J122" s="18">
        <f t="shared" si="16"/>
        <v>0</v>
      </c>
      <c r="K122" s="18">
        <f t="shared" si="17"/>
        <v>0</v>
      </c>
      <c r="L122" s="18">
        <f t="shared" si="11"/>
        <v>42.19</v>
      </c>
      <c r="M122" s="18">
        <f t="shared" si="19"/>
        <v>0</v>
      </c>
      <c r="N122" s="18">
        <f t="shared" si="12"/>
        <v>42.19</v>
      </c>
      <c r="O122" s="8"/>
    </row>
    <row r="123" spans="1:15">
      <c r="A123" s="1" t="s">
        <v>113</v>
      </c>
      <c r="B123" s="11"/>
      <c r="C123" s="11">
        <v>1521000</v>
      </c>
      <c r="D123" s="11">
        <v>1552000</v>
      </c>
      <c r="E123" s="11">
        <v>0</v>
      </c>
      <c r="F123" s="11">
        <f t="shared" si="10"/>
        <v>31000</v>
      </c>
      <c r="G123" s="17">
        <f t="shared" si="13"/>
        <v>42.19</v>
      </c>
      <c r="H123" s="17">
        <f t="shared" si="14"/>
        <v>23</v>
      </c>
      <c r="I123" s="17">
        <f t="shared" si="15"/>
        <v>26.7</v>
      </c>
      <c r="J123" s="18">
        <f t="shared" si="16"/>
        <v>3.1</v>
      </c>
      <c r="K123" s="18">
        <f t="shared" si="17"/>
        <v>0</v>
      </c>
      <c r="L123" s="18">
        <f t="shared" si="11"/>
        <v>94.99</v>
      </c>
      <c r="M123" s="18">
        <f t="shared" si="19"/>
        <v>0</v>
      </c>
      <c r="N123" s="18">
        <f t="shared" si="12"/>
        <v>94.99</v>
      </c>
      <c r="O123" s="8"/>
    </row>
    <row r="124" spans="1:15">
      <c r="A124" s="1" t="s">
        <v>114</v>
      </c>
      <c r="B124" s="11"/>
      <c r="C124" s="11">
        <v>2623000</v>
      </c>
      <c r="D124" s="11">
        <v>2638000</v>
      </c>
      <c r="E124" s="11">
        <v>0</v>
      </c>
      <c r="F124" s="11">
        <f t="shared" si="10"/>
        <v>15000</v>
      </c>
      <c r="G124" s="17">
        <f t="shared" si="13"/>
        <v>42.19</v>
      </c>
      <c r="H124" s="17">
        <f t="shared" si="14"/>
        <v>11.5</v>
      </c>
      <c r="I124" s="17">
        <f t="shared" si="15"/>
        <v>0</v>
      </c>
      <c r="J124" s="18">
        <f t="shared" si="16"/>
        <v>0</v>
      </c>
      <c r="K124" s="18">
        <f t="shared" si="17"/>
        <v>0</v>
      </c>
      <c r="L124" s="18">
        <f t="shared" si="11"/>
        <v>53.69</v>
      </c>
      <c r="M124" s="18">
        <f t="shared" si="19"/>
        <v>0</v>
      </c>
      <c r="N124" s="18">
        <f t="shared" si="12"/>
        <v>53.69</v>
      </c>
      <c r="O124" s="8"/>
    </row>
    <row r="125" spans="1:15">
      <c r="A125" s="1" t="s">
        <v>115</v>
      </c>
      <c r="B125" s="11"/>
      <c r="C125" s="11">
        <v>2570000</v>
      </c>
      <c r="D125" s="11">
        <v>2583000</v>
      </c>
      <c r="E125" s="11">
        <v>0</v>
      </c>
      <c r="F125" s="11">
        <f t="shared" si="10"/>
        <v>13000</v>
      </c>
      <c r="G125" s="17">
        <f t="shared" si="13"/>
        <v>42.19</v>
      </c>
      <c r="H125" s="17">
        <f t="shared" si="14"/>
        <v>6.8999999999999995</v>
      </c>
      <c r="I125" s="17">
        <f t="shared" si="15"/>
        <v>0</v>
      </c>
      <c r="J125" s="18">
        <f t="shared" si="16"/>
        <v>0</v>
      </c>
      <c r="K125" s="18">
        <f t="shared" si="17"/>
        <v>0</v>
      </c>
      <c r="L125" s="18">
        <f t="shared" si="11"/>
        <v>49.089999999999996</v>
      </c>
      <c r="M125" s="18">
        <f t="shared" si="19"/>
        <v>0</v>
      </c>
      <c r="N125" s="18">
        <f t="shared" si="12"/>
        <v>49.089999999999996</v>
      </c>
      <c r="O125" s="8"/>
    </row>
    <row r="126" spans="1:15">
      <c r="A126" s="1" t="s">
        <v>116</v>
      </c>
      <c r="B126" s="11"/>
      <c r="C126" s="11">
        <v>4270000</v>
      </c>
      <c r="D126" s="11">
        <v>4274000</v>
      </c>
      <c r="E126" s="11">
        <v>0</v>
      </c>
      <c r="F126" s="11">
        <f t="shared" si="10"/>
        <v>4000</v>
      </c>
      <c r="G126" s="17">
        <f t="shared" si="13"/>
        <v>42.19</v>
      </c>
      <c r="H126" s="17">
        <f t="shared" si="14"/>
        <v>0</v>
      </c>
      <c r="I126" s="17">
        <f t="shared" si="15"/>
        <v>0</v>
      </c>
      <c r="J126" s="18">
        <f t="shared" si="16"/>
        <v>0</v>
      </c>
      <c r="K126" s="18">
        <f t="shared" si="17"/>
        <v>0</v>
      </c>
      <c r="L126" s="18">
        <f t="shared" si="11"/>
        <v>42.19</v>
      </c>
      <c r="M126" s="18">
        <f t="shared" si="19"/>
        <v>0</v>
      </c>
      <c r="N126" s="18">
        <f t="shared" si="12"/>
        <v>42.19</v>
      </c>
      <c r="O126" s="8"/>
    </row>
    <row r="127" spans="1:15">
      <c r="A127" s="1" t="s">
        <v>117</v>
      </c>
      <c r="B127" s="11"/>
      <c r="C127" s="11">
        <v>1923000</v>
      </c>
      <c r="D127" s="11">
        <v>1927000</v>
      </c>
      <c r="E127" s="11">
        <v>0</v>
      </c>
      <c r="F127" s="11">
        <f t="shared" si="10"/>
        <v>4000</v>
      </c>
      <c r="G127" s="17">
        <f t="shared" si="13"/>
        <v>42.19</v>
      </c>
      <c r="H127" s="17">
        <f t="shared" si="14"/>
        <v>0</v>
      </c>
      <c r="I127" s="17">
        <f t="shared" si="15"/>
        <v>0</v>
      </c>
      <c r="J127" s="18">
        <f t="shared" si="16"/>
        <v>0</v>
      </c>
      <c r="K127" s="18">
        <f t="shared" si="17"/>
        <v>0</v>
      </c>
      <c r="L127" s="18">
        <f t="shared" si="11"/>
        <v>42.19</v>
      </c>
      <c r="M127" s="18">
        <f t="shared" si="19"/>
        <v>0</v>
      </c>
      <c r="N127" s="18">
        <f t="shared" si="12"/>
        <v>42.19</v>
      </c>
      <c r="O127" s="8"/>
    </row>
    <row r="128" spans="1:15">
      <c r="A128" s="1" t="s">
        <v>118</v>
      </c>
      <c r="B128" s="11"/>
      <c r="C128" s="11">
        <v>45000</v>
      </c>
      <c r="D128" s="11">
        <v>51000</v>
      </c>
      <c r="E128" s="11">
        <v>0</v>
      </c>
      <c r="F128" s="11">
        <f t="shared" si="10"/>
        <v>6000</v>
      </c>
      <c r="G128" s="17">
        <f t="shared" si="13"/>
        <v>42.19</v>
      </c>
      <c r="H128" s="17">
        <f t="shared" si="14"/>
        <v>0</v>
      </c>
      <c r="I128" s="17">
        <f t="shared" si="15"/>
        <v>0</v>
      </c>
      <c r="J128" s="18">
        <f t="shared" si="16"/>
        <v>0</v>
      </c>
      <c r="K128" s="18">
        <f t="shared" si="17"/>
        <v>0</v>
      </c>
      <c r="L128" s="18">
        <f t="shared" si="11"/>
        <v>42.19</v>
      </c>
      <c r="M128" s="18">
        <f t="shared" si="19"/>
        <v>0</v>
      </c>
      <c r="N128" s="18">
        <f t="shared" si="12"/>
        <v>42.19</v>
      </c>
      <c r="O128" s="8" t="s">
        <v>174</v>
      </c>
    </row>
    <row r="129" spans="1:15">
      <c r="A129" s="1" t="s">
        <v>119</v>
      </c>
      <c r="B129" s="11"/>
      <c r="C129" s="11">
        <v>7102000</v>
      </c>
      <c r="D129" s="11">
        <v>7228000</v>
      </c>
      <c r="E129" s="11">
        <v>0</v>
      </c>
      <c r="F129" s="11">
        <f t="shared" si="10"/>
        <v>126000</v>
      </c>
      <c r="G129" s="17">
        <f t="shared" si="13"/>
        <v>42.19</v>
      </c>
      <c r="H129" s="17">
        <f t="shared" si="14"/>
        <v>23</v>
      </c>
      <c r="I129" s="17">
        <f t="shared" si="15"/>
        <v>26.7</v>
      </c>
      <c r="J129" s="18">
        <f t="shared" si="16"/>
        <v>31</v>
      </c>
      <c r="K129" s="18">
        <f t="shared" si="17"/>
        <v>309.60000000000002</v>
      </c>
      <c r="L129" s="18">
        <f t="shared" si="11"/>
        <v>432.49</v>
      </c>
      <c r="M129" s="18">
        <f t="shared" si="19"/>
        <v>0</v>
      </c>
      <c r="N129" s="18">
        <f t="shared" si="12"/>
        <v>432.49</v>
      </c>
      <c r="O129" s="8"/>
    </row>
    <row r="130" spans="1:15">
      <c r="A130" s="1" t="s">
        <v>120</v>
      </c>
      <c r="B130" s="11"/>
      <c r="C130" s="11">
        <v>3731000</v>
      </c>
      <c r="D130" s="11">
        <v>3749000</v>
      </c>
      <c r="E130" s="11">
        <v>0</v>
      </c>
      <c r="F130" s="11">
        <f t="shared" si="10"/>
        <v>18000</v>
      </c>
      <c r="G130" s="17">
        <f t="shared" si="13"/>
        <v>42.19</v>
      </c>
      <c r="H130" s="17">
        <f t="shared" si="14"/>
        <v>18.399999999999999</v>
      </c>
      <c r="I130" s="17">
        <f t="shared" si="15"/>
        <v>0</v>
      </c>
      <c r="J130" s="18">
        <f t="shared" si="16"/>
        <v>0</v>
      </c>
      <c r="K130" s="18">
        <f t="shared" si="17"/>
        <v>0</v>
      </c>
      <c r="L130" s="18">
        <f t="shared" si="11"/>
        <v>60.589999999999996</v>
      </c>
      <c r="M130" s="18">
        <f t="shared" si="19"/>
        <v>0</v>
      </c>
      <c r="N130" s="18">
        <f t="shared" si="12"/>
        <v>60.589999999999996</v>
      </c>
      <c r="O130" s="8"/>
    </row>
    <row r="131" spans="1:15">
      <c r="A131" s="1" t="s">
        <v>121</v>
      </c>
      <c r="B131" s="11" t="s">
        <v>138</v>
      </c>
      <c r="C131" s="11">
        <v>0</v>
      </c>
      <c r="D131" s="11">
        <v>0</v>
      </c>
      <c r="E131" s="11">
        <v>0</v>
      </c>
      <c r="F131" s="11">
        <f t="shared" si="10"/>
        <v>0</v>
      </c>
      <c r="G131" s="17">
        <f t="shared" si="13"/>
        <v>12.41</v>
      </c>
      <c r="H131" s="17">
        <f t="shared" si="14"/>
        <v>0</v>
      </c>
      <c r="I131" s="17">
        <f t="shared" si="15"/>
        <v>0</v>
      </c>
      <c r="J131" s="18">
        <f t="shared" si="16"/>
        <v>0</v>
      </c>
      <c r="K131" s="18">
        <f t="shared" si="17"/>
        <v>0</v>
      </c>
      <c r="L131" s="18">
        <f t="shared" si="11"/>
        <v>12.41</v>
      </c>
      <c r="M131" s="18">
        <f t="shared" si="19"/>
        <v>0</v>
      </c>
      <c r="N131" s="18">
        <f t="shared" si="12"/>
        <v>12.41</v>
      </c>
      <c r="O131" s="8"/>
    </row>
    <row r="132" spans="1:15">
      <c r="A132" s="1" t="s">
        <v>122</v>
      </c>
      <c r="B132" s="11"/>
      <c r="C132" s="11">
        <v>1378000</v>
      </c>
      <c r="D132" s="11">
        <v>1394000</v>
      </c>
      <c r="E132" s="11">
        <v>0</v>
      </c>
      <c r="F132" s="11">
        <f t="shared" si="10"/>
        <v>16000</v>
      </c>
      <c r="G132" s="17">
        <f t="shared" si="13"/>
        <v>42.19</v>
      </c>
      <c r="H132" s="17">
        <f t="shared" si="14"/>
        <v>13.799999999999999</v>
      </c>
      <c r="I132" s="17">
        <f t="shared" si="15"/>
        <v>0</v>
      </c>
      <c r="J132" s="18">
        <f t="shared" si="16"/>
        <v>0</v>
      </c>
      <c r="K132" s="18">
        <f t="shared" si="17"/>
        <v>0</v>
      </c>
      <c r="L132" s="18">
        <f t="shared" si="11"/>
        <v>55.989999999999995</v>
      </c>
      <c r="M132" s="18">
        <f t="shared" si="19"/>
        <v>0</v>
      </c>
      <c r="N132" s="18">
        <f t="shared" si="12"/>
        <v>55.989999999999995</v>
      </c>
      <c r="O132" s="8"/>
    </row>
    <row r="133" spans="1:15">
      <c r="A133" s="1" t="s">
        <v>123</v>
      </c>
      <c r="B133" s="11" t="s">
        <v>138</v>
      </c>
      <c r="C133" s="11">
        <v>0</v>
      </c>
      <c r="D133" s="11">
        <v>0</v>
      </c>
      <c r="E133" s="11">
        <v>0</v>
      </c>
      <c r="F133" s="11">
        <f t="shared" si="10"/>
        <v>0</v>
      </c>
      <c r="G133" s="17">
        <f t="shared" si="13"/>
        <v>12.41</v>
      </c>
      <c r="H133" s="17">
        <f t="shared" si="14"/>
        <v>0</v>
      </c>
      <c r="I133" s="17">
        <f t="shared" si="15"/>
        <v>0</v>
      </c>
      <c r="J133" s="18">
        <f t="shared" si="16"/>
        <v>0</v>
      </c>
      <c r="K133" s="18">
        <f t="shared" si="17"/>
        <v>0</v>
      </c>
      <c r="L133" s="18">
        <f t="shared" si="11"/>
        <v>12.41</v>
      </c>
      <c r="M133" s="18">
        <f t="shared" si="19"/>
        <v>0</v>
      </c>
      <c r="N133" s="18">
        <f t="shared" si="12"/>
        <v>12.41</v>
      </c>
      <c r="O133" s="8"/>
    </row>
    <row r="134" spans="1:15">
      <c r="A134" s="1" t="s">
        <v>124</v>
      </c>
      <c r="B134" s="11" t="s">
        <v>138</v>
      </c>
      <c r="C134" s="11">
        <v>0</v>
      </c>
      <c r="D134" s="11">
        <v>0</v>
      </c>
      <c r="E134" s="11">
        <v>0</v>
      </c>
      <c r="F134" s="11">
        <f t="shared" si="10"/>
        <v>0</v>
      </c>
      <c r="G134" s="17">
        <f t="shared" si="13"/>
        <v>12.41</v>
      </c>
      <c r="H134" s="17">
        <f t="shared" si="14"/>
        <v>0</v>
      </c>
      <c r="I134" s="17">
        <f t="shared" si="15"/>
        <v>0</v>
      </c>
      <c r="J134" s="18">
        <f t="shared" si="16"/>
        <v>0</v>
      </c>
      <c r="K134" s="18">
        <f t="shared" si="17"/>
        <v>0</v>
      </c>
      <c r="L134" s="18">
        <f t="shared" si="11"/>
        <v>12.41</v>
      </c>
      <c r="M134" s="18">
        <f t="shared" si="19"/>
        <v>0</v>
      </c>
      <c r="N134" s="18">
        <f t="shared" si="12"/>
        <v>12.41</v>
      </c>
      <c r="O134" s="8"/>
    </row>
    <row r="135" spans="1:15">
      <c r="A135" s="1" t="s">
        <v>125</v>
      </c>
      <c r="B135" s="11" t="s">
        <v>138</v>
      </c>
      <c r="C135" s="11">
        <v>0</v>
      </c>
      <c r="D135" s="11">
        <v>0</v>
      </c>
      <c r="E135" s="11">
        <v>0</v>
      </c>
      <c r="F135" s="11">
        <f t="shared" si="10"/>
        <v>0</v>
      </c>
      <c r="G135" s="17">
        <f t="shared" si="13"/>
        <v>12.41</v>
      </c>
      <c r="H135" s="17">
        <f t="shared" si="14"/>
        <v>0</v>
      </c>
      <c r="I135" s="17">
        <f t="shared" si="15"/>
        <v>0</v>
      </c>
      <c r="J135" s="18">
        <f t="shared" si="16"/>
        <v>0</v>
      </c>
      <c r="K135" s="18">
        <f t="shared" si="17"/>
        <v>0</v>
      </c>
      <c r="L135" s="18">
        <f t="shared" si="11"/>
        <v>12.41</v>
      </c>
      <c r="M135" s="18">
        <f t="shared" si="19"/>
        <v>0</v>
      </c>
      <c r="N135" s="18">
        <f t="shared" si="12"/>
        <v>12.41</v>
      </c>
      <c r="O135" s="8"/>
    </row>
    <row r="136" spans="1:15">
      <c r="A136" s="1" t="s">
        <v>126</v>
      </c>
      <c r="B136" s="11"/>
      <c r="C136" s="11">
        <v>1230000</v>
      </c>
      <c r="D136" s="11">
        <v>1282000</v>
      </c>
      <c r="E136" s="11">
        <v>0</v>
      </c>
      <c r="F136" s="11">
        <f t="shared" si="10"/>
        <v>52000</v>
      </c>
      <c r="G136" s="17">
        <f t="shared" si="13"/>
        <v>42.19</v>
      </c>
      <c r="H136" s="17">
        <f t="shared" si="14"/>
        <v>23</v>
      </c>
      <c r="I136" s="17">
        <f t="shared" si="15"/>
        <v>26.7</v>
      </c>
      <c r="J136" s="18">
        <f t="shared" si="16"/>
        <v>31</v>
      </c>
      <c r="K136" s="18">
        <f t="shared" si="17"/>
        <v>43.2</v>
      </c>
      <c r="L136" s="18">
        <f t="shared" si="11"/>
        <v>166.09</v>
      </c>
      <c r="M136" s="18">
        <f t="shared" si="19"/>
        <v>0</v>
      </c>
      <c r="N136" s="18">
        <f t="shared" si="12"/>
        <v>166.09</v>
      </c>
      <c r="O136" s="8"/>
    </row>
    <row r="137" spans="1:15">
      <c r="B137" s="11"/>
      <c r="C137" s="11"/>
      <c r="D137" s="11"/>
      <c r="E137" s="11"/>
      <c r="F137" s="11"/>
      <c r="G137" s="17"/>
      <c r="H137" s="17"/>
      <c r="I137" s="17"/>
      <c r="J137" s="18"/>
      <c r="K137" s="18"/>
      <c r="L137" s="18"/>
      <c r="M137" s="18"/>
      <c r="N137" s="18"/>
      <c r="O137" s="8"/>
    </row>
    <row r="138" spans="1:15">
      <c r="J138" s="1" t="s">
        <v>136</v>
      </c>
      <c r="M138" s="27">
        <f>SUM(M11:M136)</f>
        <v>0</v>
      </c>
      <c r="N138" s="5">
        <f>SUM(N11:N136)</f>
        <v>11052.04</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2972700</v>
      </c>
      <c r="G140" s="75">
        <f t="shared" si="20"/>
        <v>4416.4499999999989</v>
      </c>
      <c r="H140" s="75">
        <f t="shared" si="20"/>
        <v>1173.0000000000002</v>
      </c>
      <c r="I140" s="75">
        <f t="shared" si="20"/>
        <v>1033.2900000000006</v>
      </c>
      <c r="J140" s="75">
        <f t="shared" si="20"/>
        <v>840.1</v>
      </c>
      <c r="K140" s="75">
        <f t="shared" si="20"/>
        <v>3589.2</v>
      </c>
      <c r="L140" s="75">
        <f t="shared" si="20"/>
        <v>11052.04</v>
      </c>
    </row>
    <row r="141" spans="1:15" customFormat="1">
      <c r="A141" t="s">
        <v>250</v>
      </c>
    </row>
    <row r="142" spans="1:15" customFormat="1">
      <c r="D142" t="s">
        <v>248</v>
      </c>
      <c r="E142" t="s">
        <v>148</v>
      </c>
      <c r="F142" s="1"/>
      <c r="G142" t="s">
        <v>258</v>
      </c>
      <c r="H142" t="s">
        <v>166</v>
      </c>
      <c r="I142" t="s">
        <v>167</v>
      </c>
      <c r="J142" t="s">
        <v>169</v>
      </c>
      <c r="K142" t="s">
        <v>252</v>
      </c>
      <c r="L142" t="s">
        <v>251</v>
      </c>
    </row>
    <row r="143" spans="1:15" customFormat="1">
      <c r="A143" t="s">
        <v>254</v>
      </c>
      <c r="D143">
        <v>82</v>
      </c>
      <c r="E143" s="25">
        <f>SUM(M18:M130)</f>
        <v>0</v>
      </c>
      <c r="F143" s="1"/>
      <c r="G143" s="25">
        <f>SUM(G18:G130)-G145</f>
        <v>3459.5800000000027</v>
      </c>
      <c r="H143" s="80">
        <f>SUM(H18:H130)-H145</f>
        <v>1083.3000000000002</v>
      </c>
      <c r="I143" s="25">
        <f>SUM(I18:I130)-I145</f>
        <v>953.19000000000062</v>
      </c>
      <c r="J143" s="25">
        <f>SUM(J18:J130)-J145</f>
        <v>747.1</v>
      </c>
      <c r="K143" s="25">
        <f>SUM(K18:K130)-K145</f>
        <v>2419.2000000000003</v>
      </c>
      <c r="L143" s="25">
        <f>SUM(F143:K143)</f>
        <v>8662.3700000000044</v>
      </c>
    </row>
    <row r="144" spans="1:15" customFormat="1">
      <c r="A144" t="s">
        <v>255</v>
      </c>
      <c r="D144">
        <v>8</v>
      </c>
      <c r="E144" s="25">
        <f>SUM(M11:M15)+M17+SUM(M131:M136)</f>
        <v>0</v>
      </c>
      <c r="F144" s="1"/>
      <c r="G144" s="34">
        <f>SUM(G11:G15)+G17+G132+G136</f>
        <v>337.52</v>
      </c>
      <c r="H144" s="34">
        <f>SUM(H11:H15)+H17+H132+H136</f>
        <v>89.7</v>
      </c>
      <c r="I144" s="34">
        <f>SUM(I11:I15)+I17+I132+I136</f>
        <v>80.099999999999994</v>
      </c>
      <c r="J144" s="34">
        <f>SUM(J11:J15)+J17+J132+J136</f>
        <v>93</v>
      </c>
      <c r="K144" s="34">
        <f>SUM(K11:K15)+K17+K132+K136</f>
        <v>1170</v>
      </c>
      <c r="L144" s="25">
        <f t="shared" ref="L144:L147" si="21">SUM(F144:K144)</f>
        <v>1770.32</v>
      </c>
    </row>
    <row r="145" spans="1:14" customFormat="1">
      <c r="A145" t="s">
        <v>260</v>
      </c>
      <c r="D145">
        <v>31</v>
      </c>
      <c r="E145" s="25">
        <v>0</v>
      </c>
      <c r="F145" s="1"/>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384.71000000000021</v>
      </c>
      <c r="M145" s="25"/>
    </row>
    <row r="146" spans="1:14" customFormat="1">
      <c r="A146" t="s">
        <v>261</v>
      </c>
      <c r="D146">
        <v>4</v>
      </c>
      <c r="E146" s="25">
        <v>0</v>
      </c>
      <c r="F146" s="1"/>
      <c r="G146" s="25">
        <f>G135+G134+G133+G131</f>
        <v>49.64</v>
      </c>
      <c r="H146" s="25">
        <f>H135+H134+H133+H131</f>
        <v>0</v>
      </c>
      <c r="I146" s="25">
        <f>I135+I134+I133+I131</f>
        <v>0</v>
      </c>
      <c r="J146" s="25">
        <f>J135+J134+J133+J131</f>
        <v>0</v>
      </c>
      <c r="K146" s="25">
        <f>K135+K134+K133+K131</f>
        <v>0</v>
      </c>
      <c r="L146" s="25">
        <f t="shared" si="21"/>
        <v>49.64</v>
      </c>
    </row>
    <row r="147" spans="1:14" customFormat="1">
      <c r="A147" t="s">
        <v>253</v>
      </c>
      <c r="D147">
        <v>1</v>
      </c>
      <c r="E147" s="25">
        <f>M16</f>
        <v>0</v>
      </c>
      <c r="G147" s="25">
        <f>G16</f>
        <v>185</v>
      </c>
      <c r="H147" s="25">
        <f>H16</f>
        <v>0</v>
      </c>
      <c r="I147" s="25">
        <f>I16</f>
        <v>0</v>
      </c>
      <c r="J147" s="25">
        <f>J16</f>
        <v>0</v>
      </c>
      <c r="K147" s="25">
        <f>K16</f>
        <v>0</v>
      </c>
      <c r="L147" s="25">
        <f t="shared" si="21"/>
        <v>185</v>
      </c>
      <c r="N147" s="1"/>
    </row>
    <row r="148" spans="1:14" customFormat="1" ht="15.75" thickBot="1">
      <c r="B148" t="s">
        <v>257</v>
      </c>
      <c r="D148" s="73">
        <f>SUM(D143:D147)</f>
        <v>126</v>
      </c>
      <c r="E148" s="74">
        <f>SUM(E143:E147)</f>
        <v>0</v>
      </c>
      <c r="F148" s="73"/>
      <c r="G148" s="74">
        <f t="shared" ref="G148:L148" si="22">SUM(G143:G147)</f>
        <v>4416.4500000000035</v>
      </c>
      <c r="H148" s="74">
        <f t="shared" si="22"/>
        <v>1173.0000000000002</v>
      </c>
      <c r="I148" s="74">
        <f t="shared" si="22"/>
        <v>1033.2900000000006</v>
      </c>
      <c r="J148" s="74">
        <f t="shared" si="22"/>
        <v>840.1</v>
      </c>
      <c r="K148" s="74">
        <f t="shared" si="22"/>
        <v>3589.2000000000003</v>
      </c>
      <c r="L148" s="74">
        <f t="shared" si="22"/>
        <v>11052.040000000005</v>
      </c>
      <c r="N148" s="1"/>
    </row>
    <row r="149" spans="1:14" customFormat="1" ht="15.75" thickTop="1">
      <c r="D149" s="78"/>
      <c r="E149" s="78"/>
      <c r="F149" s="78"/>
      <c r="G149" s="79"/>
      <c r="H149" s="79"/>
      <c r="I149" s="79"/>
      <c r="J149" s="79"/>
      <c r="K149" s="79"/>
      <c r="L149" s="79"/>
      <c r="N149" s="1"/>
    </row>
    <row r="150" spans="1:14" customFormat="1">
      <c r="A150" t="s">
        <v>262</v>
      </c>
      <c r="D150" s="75"/>
      <c r="E150" s="81">
        <v>0</v>
      </c>
      <c r="F150" s="75"/>
      <c r="G150" s="81">
        <f>F140-G151-G152-(SUM(H153:K153))</f>
        <v>660699.99999999953</v>
      </c>
      <c r="H150" s="81">
        <f>H143/2.3*1000</f>
        <v>471000.00000000012</v>
      </c>
      <c r="I150" s="81">
        <f>I143/2.67*1000</f>
        <v>357000.00000000023</v>
      </c>
      <c r="J150" s="81">
        <f>J143/3.1*1000</f>
        <v>241000</v>
      </c>
      <c r="K150" s="81">
        <f>K143/3.6*1000</f>
        <v>672000.00000000012</v>
      </c>
      <c r="L150" s="81">
        <f>SUM(G150:K150)</f>
        <v>2401700</v>
      </c>
      <c r="N150" s="1"/>
    </row>
    <row r="151" spans="1:14" customFormat="1">
      <c r="A151" t="s">
        <v>263</v>
      </c>
      <c r="D151" s="75"/>
      <c r="E151" s="81">
        <v>0</v>
      </c>
      <c r="F151" s="75"/>
      <c r="G151" s="81">
        <f>(SUM(F11:F15)+F17+SUM(F131:F136)-H151-I151-J151-K151)</f>
        <v>50000</v>
      </c>
      <c r="H151" s="81">
        <f>H144/2.3*1000</f>
        <v>39000.000000000007</v>
      </c>
      <c r="I151" s="81">
        <f>I144/2.67*1000</f>
        <v>30000</v>
      </c>
      <c r="J151" s="81">
        <f>J144/3.1*1000</f>
        <v>30000</v>
      </c>
      <c r="K151" s="81">
        <f>K144/3.6*1000</f>
        <v>325000</v>
      </c>
      <c r="L151" s="81">
        <f>SUM(G151:K151)</f>
        <v>474000</v>
      </c>
      <c r="N151" s="1"/>
    </row>
    <row r="152" spans="1:14" customFormat="1">
      <c r="A152" t="s">
        <v>264</v>
      </c>
      <c r="D152" s="75"/>
      <c r="E152" s="81">
        <v>0</v>
      </c>
      <c r="F152" s="75"/>
      <c r="G152" s="81">
        <f>IF(F16&gt;100000,100000,F16)</f>
        <v>97000</v>
      </c>
      <c r="H152" s="81">
        <f>H147/1.99*1000</f>
        <v>0</v>
      </c>
      <c r="I152" s="81" t="s">
        <v>259</v>
      </c>
      <c r="J152" s="81" t="s">
        <v>259</v>
      </c>
      <c r="K152" s="81" t="s">
        <v>259</v>
      </c>
      <c r="L152" s="81">
        <f>SUM(G152:K152)</f>
        <v>97000</v>
      </c>
      <c r="N152" s="1"/>
    </row>
    <row r="153" spans="1:14" customFormat="1" ht="15.75" thickBot="1">
      <c r="B153" t="s">
        <v>265</v>
      </c>
      <c r="D153" s="77"/>
      <c r="E153" s="82">
        <f>SUM(E150:E152)</f>
        <v>0</v>
      </c>
      <c r="F153" s="77"/>
      <c r="G153" s="82">
        <f>G150+G151+G152</f>
        <v>807699.99999999953</v>
      </c>
      <c r="H153" s="82">
        <f>SUM(H150:H152)</f>
        <v>510000.00000000012</v>
      </c>
      <c r="I153" s="82">
        <f>SUM(I150:I152)</f>
        <v>387000.00000000023</v>
      </c>
      <c r="J153" s="82">
        <f>SUM(J150:J152)</f>
        <v>271000</v>
      </c>
      <c r="K153" s="82">
        <f>SUM(K150:K152)</f>
        <v>997000.00000000012</v>
      </c>
      <c r="L153" s="82">
        <f>SUM(L150:L152)</f>
        <v>2972700</v>
      </c>
      <c r="N153" s="1"/>
    </row>
    <row r="154" spans="1:14" ht="15.75" thickTop="1">
      <c r="E154" s="1" t="s">
        <v>274</v>
      </c>
    </row>
    <row r="155" spans="1:14">
      <c r="E155" s="75" t="s">
        <v>275</v>
      </c>
    </row>
    <row r="156" spans="1:14">
      <c r="E156" s="75" t="s">
        <v>273</v>
      </c>
    </row>
    <row r="157" spans="1:14">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sheetPr>
    <pageSetUpPr fitToPage="1"/>
  </sheetPr>
  <dimension ref="A1:P157"/>
  <sheetViews>
    <sheetView zoomScale="40" zoomScaleNormal="4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1" width="11.42578125" style="1" customWidth="1"/>
    <col min="12" max="12" width="12.140625" style="1" bestFit="1" customWidth="1"/>
    <col min="13" max="13" width="11.42578125" style="1" customWidth="1"/>
    <col min="14" max="14" width="11.85546875" style="1" customWidth="1"/>
    <col min="15" max="15" width="36.42578125" style="1" customWidth="1"/>
    <col min="16" max="16" width="13.42578125" style="1" customWidth="1"/>
    <col min="17" max="16384" width="9.140625" style="1"/>
  </cols>
  <sheetData>
    <row r="1" spans="1:16" ht="46.5">
      <c r="A1" s="2" t="s">
        <v>141</v>
      </c>
    </row>
    <row r="2" spans="1:16" ht="28.5">
      <c r="A2" s="3" t="s">
        <v>142</v>
      </c>
    </row>
    <row r="4" spans="1:16">
      <c r="A4" s="1" t="s">
        <v>143</v>
      </c>
      <c r="B4" s="23">
        <v>41061</v>
      </c>
      <c r="D4" s="1" t="s">
        <v>146</v>
      </c>
      <c r="G4" s="1" t="s">
        <v>156</v>
      </c>
      <c r="J4" s="1" t="s">
        <v>163</v>
      </c>
      <c r="K4" s="5">
        <v>42.19</v>
      </c>
      <c r="M4" s="1" t="s">
        <v>164</v>
      </c>
      <c r="N4" s="5">
        <v>12.41</v>
      </c>
      <c r="O4" s="1" t="s">
        <v>149</v>
      </c>
      <c r="P4" s="1">
        <f>SUM(F11:F136)</f>
        <v>4000500</v>
      </c>
    </row>
    <row r="5" spans="1:16">
      <c r="A5" s="1" t="s">
        <v>165</v>
      </c>
      <c r="B5" s="24">
        <v>41094</v>
      </c>
      <c r="D5" s="1" t="s">
        <v>144</v>
      </c>
      <c r="G5" s="1" t="s">
        <v>155</v>
      </c>
      <c r="H5" s="1">
        <v>0</v>
      </c>
      <c r="J5" s="1" t="s">
        <v>166</v>
      </c>
      <c r="K5" s="5">
        <v>2.2999999999999998</v>
      </c>
      <c r="M5" s="1" t="s">
        <v>6</v>
      </c>
      <c r="N5" s="5">
        <v>185</v>
      </c>
      <c r="O5" s="1" t="s">
        <v>154</v>
      </c>
      <c r="P5" s="1">
        <f>P4-F16</f>
        <v>3759500</v>
      </c>
    </row>
    <row r="6" spans="1:16">
      <c r="B6" s="4"/>
      <c r="D6" s="1" t="s">
        <v>145</v>
      </c>
      <c r="G6" s="1" t="s">
        <v>158</v>
      </c>
      <c r="H6" s="1">
        <v>35000</v>
      </c>
      <c r="J6" s="1" t="s">
        <v>167</v>
      </c>
      <c r="K6" s="5">
        <v>2.67</v>
      </c>
      <c r="M6" s="1" t="s">
        <v>168</v>
      </c>
      <c r="N6" s="5">
        <v>1.99</v>
      </c>
      <c r="O6" s="1" t="s">
        <v>160</v>
      </c>
      <c r="P6" s="1">
        <f>SUMIF(F11:F15,"&gt;" &amp; $H$6)+SUMIF(F17:F136,"&gt;" &amp; $H$6)+SUMIF(F16,"&gt;" &amp; $H$7)</f>
        <v>3201000</v>
      </c>
    </row>
    <row r="7" spans="1:16">
      <c r="B7" s="4"/>
      <c r="D7" s="1" t="s">
        <v>150</v>
      </c>
      <c r="E7" s="12">
        <f>E6-E5</f>
        <v>0</v>
      </c>
      <c r="G7" s="1" t="s">
        <v>159</v>
      </c>
      <c r="H7" s="12">
        <v>100000</v>
      </c>
      <c r="J7" s="1" t="s">
        <v>169</v>
      </c>
      <c r="K7" s="5">
        <v>3.1</v>
      </c>
      <c r="M7" s="1" t="s">
        <v>170</v>
      </c>
      <c r="N7" s="5">
        <v>1755</v>
      </c>
      <c r="O7" s="1" t="s">
        <v>161</v>
      </c>
      <c r="P7" s="1">
        <f>(SUMIF(F11:F15,"&gt;" &amp; $H$6)-(COUNTIF(F11:F15,"&gt;" &amp; $H$6)*$H$6))+(SUMIF(F17:F136,"&gt;" &amp; $H$6)-(COUNTIF(F17:F136,"&gt;" &amp; $H$6)*$H$6))+(SUMIF(F16,"&gt;" &amp; $H$7)-(COUNTIF(F16,"&gt;" &amp; $H$7)*$H$7))</f>
        <v>1876000</v>
      </c>
    </row>
    <row r="8" spans="1:16">
      <c r="D8" s="1" t="s">
        <v>147</v>
      </c>
      <c r="E8" s="25">
        <v>0</v>
      </c>
      <c r="H8" s="6"/>
      <c r="J8" s="1" t="s">
        <v>171</v>
      </c>
      <c r="K8" s="5">
        <v>3.6</v>
      </c>
    </row>
    <row r="10" spans="1:16">
      <c r="A10" s="7" t="s">
        <v>0</v>
      </c>
      <c r="B10" s="10" t="s">
        <v>137</v>
      </c>
      <c r="C10" s="13" t="s">
        <v>185</v>
      </c>
      <c r="D10" s="26" t="s">
        <v>181</v>
      </c>
      <c r="E10" s="10" t="s">
        <v>140</v>
      </c>
      <c r="F10" s="10" t="s">
        <v>157</v>
      </c>
      <c r="G10" s="21" t="s">
        <v>132</v>
      </c>
      <c r="H10" s="21" t="s">
        <v>128</v>
      </c>
      <c r="I10" s="21" t="s">
        <v>129</v>
      </c>
      <c r="J10" s="22" t="s">
        <v>130</v>
      </c>
      <c r="K10" s="22" t="s">
        <v>131</v>
      </c>
      <c r="L10" s="22" t="s">
        <v>162</v>
      </c>
      <c r="M10" s="22" t="s">
        <v>148</v>
      </c>
      <c r="N10" s="22" t="s">
        <v>135</v>
      </c>
      <c r="O10" s="9" t="s">
        <v>127</v>
      </c>
    </row>
    <row r="11" spans="1:16">
      <c r="A11" s="1" t="s">
        <v>1</v>
      </c>
      <c r="B11" s="11"/>
      <c r="C11" s="11">
        <v>8253000</v>
      </c>
      <c r="D11" s="11">
        <v>8614000</v>
      </c>
      <c r="E11" s="11">
        <v>0</v>
      </c>
      <c r="F11" s="11">
        <f t="shared" ref="F11:F74" si="0">($D11-$C11)+$E11</f>
        <v>361000</v>
      </c>
      <c r="G11" s="17">
        <f>IF(OR($F11&gt;0,$B11=""),$K$4,$N$4)</f>
        <v>42.19</v>
      </c>
      <c r="H11" s="17">
        <f>IF(AND((($F11-10000)&gt;=0),(($F11-10000)&lt;= 10000)),($F11-10000)/1000*$K$5,IF(($F11-10000)&gt;=10000,$K$5*10,0))</f>
        <v>23</v>
      </c>
      <c r="I11" s="17">
        <f>IF(AND((($F11-20000)&gt;=0),(($F11-20000)&lt;=10000)),($F11-20000)/1000*$K$6,IF(($F11-20000)&gt;=10000,$K$6*10,0))</f>
        <v>26.7</v>
      </c>
      <c r="J11" s="18">
        <f>IF(AND((($F11-30000)&gt;=0),(($F11-30000)&lt;=10000)),($F11-30000)/1000*$K$7,IF(($F11-30000)&gt;=10000,$K$7*10,0))</f>
        <v>31</v>
      </c>
      <c r="K11" s="18">
        <f>IF((($F11-40000)&gt;=0),($F11-40000)/1000*$K$8,0)</f>
        <v>1155.6000000000001</v>
      </c>
      <c r="L11" s="18">
        <f>SUM(G11:K11)</f>
        <v>1278.4900000000002</v>
      </c>
      <c r="M11" s="18">
        <f>IF(   $H$5=1,    IF((F11-$H$6)&gt;0,((F11-$H$6)/$P$7)*$E$8,0),   IF(F11&gt;0,(F11/$P$4)*$E$8,0)    )</f>
        <v>0</v>
      </c>
      <c r="N11" s="18">
        <f>SUM(L11:M11)</f>
        <v>1278.4900000000002</v>
      </c>
      <c r="O11" s="8"/>
    </row>
    <row r="12" spans="1:16" s="14" customFormat="1">
      <c r="A12" s="14" t="s">
        <v>2</v>
      </c>
      <c r="B12" s="15"/>
      <c r="C12" s="15">
        <v>7005000</v>
      </c>
      <c r="D12" s="15">
        <v>7052000</v>
      </c>
      <c r="E12" s="15">
        <v>0</v>
      </c>
      <c r="F12" s="15">
        <f t="shared" si="0"/>
        <v>47000</v>
      </c>
      <c r="G12" s="19">
        <f>IF(OR($F12&gt;0,$B12=""),$K$4,$N$4)</f>
        <v>42.19</v>
      </c>
      <c r="H12" s="19">
        <f>IF(AND((($F12-10000)&gt;=0),(($F12-10000)&lt;= 10000)),($F12-10000)/1000*$K$5,IF(($F12-10000)&gt;=10000,$K$5*10,0))</f>
        <v>23</v>
      </c>
      <c r="I12" s="19">
        <f>IF(AND((($F12-20000)&gt;=0),(($F12-20000)&lt;=10000)),($F12-20000)/1000*$K$6,IF(($F12-20000)&gt;=10000,$K$6*10,0))</f>
        <v>26.7</v>
      </c>
      <c r="J12" s="20">
        <f>IF(AND((($F12-30000)&gt;=0),(($F12-30000)&lt;=10000)),($F12-30000)/1000*$K$7,IF(($F12-30000)&gt;=10000,$K$7*10,0))</f>
        <v>31</v>
      </c>
      <c r="K12" s="20">
        <f>IF((($F12-40000)&gt;=0),($F12-40000)/1000*$K$8,0)</f>
        <v>25.2</v>
      </c>
      <c r="L12" s="20">
        <f t="shared" ref="L12:L75" si="1">SUM(G12:K12)</f>
        <v>148.09</v>
      </c>
      <c r="M12" s="20">
        <f>IF(   $H$5=1,    IF((F12-$H$6)&gt;0,((F12-$H$6)/$P$7)*$E$8,0),   IF(F12&gt;0,(F12/$P$4)*$E$8,0)    )</f>
        <v>0</v>
      </c>
      <c r="N12" s="20">
        <f t="shared" ref="N12:N75" si="2">SUM(L12:M12)</f>
        <v>148.09</v>
      </c>
      <c r="O12" s="16" t="s">
        <v>186</v>
      </c>
    </row>
    <row r="13" spans="1:16">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IF((F13-$H$6)&gt;0,((F13-$H$6)/$P$7)*$E$8,0),   IF(F13&gt;0,(F13/$P$4)*$E$8,0)    )</f>
        <v>0</v>
      </c>
      <c r="N13" s="18">
        <f t="shared" si="2"/>
        <v>42.19</v>
      </c>
      <c r="O13" s="8" t="s">
        <v>134</v>
      </c>
    </row>
    <row r="14" spans="1:16">
      <c r="A14" s="1" t="s">
        <v>4</v>
      </c>
      <c r="B14" s="11"/>
      <c r="C14" s="11">
        <v>3653000</v>
      </c>
      <c r="D14" s="11">
        <v>3708000</v>
      </c>
      <c r="E14" s="11">
        <v>0</v>
      </c>
      <c r="F14" s="11">
        <f t="shared" si="0"/>
        <v>55000</v>
      </c>
      <c r="G14" s="17">
        <f>IF(OR($F14&gt;0,$B14=""),$K$4,$N$4)</f>
        <v>42.19</v>
      </c>
      <c r="H14" s="17">
        <f>IF(AND((($F14-10000)&gt;=0),(($F14-10000)&lt;= 10000)),($F14-10000)/1000*$K$5,IF(($F14-10000)&gt;=10000,$K$5*10,0))</f>
        <v>23</v>
      </c>
      <c r="I14" s="17">
        <f>IF(AND((($F14-20000)&gt;=0),(($F14-20000)&lt;=10000)),($F14-20000)/1000*$K$6,IF(($F14-20000)&gt;=10000,$K$6*10,0))</f>
        <v>26.7</v>
      </c>
      <c r="J14" s="18">
        <f>IF(AND((($F14-30000)&gt;=0),(($F14-30000)&lt;=10000)),($F14-30000)/1000*$K$7,IF(($F14-30000)&gt;=10000,$K$7*10,0))</f>
        <v>31</v>
      </c>
      <c r="K14" s="18">
        <f>IF((($F14-40000)&gt;=0),($F14-40000)/1000*$K$8,0)</f>
        <v>54</v>
      </c>
      <c r="L14" s="18">
        <f t="shared" si="1"/>
        <v>176.89</v>
      </c>
      <c r="M14" s="18">
        <f>IF(   $H$5=1,    IF((F14-$H$6)&gt;0,((F14-$H$6)/$P$7)*$E$8,0),   IF(F14&gt;0,(F14/$P$4)*$E$8,0)    )</f>
        <v>0</v>
      </c>
      <c r="N14" s="18">
        <f t="shared" si="2"/>
        <v>176.89</v>
      </c>
      <c r="O14" s="8"/>
    </row>
    <row r="15" spans="1:16">
      <c r="A15" s="1" t="s">
        <v>5</v>
      </c>
      <c r="B15" s="11"/>
      <c r="C15" s="11">
        <v>2551000</v>
      </c>
      <c r="D15" s="11">
        <v>2661000</v>
      </c>
      <c r="E15" s="11">
        <v>0</v>
      </c>
      <c r="F15" s="11">
        <f t="shared" si="0"/>
        <v>110000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252</v>
      </c>
      <c r="L15" s="18">
        <f t="shared" si="1"/>
        <v>374.89</v>
      </c>
      <c r="M15" s="18">
        <f>IF(   $H$5=1,    IF((F15-$H$6)&gt;0,((F15-$H$6)/$P$7)*$E$8,0),   IF(F15&gt;0,(F15/$P$4)*$E$8,0)    )</f>
        <v>0</v>
      </c>
      <c r="N15" s="18">
        <f t="shared" si="2"/>
        <v>374.89</v>
      </c>
      <c r="O15" s="8"/>
    </row>
    <row r="16" spans="1:16">
      <c r="A16" s="1" t="s">
        <v>6</v>
      </c>
      <c r="B16" s="11"/>
      <c r="C16" s="11">
        <v>26062000</v>
      </c>
      <c r="D16" s="11">
        <v>26303000</v>
      </c>
      <c r="E16" s="11">
        <v>0</v>
      </c>
      <c r="F16" s="11">
        <f t="shared" si="0"/>
        <v>241000</v>
      </c>
      <c r="G16" s="17">
        <f>$N$5</f>
        <v>185</v>
      </c>
      <c r="H16" s="17">
        <f>IF(($F16-100000)&gt;=0,($F16-100000)/1000*$N$6,0)</f>
        <v>280.58999999999997</v>
      </c>
      <c r="I16" s="17"/>
      <c r="J16" s="18"/>
      <c r="K16" s="18"/>
      <c r="L16" s="18">
        <f t="shared" si="1"/>
        <v>465.59</v>
      </c>
      <c r="M16" s="18">
        <f>IF(   $H$5=1,     IF((F16-$H$7)&gt;0,((F16-$H$7)/$P$7)*$E$8,0),   IF(F16&gt;0,(F16/$P$4)*$E$8,0)    )</f>
        <v>0</v>
      </c>
      <c r="N16" s="18">
        <f t="shared" si="2"/>
        <v>465.59</v>
      </c>
      <c r="O16" s="8" t="s">
        <v>133</v>
      </c>
    </row>
    <row r="17" spans="1:15">
      <c r="A17" s="1" t="s">
        <v>7</v>
      </c>
      <c r="B17" s="11"/>
      <c r="C17" s="11">
        <v>615000</v>
      </c>
      <c r="D17" s="11">
        <v>630000</v>
      </c>
      <c r="E17" s="11">
        <v>0</v>
      </c>
      <c r="F17" s="11">
        <f t="shared" si="0"/>
        <v>15000</v>
      </c>
      <c r="G17" s="17">
        <f t="shared" ref="G17:G80" si="3">IF(OR($F17&gt;0,$B17=""),$K$4,$N$4)</f>
        <v>42.19</v>
      </c>
      <c r="H17" s="17">
        <f t="shared" ref="H17:H80" si="4">IF(AND((($F17-10000)&gt;=0),(($F17-10000)&lt;= 10000)),($F17-10000)/1000*$K$5,IF(($F17-10000)&gt;=10000,$K$5*10,0))</f>
        <v>11.5</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53.69</v>
      </c>
      <c r="M17" s="18">
        <f t="shared" ref="M17:M48" si="8">IF(   $H$5=1,    IF((F17-$H$6)&gt;0,((F17-$H$6)/$P$7)*$E$8,0),   IF(F17&gt;0,(F17/$P$4)*$E$8,0)    )</f>
        <v>0</v>
      </c>
      <c r="N17" s="18">
        <f t="shared" si="2"/>
        <v>53.69</v>
      </c>
      <c r="O17" s="8"/>
    </row>
    <row r="18" spans="1:15">
      <c r="A18" s="1" t="s">
        <v>8</v>
      </c>
      <c r="B18" s="11"/>
      <c r="C18" s="11">
        <v>75000</v>
      </c>
      <c r="D18" s="11">
        <v>164000</v>
      </c>
      <c r="E18" s="11">
        <v>0</v>
      </c>
      <c r="F18" s="11">
        <f t="shared" si="0"/>
        <v>89000</v>
      </c>
      <c r="G18" s="17">
        <f t="shared" si="3"/>
        <v>42.19</v>
      </c>
      <c r="H18" s="17">
        <f t="shared" si="4"/>
        <v>23</v>
      </c>
      <c r="I18" s="17">
        <f t="shared" si="5"/>
        <v>26.7</v>
      </c>
      <c r="J18" s="18">
        <f t="shared" si="6"/>
        <v>31</v>
      </c>
      <c r="K18" s="18">
        <f t="shared" si="7"/>
        <v>176.4</v>
      </c>
      <c r="L18" s="18">
        <f t="shared" si="1"/>
        <v>299.29000000000002</v>
      </c>
      <c r="M18" s="18">
        <f t="shared" si="8"/>
        <v>0</v>
      </c>
      <c r="N18" s="18">
        <f t="shared" si="2"/>
        <v>299.29000000000002</v>
      </c>
      <c r="O18" s="8" t="s">
        <v>174</v>
      </c>
    </row>
    <row r="19" spans="1:15">
      <c r="A19" s="1" t="s">
        <v>9</v>
      </c>
      <c r="B19" s="11"/>
      <c r="C19" s="11">
        <v>330000</v>
      </c>
      <c r="D19" s="11">
        <v>374000</v>
      </c>
      <c r="E19" s="11">
        <v>0</v>
      </c>
      <c r="F19" s="11">
        <f t="shared" si="0"/>
        <v>44000</v>
      </c>
      <c r="G19" s="17">
        <f t="shared" si="3"/>
        <v>42.19</v>
      </c>
      <c r="H19" s="17">
        <f t="shared" si="4"/>
        <v>23</v>
      </c>
      <c r="I19" s="17">
        <f t="shared" si="5"/>
        <v>26.7</v>
      </c>
      <c r="J19" s="18">
        <f t="shared" si="6"/>
        <v>31</v>
      </c>
      <c r="K19" s="18">
        <f t="shared" si="7"/>
        <v>14.4</v>
      </c>
      <c r="L19" s="18">
        <f t="shared" si="1"/>
        <v>137.29</v>
      </c>
      <c r="M19" s="18">
        <f t="shared" si="8"/>
        <v>0</v>
      </c>
      <c r="N19" s="18">
        <f t="shared" si="2"/>
        <v>137.29</v>
      </c>
      <c r="O19" s="8"/>
    </row>
    <row r="20" spans="1:15">
      <c r="A20" s="1" t="s">
        <v>10</v>
      </c>
      <c r="B20" s="11"/>
      <c r="C20" s="11">
        <v>1580000</v>
      </c>
      <c r="D20" s="11">
        <v>1611000</v>
      </c>
      <c r="E20" s="11">
        <v>0</v>
      </c>
      <c r="F20" s="11">
        <f t="shared" si="0"/>
        <v>31000</v>
      </c>
      <c r="G20" s="17">
        <f t="shared" si="3"/>
        <v>42.19</v>
      </c>
      <c r="H20" s="17">
        <f t="shared" si="4"/>
        <v>23</v>
      </c>
      <c r="I20" s="17">
        <f t="shared" si="5"/>
        <v>26.7</v>
      </c>
      <c r="J20" s="18">
        <f t="shared" si="6"/>
        <v>3.1</v>
      </c>
      <c r="K20" s="18">
        <f t="shared" si="7"/>
        <v>0</v>
      </c>
      <c r="L20" s="18">
        <f t="shared" si="1"/>
        <v>94.99</v>
      </c>
      <c r="M20" s="18">
        <f t="shared" si="8"/>
        <v>0</v>
      </c>
      <c r="N20" s="18">
        <f t="shared" si="2"/>
        <v>94.99</v>
      </c>
      <c r="O20" s="8"/>
    </row>
    <row r="21" spans="1:15">
      <c r="A21" s="1" t="s">
        <v>11</v>
      </c>
      <c r="B21" s="11"/>
      <c r="C21" s="11">
        <v>2049000</v>
      </c>
      <c r="D21" s="11">
        <v>2064000</v>
      </c>
      <c r="E21" s="11">
        <v>0</v>
      </c>
      <c r="F21" s="11">
        <f t="shared" si="0"/>
        <v>15000</v>
      </c>
      <c r="G21" s="17">
        <f t="shared" si="3"/>
        <v>42.19</v>
      </c>
      <c r="H21" s="17">
        <f t="shared" si="4"/>
        <v>11.5</v>
      </c>
      <c r="I21" s="17">
        <f t="shared" si="5"/>
        <v>0</v>
      </c>
      <c r="J21" s="18">
        <f t="shared" si="6"/>
        <v>0</v>
      </c>
      <c r="K21" s="18">
        <f t="shared" si="7"/>
        <v>0</v>
      </c>
      <c r="L21" s="18">
        <f t="shared" si="1"/>
        <v>53.69</v>
      </c>
      <c r="M21" s="18">
        <f t="shared" si="8"/>
        <v>0</v>
      </c>
      <c r="N21" s="18">
        <f t="shared" si="2"/>
        <v>53.69</v>
      </c>
      <c r="O21" s="8"/>
    </row>
    <row r="22" spans="1:15">
      <c r="A22" s="1" t="s">
        <v>12</v>
      </c>
      <c r="B22" s="11"/>
      <c r="C22" s="11">
        <v>2278000</v>
      </c>
      <c r="D22" s="11">
        <v>2307000</v>
      </c>
      <c r="E22" s="11">
        <v>0</v>
      </c>
      <c r="F22" s="11">
        <f t="shared" si="0"/>
        <v>29000</v>
      </c>
      <c r="G22" s="17">
        <f t="shared" si="3"/>
        <v>42.19</v>
      </c>
      <c r="H22" s="17">
        <f t="shared" si="4"/>
        <v>23</v>
      </c>
      <c r="I22" s="17">
        <f t="shared" si="5"/>
        <v>24.03</v>
      </c>
      <c r="J22" s="18">
        <f t="shared" si="6"/>
        <v>0</v>
      </c>
      <c r="K22" s="18">
        <f t="shared" si="7"/>
        <v>0</v>
      </c>
      <c r="L22" s="18">
        <f t="shared" si="1"/>
        <v>89.22</v>
      </c>
      <c r="M22" s="18">
        <f t="shared" si="8"/>
        <v>0</v>
      </c>
      <c r="N22" s="18">
        <f t="shared" si="2"/>
        <v>89.22</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6508000</v>
      </c>
      <c r="D24" s="11">
        <v>6608000</v>
      </c>
      <c r="E24" s="11">
        <v>0</v>
      </c>
      <c r="F24" s="11">
        <f t="shared" si="0"/>
        <v>100000</v>
      </c>
      <c r="G24" s="17">
        <f t="shared" si="3"/>
        <v>42.19</v>
      </c>
      <c r="H24" s="17">
        <f t="shared" si="4"/>
        <v>23</v>
      </c>
      <c r="I24" s="17">
        <f t="shared" si="5"/>
        <v>26.7</v>
      </c>
      <c r="J24" s="18">
        <f t="shared" si="6"/>
        <v>31</v>
      </c>
      <c r="K24" s="18">
        <f t="shared" si="7"/>
        <v>216</v>
      </c>
      <c r="L24" s="18">
        <f t="shared" si="1"/>
        <v>338.89</v>
      </c>
      <c r="M24" s="18">
        <f t="shared" si="8"/>
        <v>0</v>
      </c>
      <c r="N24" s="18">
        <f t="shared" si="2"/>
        <v>338.89</v>
      </c>
      <c r="O24" s="8"/>
    </row>
    <row r="25" spans="1:15">
      <c r="A25" s="1" t="s">
        <v>15</v>
      </c>
      <c r="B25" s="11"/>
      <c r="C25" s="11">
        <v>2692000</v>
      </c>
      <c r="D25" s="11">
        <v>2726000</v>
      </c>
      <c r="E25" s="11">
        <v>0</v>
      </c>
      <c r="F25" s="11">
        <f t="shared" si="0"/>
        <v>34000</v>
      </c>
      <c r="G25" s="17">
        <f t="shared" si="3"/>
        <v>42.19</v>
      </c>
      <c r="H25" s="17">
        <f t="shared" si="4"/>
        <v>23</v>
      </c>
      <c r="I25" s="17">
        <f t="shared" si="5"/>
        <v>26.7</v>
      </c>
      <c r="J25" s="18">
        <f t="shared" si="6"/>
        <v>12.4</v>
      </c>
      <c r="K25" s="18">
        <f t="shared" si="7"/>
        <v>0</v>
      </c>
      <c r="L25" s="18">
        <f t="shared" si="1"/>
        <v>104.29</v>
      </c>
      <c r="M25" s="18">
        <f t="shared" si="8"/>
        <v>0</v>
      </c>
      <c r="N25" s="18">
        <f t="shared" si="2"/>
        <v>104.29</v>
      </c>
      <c r="O25" s="8"/>
    </row>
    <row r="26" spans="1:15">
      <c r="A26" s="1" t="s">
        <v>16</v>
      </c>
      <c r="B26" s="11"/>
      <c r="C26" s="11">
        <v>1622000</v>
      </c>
      <c r="D26" s="11">
        <v>1656000</v>
      </c>
      <c r="E26" s="11">
        <v>0</v>
      </c>
      <c r="F26" s="11">
        <f t="shared" si="0"/>
        <v>34000</v>
      </c>
      <c r="G26" s="17">
        <f t="shared" si="3"/>
        <v>42.19</v>
      </c>
      <c r="H26" s="17">
        <f t="shared" si="4"/>
        <v>23</v>
      </c>
      <c r="I26" s="17">
        <f t="shared" si="5"/>
        <v>26.7</v>
      </c>
      <c r="J26" s="18">
        <f t="shared" si="6"/>
        <v>12.4</v>
      </c>
      <c r="K26" s="18">
        <f t="shared" si="7"/>
        <v>0</v>
      </c>
      <c r="L26" s="18">
        <f t="shared" si="1"/>
        <v>104.29</v>
      </c>
      <c r="M26" s="18">
        <f t="shared" si="8"/>
        <v>0</v>
      </c>
      <c r="N26" s="18">
        <f t="shared" si="2"/>
        <v>104.29</v>
      </c>
      <c r="O26" s="8"/>
    </row>
    <row r="27" spans="1:15">
      <c r="A27" s="1" t="s">
        <v>17</v>
      </c>
      <c r="B27" s="11"/>
      <c r="C27" s="11">
        <v>1204000</v>
      </c>
      <c r="D27" s="11">
        <v>1217000</v>
      </c>
      <c r="E27" s="11">
        <v>0</v>
      </c>
      <c r="F27" s="11">
        <f t="shared" si="0"/>
        <v>13000</v>
      </c>
      <c r="G27" s="17">
        <f t="shared" si="3"/>
        <v>42.19</v>
      </c>
      <c r="H27" s="17">
        <f t="shared" si="4"/>
        <v>6.8999999999999995</v>
      </c>
      <c r="I27" s="17">
        <f t="shared" si="5"/>
        <v>0</v>
      </c>
      <c r="J27" s="18">
        <f t="shared" si="6"/>
        <v>0</v>
      </c>
      <c r="K27" s="18">
        <f t="shared" si="7"/>
        <v>0</v>
      </c>
      <c r="L27" s="18">
        <f t="shared" si="1"/>
        <v>49.089999999999996</v>
      </c>
      <c r="M27" s="18">
        <f t="shared" si="8"/>
        <v>0</v>
      </c>
      <c r="N27" s="18">
        <f t="shared" si="2"/>
        <v>49.089999999999996</v>
      </c>
      <c r="O27" s="8"/>
    </row>
    <row r="28" spans="1:15">
      <c r="A28" s="1" t="s">
        <v>18</v>
      </c>
      <c r="B28" s="11"/>
      <c r="C28" s="11">
        <v>4075000</v>
      </c>
      <c r="D28" s="11">
        <v>4088000</v>
      </c>
      <c r="E28" s="11">
        <v>0</v>
      </c>
      <c r="F28" s="11">
        <f t="shared" si="0"/>
        <v>13000</v>
      </c>
      <c r="G28" s="17">
        <f t="shared" si="3"/>
        <v>42.19</v>
      </c>
      <c r="H28" s="17">
        <f t="shared" si="4"/>
        <v>6.8999999999999995</v>
      </c>
      <c r="I28" s="17">
        <f t="shared" si="5"/>
        <v>0</v>
      </c>
      <c r="J28" s="18">
        <f t="shared" si="6"/>
        <v>0</v>
      </c>
      <c r="K28" s="18">
        <f t="shared" si="7"/>
        <v>0</v>
      </c>
      <c r="L28" s="18">
        <f t="shared" si="1"/>
        <v>49.089999999999996</v>
      </c>
      <c r="M28" s="18">
        <f t="shared" si="8"/>
        <v>0</v>
      </c>
      <c r="N28" s="18">
        <f t="shared" si="2"/>
        <v>49.089999999999996</v>
      </c>
      <c r="O28" s="8"/>
    </row>
    <row r="29" spans="1:15">
      <c r="A29" s="1" t="s">
        <v>19</v>
      </c>
      <c r="B29" s="11"/>
      <c r="C29" s="11">
        <v>1227000</v>
      </c>
      <c r="D29" s="11">
        <v>1282000</v>
      </c>
      <c r="E29" s="11">
        <v>0</v>
      </c>
      <c r="F29" s="11">
        <f t="shared" si="0"/>
        <v>55000</v>
      </c>
      <c r="G29" s="17">
        <f t="shared" si="3"/>
        <v>42.19</v>
      </c>
      <c r="H29" s="17">
        <f t="shared" si="4"/>
        <v>23</v>
      </c>
      <c r="I29" s="17">
        <f t="shared" si="5"/>
        <v>26.7</v>
      </c>
      <c r="J29" s="18">
        <f t="shared" si="6"/>
        <v>31</v>
      </c>
      <c r="K29" s="18">
        <f t="shared" si="7"/>
        <v>54</v>
      </c>
      <c r="L29" s="18">
        <f t="shared" si="1"/>
        <v>176.89</v>
      </c>
      <c r="M29" s="18">
        <f t="shared" si="8"/>
        <v>0</v>
      </c>
      <c r="N29" s="18">
        <f t="shared" si="2"/>
        <v>176.89</v>
      </c>
      <c r="O29" s="8"/>
    </row>
    <row r="30" spans="1:15">
      <c r="A30" s="1" t="s">
        <v>20</v>
      </c>
      <c r="B30" s="11"/>
      <c r="C30" s="11">
        <v>2235000</v>
      </c>
      <c r="D30" s="11">
        <v>2243000</v>
      </c>
      <c r="E30" s="11">
        <v>0</v>
      </c>
      <c r="F30" s="11">
        <f t="shared" si="0"/>
        <v>8000</v>
      </c>
      <c r="G30" s="17">
        <f t="shared" si="3"/>
        <v>42.19</v>
      </c>
      <c r="H30" s="17">
        <f t="shared" si="4"/>
        <v>0</v>
      </c>
      <c r="I30" s="17">
        <f t="shared" si="5"/>
        <v>0</v>
      </c>
      <c r="J30" s="18">
        <f t="shared" si="6"/>
        <v>0</v>
      </c>
      <c r="K30" s="18">
        <f t="shared" si="7"/>
        <v>0</v>
      </c>
      <c r="L30" s="18">
        <f t="shared" si="1"/>
        <v>42.19</v>
      </c>
      <c r="M30" s="18">
        <f t="shared" si="8"/>
        <v>0</v>
      </c>
      <c r="N30" s="18">
        <f t="shared" si="2"/>
        <v>42.19</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687000</v>
      </c>
      <c r="D32" s="11">
        <v>705000</v>
      </c>
      <c r="E32" s="11">
        <v>0</v>
      </c>
      <c r="F32" s="11">
        <f t="shared" si="0"/>
        <v>18000</v>
      </c>
      <c r="G32" s="17">
        <f t="shared" si="3"/>
        <v>42.19</v>
      </c>
      <c r="H32" s="17">
        <f t="shared" si="4"/>
        <v>18.399999999999999</v>
      </c>
      <c r="I32" s="17">
        <f t="shared" si="5"/>
        <v>0</v>
      </c>
      <c r="J32" s="18">
        <f t="shared" si="6"/>
        <v>0</v>
      </c>
      <c r="K32" s="18">
        <f t="shared" si="7"/>
        <v>0</v>
      </c>
      <c r="L32" s="18">
        <f t="shared" si="1"/>
        <v>60.589999999999996</v>
      </c>
      <c r="M32" s="18">
        <f t="shared" si="8"/>
        <v>0</v>
      </c>
      <c r="N32" s="18">
        <f t="shared" si="2"/>
        <v>60.589999999999996</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2497000</v>
      </c>
      <c r="D35" s="11">
        <v>2571000</v>
      </c>
      <c r="E35" s="11">
        <v>0</v>
      </c>
      <c r="F35" s="11">
        <f t="shared" si="0"/>
        <v>74000</v>
      </c>
      <c r="G35" s="17">
        <f t="shared" si="3"/>
        <v>42.19</v>
      </c>
      <c r="H35" s="17">
        <f t="shared" si="4"/>
        <v>23</v>
      </c>
      <c r="I35" s="17">
        <f t="shared" si="5"/>
        <v>26.7</v>
      </c>
      <c r="J35" s="18">
        <f t="shared" si="6"/>
        <v>31</v>
      </c>
      <c r="K35" s="18">
        <f t="shared" si="7"/>
        <v>122.4</v>
      </c>
      <c r="L35" s="18">
        <f t="shared" si="1"/>
        <v>245.29000000000002</v>
      </c>
      <c r="M35" s="18">
        <f t="shared" si="8"/>
        <v>0</v>
      </c>
      <c r="N35" s="18">
        <f t="shared" si="2"/>
        <v>245.29000000000002</v>
      </c>
      <c r="O35" s="8"/>
    </row>
    <row r="36" spans="1:15">
      <c r="A36" s="1" t="s">
        <v>26</v>
      </c>
      <c r="B36" s="11"/>
      <c r="C36" s="11">
        <v>421000</v>
      </c>
      <c r="D36" s="11">
        <v>453000</v>
      </c>
      <c r="E36" s="11">
        <v>0</v>
      </c>
      <c r="F36" s="11">
        <f t="shared" si="0"/>
        <v>32000</v>
      </c>
      <c r="G36" s="17">
        <f t="shared" si="3"/>
        <v>42.19</v>
      </c>
      <c r="H36" s="17">
        <f t="shared" si="4"/>
        <v>23</v>
      </c>
      <c r="I36" s="17">
        <f t="shared" si="5"/>
        <v>26.7</v>
      </c>
      <c r="J36" s="18">
        <f t="shared" si="6"/>
        <v>6.2</v>
      </c>
      <c r="K36" s="18">
        <f t="shared" si="7"/>
        <v>0</v>
      </c>
      <c r="L36" s="18">
        <f t="shared" si="1"/>
        <v>98.09</v>
      </c>
      <c r="M36" s="18">
        <f t="shared" si="8"/>
        <v>0</v>
      </c>
      <c r="N36" s="18">
        <f t="shared" si="2"/>
        <v>98.09</v>
      </c>
      <c r="O36" s="8"/>
    </row>
    <row r="37" spans="1:15">
      <c r="A37" s="1" t="s">
        <v>27</v>
      </c>
      <c r="B37" s="11"/>
      <c r="C37" s="11">
        <v>2154000</v>
      </c>
      <c r="D37" s="11">
        <v>2159000</v>
      </c>
      <c r="E37" s="11">
        <v>0</v>
      </c>
      <c r="F37" s="11">
        <f t="shared" si="0"/>
        <v>5000</v>
      </c>
      <c r="G37" s="17">
        <f t="shared" si="3"/>
        <v>42.19</v>
      </c>
      <c r="H37" s="17">
        <f t="shared" si="4"/>
        <v>0</v>
      </c>
      <c r="I37" s="17">
        <f t="shared" si="5"/>
        <v>0</v>
      </c>
      <c r="J37" s="18">
        <f t="shared" si="6"/>
        <v>0</v>
      </c>
      <c r="K37" s="18">
        <f t="shared" si="7"/>
        <v>0</v>
      </c>
      <c r="L37" s="18">
        <f t="shared" si="1"/>
        <v>42.19</v>
      </c>
      <c r="M37" s="18">
        <f t="shared" si="8"/>
        <v>0</v>
      </c>
      <c r="N37" s="18">
        <f t="shared" si="2"/>
        <v>42.19</v>
      </c>
      <c r="O37" s="8"/>
    </row>
    <row r="38" spans="1:15">
      <c r="A38" s="1" t="s">
        <v>28</v>
      </c>
      <c r="B38" s="11"/>
      <c r="C38" s="11">
        <v>1392000</v>
      </c>
      <c r="D38" s="11">
        <v>1404000</v>
      </c>
      <c r="E38" s="11">
        <v>0</v>
      </c>
      <c r="F38" s="11">
        <f t="shared" si="0"/>
        <v>12000</v>
      </c>
      <c r="G38" s="17">
        <f t="shared" si="3"/>
        <v>42.19</v>
      </c>
      <c r="H38" s="17">
        <f t="shared" si="4"/>
        <v>4.5999999999999996</v>
      </c>
      <c r="I38" s="17">
        <f t="shared" si="5"/>
        <v>0</v>
      </c>
      <c r="J38" s="18">
        <f t="shared" si="6"/>
        <v>0</v>
      </c>
      <c r="K38" s="18">
        <f t="shared" si="7"/>
        <v>0</v>
      </c>
      <c r="L38" s="18">
        <f t="shared" si="1"/>
        <v>46.79</v>
      </c>
      <c r="M38" s="18">
        <f t="shared" si="8"/>
        <v>0</v>
      </c>
      <c r="N38" s="18">
        <f t="shared" si="2"/>
        <v>46.79</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538000</v>
      </c>
      <c r="D41" s="11">
        <v>553000</v>
      </c>
      <c r="E41" s="11">
        <v>0</v>
      </c>
      <c r="F41" s="11">
        <f t="shared" si="0"/>
        <v>15000</v>
      </c>
      <c r="G41" s="17">
        <f t="shared" si="3"/>
        <v>42.19</v>
      </c>
      <c r="H41" s="17">
        <f t="shared" si="4"/>
        <v>11.5</v>
      </c>
      <c r="I41" s="17">
        <f t="shared" si="5"/>
        <v>0</v>
      </c>
      <c r="J41" s="18">
        <f t="shared" si="6"/>
        <v>0</v>
      </c>
      <c r="K41" s="18">
        <f t="shared" si="7"/>
        <v>0</v>
      </c>
      <c r="L41" s="18">
        <f t="shared" si="1"/>
        <v>53.69</v>
      </c>
      <c r="M41" s="18">
        <f t="shared" si="8"/>
        <v>0</v>
      </c>
      <c r="N41" s="18">
        <f t="shared" si="2"/>
        <v>53.69</v>
      </c>
      <c r="O41" s="8"/>
    </row>
    <row r="42" spans="1:15">
      <c r="A42" s="1" t="s">
        <v>32</v>
      </c>
      <c r="B42" s="11"/>
      <c r="C42" s="11">
        <v>3901000</v>
      </c>
      <c r="D42" s="11">
        <v>3916000</v>
      </c>
      <c r="E42" s="11">
        <v>0</v>
      </c>
      <c r="F42" s="11">
        <f t="shared" si="0"/>
        <v>15000</v>
      </c>
      <c r="G42" s="17">
        <f t="shared" si="3"/>
        <v>42.19</v>
      </c>
      <c r="H42" s="17">
        <f t="shared" si="4"/>
        <v>11.5</v>
      </c>
      <c r="I42" s="17">
        <f t="shared" si="5"/>
        <v>0</v>
      </c>
      <c r="J42" s="18">
        <f t="shared" si="6"/>
        <v>0</v>
      </c>
      <c r="K42" s="18">
        <f t="shared" si="7"/>
        <v>0</v>
      </c>
      <c r="L42" s="18">
        <f t="shared" si="1"/>
        <v>53.69</v>
      </c>
      <c r="M42" s="18">
        <f t="shared" si="8"/>
        <v>0</v>
      </c>
      <c r="N42" s="18">
        <f t="shared" si="2"/>
        <v>53.69</v>
      </c>
      <c r="O42" s="8"/>
    </row>
    <row r="43" spans="1:15">
      <c r="A43" s="1" t="s">
        <v>33</v>
      </c>
      <c r="B43" s="11"/>
      <c r="C43" s="11">
        <v>1211000</v>
      </c>
      <c r="D43" s="11">
        <v>1236000</v>
      </c>
      <c r="E43" s="11">
        <v>0</v>
      </c>
      <c r="F43" s="11">
        <f t="shared" si="0"/>
        <v>25000</v>
      </c>
      <c r="G43" s="17">
        <f t="shared" si="3"/>
        <v>42.19</v>
      </c>
      <c r="H43" s="17">
        <f t="shared" si="4"/>
        <v>23</v>
      </c>
      <c r="I43" s="17">
        <f t="shared" si="5"/>
        <v>13.35</v>
      </c>
      <c r="J43" s="18">
        <f t="shared" si="6"/>
        <v>0</v>
      </c>
      <c r="K43" s="18">
        <f t="shared" si="7"/>
        <v>0</v>
      </c>
      <c r="L43" s="18">
        <f t="shared" si="1"/>
        <v>78.539999999999992</v>
      </c>
      <c r="M43" s="18">
        <f t="shared" si="8"/>
        <v>0</v>
      </c>
      <c r="N43" s="18">
        <f t="shared" si="2"/>
        <v>78.539999999999992</v>
      </c>
      <c r="O43" s="8"/>
    </row>
    <row r="44" spans="1:15">
      <c r="A44" s="1" t="s">
        <v>34</v>
      </c>
      <c r="B44" s="11"/>
      <c r="C44" s="11">
        <v>307000</v>
      </c>
      <c r="D44" s="11">
        <v>397000</v>
      </c>
      <c r="E44" s="11">
        <v>0</v>
      </c>
      <c r="F44" s="11">
        <f t="shared" si="0"/>
        <v>90000</v>
      </c>
      <c r="G44" s="17">
        <f t="shared" si="3"/>
        <v>42.19</v>
      </c>
      <c r="H44" s="17">
        <f t="shared" si="4"/>
        <v>23</v>
      </c>
      <c r="I44" s="17">
        <f t="shared" si="5"/>
        <v>26.7</v>
      </c>
      <c r="J44" s="18">
        <f t="shared" si="6"/>
        <v>31</v>
      </c>
      <c r="K44" s="18">
        <f t="shared" si="7"/>
        <v>180</v>
      </c>
      <c r="L44" s="18">
        <f t="shared" si="1"/>
        <v>302.89</v>
      </c>
      <c r="M44" s="18">
        <f t="shared" si="8"/>
        <v>0</v>
      </c>
      <c r="N44" s="18">
        <f t="shared" si="2"/>
        <v>302.89</v>
      </c>
      <c r="O44" s="8" t="s">
        <v>175</v>
      </c>
    </row>
    <row r="45" spans="1:15">
      <c r="A45" s="1" t="s">
        <v>35</v>
      </c>
      <c r="B45" s="11"/>
      <c r="C45" s="11">
        <v>1657000</v>
      </c>
      <c r="D45" s="11">
        <v>1733000</v>
      </c>
      <c r="E45" s="11">
        <v>0</v>
      </c>
      <c r="F45" s="11">
        <f t="shared" si="0"/>
        <v>76000</v>
      </c>
      <c r="G45" s="17">
        <f t="shared" si="3"/>
        <v>42.19</v>
      </c>
      <c r="H45" s="17">
        <f t="shared" si="4"/>
        <v>23</v>
      </c>
      <c r="I45" s="17">
        <f t="shared" si="5"/>
        <v>26.7</v>
      </c>
      <c r="J45" s="18">
        <f t="shared" si="6"/>
        <v>31</v>
      </c>
      <c r="K45" s="18">
        <f t="shared" si="7"/>
        <v>129.6</v>
      </c>
      <c r="L45" s="18">
        <f t="shared" si="1"/>
        <v>252.49</v>
      </c>
      <c r="M45" s="18">
        <f t="shared" si="8"/>
        <v>0</v>
      </c>
      <c r="N45" s="18">
        <f t="shared" si="2"/>
        <v>252.49</v>
      </c>
      <c r="O45" s="8"/>
    </row>
    <row r="46" spans="1:15">
      <c r="A46" s="1" t="s">
        <v>36</v>
      </c>
      <c r="B46" s="11"/>
      <c r="C46" s="11">
        <v>1608000</v>
      </c>
      <c r="D46" s="11">
        <v>1616000</v>
      </c>
      <c r="E46" s="11">
        <v>0</v>
      </c>
      <c r="F46" s="11">
        <f t="shared" si="0"/>
        <v>8000</v>
      </c>
      <c r="G46" s="17">
        <f t="shared" si="3"/>
        <v>42.19</v>
      </c>
      <c r="H46" s="17">
        <f t="shared" si="4"/>
        <v>0</v>
      </c>
      <c r="I46" s="17">
        <f t="shared" si="5"/>
        <v>0</v>
      </c>
      <c r="J46" s="18">
        <f t="shared" si="6"/>
        <v>0</v>
      </c>
      <c r="K46" s="18">
        <f t="shared" si="7"/>
        <v>0</v>
      </c>
      <c r="L46" s="18">
        <f t="shared" si="1"/>
        <v>42.19</v>
      </c>
      <c r="M46" s="18">
        <f t="shared" si="8"/>
        <v>0</v>
      </c>
      <c r="N46" s="18">
        <f t="shared" si="2"/>
        <v>42.19</v>
      </c>
      <c r="O46" s="8"/>
    </row>
    <row r="47" spans="1:15">
      <c r="A47" s="1" t="s">
        <v>37</v>
      </c>
      <c r="B47" s="11"/>
      <c r="C47" s="11">
        <v>1985000</v>
      </c>
      <c r="D47" s="11">
        <v>2073000</v>
      </c>
      <c r="E47" s="11">
        <v>0</v>
      </c>
      <c r="F47" s="11">
        <f t="shared" si="0"/>
        <v>88000</v>
      </c>
      <c r="G47" s="17">
        <f t="shared" si="3"/>
        <v>42.19</v>
      </c>
      <c r="H47" s="17">
        <f t="shared" si="4"/>
        <v>23</v>
      </c>
      <c r="I47" s="17">
        <f t="shared" si="5"/>
        <v>26.7</v>
      </c>
      <c r="J47" s="18">
        <f t="shared" si="6"/>
        <v>31</v>
      </c>
      <c r="K47" s="18">
        <f t="shared" si="7"/>
        <v>172.8</v>
      </c>
      <c r="L47" s="18">
        <f t="shared" si="1"/>
        <v>295.69</v>
      </c>
      <c r="M47" s="18">
        <f t="shared" si="8"/>
        <v>0</v>
      </c>
      <c r="N47" s="18">
        <f t="shared" si="2"/>
        <v>295.69</v>
      </c>
      <c r="O47" s="8"/>
    </row>
    <row r="48" spans="1:15">
      <c r="A48" s="1" t="s">
        <v>38</v>
      </c>
      <c r="B48" s="11"/>
      <c r="C48" s="11">
        <v>1865000</v>
      </c>
      <c r="D48" s="11">
        <v>1969000</v>
      </c>
      <c r="E48" s="11">
        <v>0</v>
      </c>
      <c r="F48" s="11">
        <f t="shared" si="0"/>
        <v>104000</v>
      </c>
      <c r="G48" s="17">
        <f t="shared" si="3"/>
        <v>42.19</v>
      </c>
      <c r="H48" s="17">
        <f t="shared" si="4"/>
        <v>23</v>
      </c>
      <c r="I48" s="17">
        <f t="shared" si="5"/>
        <v>26.7</v>
      </c>
      <c r="J48" s="18">
        <f t="shared" si="6"/>
        <v>31</v>
      </c>
      <c r="K48" s="18">
        <f t="shared" si="7"/>
        <v>230.4</v>
      </c>
      <c r="L48" s="18">
        <f t="shared" si="1"/>
        <v>353.29</v>
      </c>
      <c r="M48" s="18">
        <f t="shared" si="8"/>
        <v>0</v>
      </c>
      <c r="N48" s="18">
        <f t="shared" si="2"/>
        <v>353.29</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ref="M49:M80" si="9">IF(   $H$5=1,    IF((F49-$H$6)&gt;0,((F49-$H$6)/$P$7)*$E$8,0),   IF(F49&gt;0,(F49/$P$4)*$E$8,0)    )</f>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9"/>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9"/>
        <v>0</v>
      </c>
      <c r="N51" s="18">
        <f t="shared" si="2"/>
        <v>12.41</v>
      </c>
      <c r="O51" s="8"/>
    </row>
    <row r="52" spans="1:15">
      <c r="A52" s="1" t="s">
        <v>42</v>
      </c>
      <c r="B52" s="11"/>
      <c r="C52" s="11">
        <v>3097000</v>
      </c>
      <c r="D52" s="11">
        <v>3138000</v>
      </c>
      <c r="E52" s="11">
        <v>0</v>
      </c>
      <c r="F52" s="11">
        <f t="shared" si="0"/>
        <v>41000</v>
      </c>
      <c r="G52" s="17">
        <f t="shared" si="3"/>
        <v>42.19</v>
      </c>
      <c r="H52" s="17">
        <f t="shared" si="4"/>
        <v>23</v>
      </c>
      <c r="I52" s="17">
        <f t="shared" si="5"/>
        <v>26.7</v>
      </c>
      <c r="J52" s="18">
        <f t="shared" si="6"/>
        <v>31</v>
      </c>
      <c r="K52" s="18">
        <f t="shared" si="7"/>
        <v>3.6</v>
      </c>
      <c r="L52" s="18">
        <f t="shared" si="1"/>
        <v>126.49</v>
      </c>
      <c r="M52" s="18">
        <f t="shared" si="9"/>
        <v>0</v>
      </c>
      <c r="N52" s="18">
        <f t="shared" si="2"/>
        <v>126.49</v>
      </c>
      <c r="O52" s="8"/>
    </row>
    <row r="53" spans="1:15">
      <c r="A53" s="1" t="s">
        <v>43</v>
      </c>
      <c r="B53" s="11"/>
      <c r="C53" s="11">
        <v>3289000</v>
      </c>
      <c r="D53" s="11">
        <v>3317000</v>
      </c>
      <c r="E53" s="11">
        <v>0</v>
      </c>
      <c r="F53" s="11">
        <f t="shared" si="0"/>
        <v>28000</v>
      </c>
      <c r="G53" s="17">
        <f t="shared" si="3"/>
        <v>42.19</v>
      </c>
      <c r="H53" s="17">
        <f t="shared" si="4"/>
        <v>23</v>
      </c>
      <c r="I53" s="17">
        <f t="shared" si="5"/>
        <v>21.36</v>
      </c>
      <c r="J53" s="18">
        <f t="shared" si="6"/>
        <v>0</v>
      </c>
      <c r="K53" s="18">
        <f t="shared" si="7"/>
        <v>0</v>
      </c>
      <c r="L53" s="18">
        <f t="shared" si="1"/>
        <v>86.55</v>
      </c>
      <c r="M53" s="18">
        <f t="shared" si="9"/>
        <v>0</v>
      </c>
      <c r="N53" s="18">
        <f t="shared" si="2"/>
        <v>86.55</v>
      </c>
      <c r="O53" s="8"/>
    </row>
    <row r="54" spans="1:15">
      <c r="A54" s="1" t="s">
        <v>44</v>
      </c>
      <c r="B54" s="11"/>
      <c r="C54" s="11">
        <v>4200000</v>
      </c>
      <c r="D54" s="11">
        <v>4358000</v>
      </c>
      <c r="E54" s="11">
        <v>0</v>
      </c>
      <c r="F54" s="11">
        <f t="shared" si="0"/>
        <v>158000</v>
      </c>
      <c r="G54" s="17">
        <f t="shared" si="3"/>
        <v>42.19</v>
      </c>
      <c r="H54" s="17">
        <f t="shared" si="4"/>
        <v>23</v>
      </c>
      <c r="I54" s="17">
        <f t="shared" si="5"/>
        <v>26.7</v>
      </c>
      <c r="J54" s="18">
        <f t="shared" si="6"/>
        <v>31</v>
      </c>
      <c r="K54" s="18">
        <f t="shared" si="7"/>
        <v>424.8</v>
      </c>
      <c r="L54" s="18">
        <f t="shared" si="1"/>
        <v>547.69000000000005</v>
      </c>
      <c r="M54" s="18">
        <f t="shared" si="9"/>
        <v>0</v>
      </c>
      <c r="N54" s="18">
        <f t="shared" si="2"/>
        <v>547.69000000000005</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9"/>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9"/>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9"/>
        <v>0</v>
      </c>
      <c r="N57" s="18">
        <f t="shared" si="2"/>
        <v>12.41</v>
      </c>
      <c r="O57" s="8"/>
    </row>
    <row r="58" spans="1:15">
      <c r="A58" s="1" t="s">
        <v>48</v>
      </c>
      <c r="B58" s="11"/>
      <c r="C58" s="11">
        <v>1134000</v>
      </c>
      <c r="D58" s="11">
        <v>1136000</v>
      </c>
      <c r="E58" s="11">
        <v>0</v>
      </c>
      <c r="F58" s="11">
        <f t="shared" si="0"/>
        <v>2000</v>
      </c>
      <c r="G58" s="17">
        <f t="shared" si="3"/>
        <v>42.19</v>
      </c>
      <c r="H58" s="17">
        <f t="shared" si="4"/>
        <v>0</v>
      </c>
      <c r="I58" s="17">
        <f t="shared" si="5"/>
        <v>0</v>
      </c>
      <c r="J58" s="18">
        <f t="shared" si="6"/>
        <v>0</v>
      </c>
      <c r="K58" s="18">
        <f t="shared" si="7"/>
        <v>0</v>
      </c>
      <c r="L58" s="18">
        <f t="shared" si="1"/>
        <v>42.19</v>
      </c>
      <c r="M58" s="18">
        <f t="shared" si="9"/>
        <v>0</v>
      </c>
      <c r="N58" s="18">
        <f t="shared" si="2"/>
        <v>42.19</v>
      </c>
      <c r="O58" s="8"/>
    </row>
    <row r="59" spans="1:15">
      <c r="A59" s="1" t="s">
        <v>49</v>
      </c>
      <c r="B59" s="11"/>
      <c r="C59" s="11">
        <v>949000</v>
      </c>
      <c r="D59" s="11">
        <v>965000</v>
      </c>
      <c r="E59" s="11">
        <v>0</v>
      </c>
      <c r="F59" s="11">
        <f t="shared" si="0"/>
        <v>16000</v>
      </c>
      <c r="G59" s="17">
        <f t="shared" si="3"/>
        <v>42.19</v>
      </c>
      <c r="H59" s="17">
        <f t="shared" si="4"/>
        <v>13.799999999999999</v>
      </c>
      <c r="I59" s="17">
        <f t="shared" si="5"/>
        <v>0</v>
      </c>
      <c r="J59" s="18">
        <f t="shared" si="6"/>
        <v>0</v>
      </c>
      <c r="K59" s="18">
        <f t="shared" si="7"/>
        <v>0</v>
      </c>
      <c r="L59" s="18">
        <f t="shared" si="1"/>
        <v>55.989999999999995</v>
      </c>
      <c r="M59" s="18">
        <f t="shared" si="9"/>
        <v>0</v>
      </c>
      <c r="N59" s="18">
        <f t="shared" si="2"/>
        <v>55.989999999999995</v>
      </c>
      <c r="O59" s="8"/>
    </row>
    <row r="60" spans="1:15">
      <c r="A60" s="1" t="s">
        <v>50</v>
      </c>
      <c r="B60" s="11"/>
      <c r="C60" s="11">
        <v>3514000</v>
      </c>
      <c r="D60" s="11">
        <v>3549000</v>
      </c>
      <c r="E60" s="11">
        <v>0</v>
      </c>
      <c r="F60" s="11">
        <f t="shared" si="0"/>
        <v>35000</v>
      </c>
      <c r="G60" s="17">
        <f t="shared" si="3"/>
        <v>42.19</v>
      </c>
      <c r="H60" s="17">
        <f t="shared" si="4"/>
        <v>23</v>
      </c>
      <c r="I60" s="17">
        <f t="shared" si="5"/>
        <v>26.7</v>
      </c>
      <c r="J60" s="18">
        <f t="shared" si="6"/>
        <v>15.5</v>
      </c>
      <c r="K60" s="18">
        <f t="shared" si="7"/>
        <v>0</v>
      </c>
      <c r="L60" s="18">
        <f t="shared" si="1"/>
        <v>107.39</v>
      </c>
      <c r="M60" s="18">
        <f t="shared" si="9"/>
        <v>0</v>
      </c>
      <c r="N60" s="18">
        <f t="shared" si="2"/>
        <v>107.39</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9"/>
        <v>0</v>
      </c>
      <c r="N61" s="18">
        <f t="shared" si="2"/>
        <v>12.41</v>
      </c>
      <c r="O61" s="8"/>
    </row>
    <row r="62" spans="1:15">
      <c r="A62" s="1" t="s">
        <v>52</v>
      </c>
      <c r="B62" s="11"/>
      <c r="C62" s="11">
        <v>1732000</v>
      </c>
      <c r="D62" s="11">
        <v>1744000</v>
      </c>
      <c r="E62" s="11">
        <v>0</v>
      </c>
      <c r="F62" s="11">
        <f t="shared" si="0"/>
        <v>12000</v>
      </c>
      <c r="G62" s="17">
        <f t="shared" si="3"/>
        <v>42.19</v>
      </c>
      <c r="H62" s="17">
        <f t="shared" si="4"/>
        <v>4.5999999999999996</v>
      </c>
      <c r="I62" s="17">
        <f t="shared" si="5"/>
        <v>0</v>
      </c>
      <c r="J62" s="18">
        <f t="shared" si="6"/>
        <v>0</v>
      </c>
      <c r="K62" s="18">
        <f t="shared" si="7"/>
        <v>0</v>
      </c>
      <c r="L62" s="18">
        <f t="shared" si="1"/>
        <v>46.79</v>
      </c>
      <c r="M62" s="18">
        <f t="shared" si="9"/>
        <v>0</v>
      </c>
      <c r="N62" s="18">
        <f t="shared" si="2"/>
        <v>46.79</v>
      </c>
      <c r="O62" s="8"/>
    </row>
    <row r="63" spans="1:15">
      <c r="A63" s="1" t="s">
        <v>53</v>
      </c>
      <c r="B63" s="11"/>
      <c r="C63" s="11">
        <v>2394000</v>
      </c>
      <c r="D63" s="11">
        <v>2441000</v>
      </c>
      <c r="E63" s="11">
        <v>0</v>
      </c>
      <c r="F63" s="11">
        <f t="shared" si="0"/>
        <v>47000</v>
      </c>
      <c r="G63" s="17">
        <f t="shared" si="3"/>
        <v>42.19</v>
      </c>
      <c r="H63" s="17">
        <f t="shared" si="4"/>
        <v>23</v>
      </c>
      <c r="I63" s="17">
        <f t="shared" si="5"/>
        <v>26.7</v>
      </c>
      <c r="J63" s="18">
        <f t="shared" si="6"/>
        <v>31</v>
      </c>
      <c r="K63" s="18">
        <f t="shared" si="7"/>
        <v>25.2</v>
      </c>
      <c r="L63" s="18">
        <f t="shared" si="1"/>
        <v>148.09</v>
      </c>
      <c r="M63" s="18">
        <f t="shared" si="9"/>
        <v>0</v>
      </c>
      <c r="N63" s="18">
        <f t="shared" si="2"/>
        <v>148.09</v>
      </c>
      <c r="O63" s="8"/>
    </row>
    <row r="64" spans="1:15">
      <c r="A64" s="1" t="s">
        <v>54</v>
      </c>
      <c r="B64" s="11"/>
      <c r="C64" s="11">
        <v>3442000</v>
      </c>
      <c r="D64" s="11">
        <v>3594000</v>
      </c>
      <c r="E64" s="11">
        <v>0</v>
      </c>
      <c r="F64" s="11">
        <f t="shared" si="0"/>
        <v>152000</v>
      </c>
      <c r="G64" s="17">
        <f t="shared" si="3"/>
        <v>42.19</v>
      </c>
      <c r="H64" s="17">
        <f t="shared" si="4"/>
        <v>23</v>
      </c>
      <c r="I64" s="17">
        <f t="shared" si="5"/>
        <v>26.7</v>
      </c>
      <c r="J64" s="18">
        <f t="shared" si="6"/>
        <v>31</v>
      </c>
      <c r="K64" s="18">
        <f t="shared" si="7"/>
        <v>403.2</v>
      </c>
      <c r="L64" s="18">
        <f t="shared" si="1"/>
        <v>526.09</v>
      </c>
      <c r="M64" s="18">
        <f t="shared" si="9"/>
        <v>0</v>
      </c>
      <c r="N64" s="18">
        <f t="shared" si="2"/>
        <v>526.09</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9"/>
        <v>0</v>
      </c>
      <c r="N65" s="18">
        <f t="shared" si="2"/>
        <v>12.41</v>
      </c>
      <c r="O65" s="8"/>
    </row>
    <row r="66" spans="1:15">
      <c r="A66" s="1" t="s">
        <v>56</v>
      </c>
      <c r="B66" s="11"/>
      <c r="C66" s="11">
        <v>1565000</v>
      </c>
      <c r="D66" s="11">
        <v>1608000</v>
      </c>
      <c r="E66" s="11">
        <v>0</v>
      </c>
      <c r="F66" s="11">
        <f t="shared" si="0"/>
        <v>43000</v>
      </c>
      <c r="G66" s="17">
        <f t="shared" si="3"/>
        <v>42.19</v>
      </c>
      <c r="H66" s="17">
        <f t="shared" si="4"/>
        <v>23</v>
      </c>
      <c r="I66" s="17">
        <f t="shared" si="5"/>
        <v>26.7</v>
      </c>
      <c r="J66" s="18">
        <f t="shared" si="6"/>
        <v>31</v>
      </c>
      <c r="K66" s="18">
        <f t="shared" si="7"/>
        <v>10.8</v>
      </c>
      <c r="L66" s="18">
        <f t="shared" si="1"/>
        <v>133.69</v>
      </c>
      <c r="M66" s="18">
        <f t="shared" si="9"/>
        <v>0</v>
      </c>
      <c r="N66" s="18">
        <f t="shared" si="2"/>
        <v>133.69</v>
      </c>
      <c r="O66" s="8"/>
    </row>
    <row r="67" spans="1:15">
      <c r="A67" s="1" t="s">
        <v>57</v>
      </c>
      <c r="B67" s="11"/>
      <c r="C67" s="11">
        <v>1618000</v>
      </c>
      <c r="D67" s="11">
        <v>1619000</v>
      </c>
      <c r="E67" s="11">
        <v>0</v>
      </c>
      <c r="F67" s="11">
        <f t="shared" si="0"/>
        <v>1000</v>
      </c>
      <c r="G67" s="17">
        <f t="shared" si="3"/>
        <v>42.19</v>
      </c>
      <c r="H67" s="17">
        <f t="shared" si="4"/>
        <v>0</v>
      </c>
      <c r="I67" s="17">
        <f t="shared" si="5"/>
        <v>0</v>
      </c>
      <c r="J67" s="18">
        <f t="shared" si="6"/>
        <v>0</v>
      </c>
      <c r="K67" s="18">
        <f t="shared" si="7"/>
        <v>0</v>
      </c>
      <c r="L67" s="18">
        <f t="shared" si="1"/>
        <v>42.19</v>
      </c>
      <c r="M67" s="18">
        <f t="shared" si="9"/>
        <v>0</v>
      </c>
      <c r="N67" s="18">
        <f t="shared" si="2"/>
        <v>42.19</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9"/>
        <v>0</v>
      </c>
      <c r="N68" s="18">
        <f t="shared" si="2"/>
        <v>12.41</v>
      </c>
      <c r="O68" s="8"/>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9"/>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9"/>
        <v>0</v>
      </c>
      <c r="N70" s="18">
        <f t="shared" si="2"/>
        <v>12.41</v>
      </c>
      <c r="O70" s="8"/>
    </row>
    <row r="71" spans="1:15">
      <c r="A71" s="1" t="s">
        <v>61</v>
      </c>
      <c r="B71" s="11"/>
      <c r="C71" s="11">
        <v>1370000</v>
      </c>
      <c r="D71" s="11">
        <v>1375000</v>
      </c>
      <c r="E71" s="11">
        <v>0</v>
      </c>
      <c r="F71" s="11">
        <f t="shared" si="0"/>
        <v>5000</v>
      </c>
      <c r="G71" s="17">
        <f t="shared" si="3"/>
        <v>42.19</v>
      </c>
      <c r="H71" s="17">
        <f t="shared" si="4"/>
        <v>0</v>
      </c>
      <c r="I71" s="17">
        <f t="shared" si="5"/>
        <v>0</v>
      </c>
      <c r="J71" s="18">
        <f t="shared" si="6"/>
        <v>0</v>
      </c>
      <c r="K71" s="18">
        <f t="shared" si="7"/>
        <v>0</v>
      </c>
      <c r="L71" s="18">
        <f t="shared" si="1"/>
        <v>42.19</v>
      </c>
      <c r="M71" s="18">
        <f t="shared" si="9"/>
        <v>0</v>
      </c>
      <c r="N71" s="18">
        <f t="shared" si="2"/>
        <v>42.19</v>
      </c>
      <c r="O71" s="8"/>
    </row>
    <row r="72" spans="1:15">
      <c r="A72" s="1" t="s">
        <v>62</v>
      </c>
      <c r="B72" s="11"/>
      <c r="C72" s="11">
        <v>1927000</v>
      </c>
      <c r="D72" s="11">
        <v>1936000</v>
      </c>
      <c r="E72" s="11">
        <v>0</v>
      </c>
      <c r="F72" s="11">
        <f t="shared" si="0"/>
        <v>9000</v>
      </c>
      <c r="G72" s="17">
        <f t="shared" si="3"/>
        <v>42.19</v>
      </c>
      <c r="H72" s="17">
        <f t="shared" si="4"/>
        <v>0</v>
      </c>
      <c r="I72" s="17">
        <f t="shared" si="5"/>
        <v>0</v>
      </c>
      <c r="J72" s="18">
        <f t="shared" si="6"/>
        <v>0</v>
      </c>
      <c r="K72" s="18">
        <f t="shared" si="7"/>
        <v>0</v>
      </c>
      <c r="L72" s="18">
        <f t="shared" si="1"/>
        <v>42.19</v>
      </c>
      <c r="M72" s="18">
        <f t="shared" si="9"/>
        <v>0</v>
      </c>
      <c r="N72" s="18">
        <f t="shared" si="2"/>
        <v>42.19</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9"/>
        <v>0</v>
      </c>
      <c r="N73" s="18">
        <f t="shared" si="2"/>
        <v>12.41</v>
      </c>
      <c r="O73" s="8"/>
    </row>
    <row r="74" spans="1:15">
      <c r="A74" s="1" t="s">
        <v>64</v>
      </c>
      <c r="B74" s="11"/>
      <c r="C74" s="11">
        <v>4977000</v>
      </c>
      <c r="D74" s="11">
        <v>5026000</v>
      </c>
      <c r="E74" s="11">
        <v>0</v>
      </c>
      <c r="F74" s="11">
        <f t="shared" si="0"/>
        <v>49000</v>
      </c>
      <c r="G74" s="17">
        <f t="shared" si="3"/>
        <v>42.19</v>
      </c>
      <c r="H74" s="17">
        <f t="shared" si="4"/>
        <v>23</v>
      </c>
      <c r="I74" s="17">
        <f t="shared" si="5"/>
        <v>26.7</v>
      </c>
      <c r="J74" s="18">
        <f t="shared" si="6"/>
        <v>31</v>
      </c>
      <c r="K74" s="18">
        <f t="shared" si="7"/>
        <v>32.4</v>
      </c>
      <c r="L74" s="18">
        <f t="shared" si="1"/>
        <v>155.29</v>
      </c>
      <c r="M74" s="18">
        <f t="shared" si="9"/>
        <v>0</v>
      </c>
      <c r="N74" s="18">
        <f t="shared" si="2"/>
        <v>155.29</v>
      </c>
      <c r="O74" s="8"/>
    </row>
    <row r="75" spans="1:15">
      <c r="A75" s="1" t="s">
        <v>65</v>
      </c>
      <c r="B75" s="11"/>
      <c r="C75" s="11">
        <v>6687000</v>
      </c>
      <c r="D75" s="11">
        <v>6790000</v>
      </c>
      <c r="E75" s="11">
        <v>0</v>
      </c>
      <c r="F75" s="11">
        <f t="shared" ref="F75:F136" si="10">($D75-$C75)+$E75</f>
        <v>103000</v>
      </c>
      <c r="G75" s="17">
        <f t="shared" si="3"/>
        <v>42.19</v>
      </c>
      <c r="H75" s="17">
        <f t="shared" si="4"/>
        <v>23</v>
      </c>
      <c r="I75" s="17">
        <f t="shared" si="5"/>
        <v>26.7</v>
      </c>
      <c r="J75" s="18">
        <f t="shared" si="6"/>
        <v>31</v>
      </c>
      <c r="K75" s="18">
        <f t="shared" si="7"/>
        <v>226.8</v>
      </c>
      <c r="L75" s="18">
        <f t="shared" si="1"/>
        <v>349.69</v>
      </c>
      <c r="M75" s="18">
        <f t="shared" si="9"/>
        <v>0</v>
      </c>
      <c r="N75" s="18">
        <f t="shared" si="2"/>
        <v>349.69</v>
      </c>
      <c r="O75" s="8"/>
    </row>
    <row r="76" spans="1:15">
      <c r="A76" s="1" t="s">
        <v>66</v>
      </c>
      <c r="B76" s="11"/>
      <c r="C76" s="11">
        <v>9256000</v>
      </c>
      <c r="D76" s="11">
        <v>9318000</v>
      </c>
      <c r="E76" s="11">
        <v>0</v>
      </c>
      <c r="F76" s="11">
        <f t="shared" si="10"/>
        <v>62000</v>
      </c>
      <c r="G76" s="17">
        <f t="shared" si="3"/>
        <v>42.19</v>
      </c>
      <c r="H76" s="17">
        <f t="shared" si="4"/>
        <v>23</v>
      </c>
      <c r="I76" s="17">
        <f t="shared" si="5"/>
        <v>26.7</v>
      </c>
      <c r="J76" s="18">
        <f t="shared" si="6"/>
        <v>31</v>
      </c>
      <c r="K76" s="18">
        <f t="shared" si="7"/>
        <v>79.2</v>
      </c>
      <c r="L76" s="18">
        <f t="shared" ref="L76:L136" si="11">SUM(G76:K76)</f>
        <v>202.09</v>
      </c>
      <c r="M76" s="18">
        <f t="shared" si="9"/>
        <v>0</v>
      </c>
      <c r="N76" s="18">
        <f t="shared" ref="N76:N136" si="12">SUM(L76:M76)</f>
        <v>202.09</v>
      </c>
      <c r="O76" s="8"/>
    </row>
    <row r="77" spans="1:15">
      <c r="A77" s="1" t="s">
        <v>67</v>
      </c>
      <c r="B77" s="11" t="s">
        <v>138</v>
      </c>
      <c r="C77" s="11">
        <v>0</v>
      </c>
      <c r="D77" s="11">
        <v>0</v>
      </c>
      <c r="E77" s="11">
        <v>0</v>
      </c>
      <c r="F77" s="11">
        <f t="shared" si="10"/>
        <v>0</v>
      </c>
      <c r="G77" s="17">
        <f t="shared" si="3"/>
        <v>12.41</v>
      </c>
      <c r="H77" s="17">
        <f t="shared" si="4"/>
        <v>0</v>
      </c>
      <c r="I77" s="17">
        <f t="shared" si="5"/>
        <v>0</v>
      </c>
      <c r="J77" s="18">
        <f t="shared" si="6"/>
        <v>0</v>
      </c>
      <c r="K77" s="18">
        <f t="shared" si="7"/>
        <v>0</v>
      </c>
      <c r="L77" s="18">
        <f t="shared" si="11"/>
        <v>12.41</v>
      </c>
      <c r="M77" s="18">
        <f t="shared" si="9"/>
        <v>0</v>
      </c>
      <c r="N77" s="18">
        <f t="shared" si="12"/>
        <v>12.41</v>
      </c>
      <c r="O77" s="8"/>
    </row>
    <row r="78" spans="1:15">
      <c r="A78" s="1" t="s">
        <v>68</v>
      </c>
      <c r="B78" s="11"/>
      <c r="C78" s="11">
        <v>3628000</v>
      </c>
      <c r="D78" s="11">
        <v>3660000</v>
      </c>
      <c r="E78" s="11">
        <v>0</v>
      </c>
      <c r="F78" s="11">
        <f t="shared" si="10"/>
        <v>32000</v>
      </c>
      <c r="G78" s="17">
        <f t="shared" si="3"/>
        <v>42.19</v>
      </c>
      <c r="H78" s="17">
        <f t="shared" si="4"/>
        <v>23</v>
      </c>
      <c r="I78" s="17">
        <f t="shared" si="5"/>
        <v>26.7</v>
      </c>
      <c r="J78" s="18">
        <f t="shared" si="6"/>
        <v>6.2</v>
      </c>
      <c r="K78" s="18">
        <f t="shared" si="7"/>
        <v>0</v>
      </c>
      <c r="L78" s="18">
        <f t="shared" si="11"/>
        <v>98.09</v>
      </c>
      <c r="M78" s="18">
        <f t="shared" si="9"/>
        <v>0</v>
      </c>
      <c r="N78" s="18">
        <f t="shared" si="12"/>
        <v>98.09</v>
      </c>
      <c r="O78" s="8"/>
    </row>
    <row r="79" spans="1:15">
      <c r="A79" s="1" t="s">
        <v>69</v>
      </c>
      <c r="B79" s="11"/>
      <c r="C79" s="11">
        <v>2407000</v>
      </c>
      <c r="D79" s="11">
        <v>2447000</v>
      </c>
      <c r="E79" s="11">
        <v>0</v>
      </c>
      <c r="F79" s="11">
        <f t="shared" si="10"/>
        <v>40000</v>
      </c>
      <c r="G79" s="17">
        <f t="shared" si="3"/>
        <v>42.19</v>
      </c>
      <c r="H79" s="17">
        <f t="shared" si="4"/>
        <v>23</v>
      </c>
      <c r="I79" s="17">
        <f t="shared" si="5"/>
        <v>26.7</v>
      </c>
      <c r="J79" s="18">
        <f t="shared" si="6"/>
        <v>31</v>
      </c>
      <c r="K79" s="18">
        <f t="shared" si="7"/>
        <v>0</v>
      </c>
      <c r="L79" s="18">
        <f t="shared" si="11"/>
        <v>122.89</v>
      </c>
      <c r="M79" s="18">
        <f t="shared" si="9"/>
        <v>0</v>
      </c>
      <c r="N79" s="18">
        <f t="shared" si="12"/>
        <v>122.89</v>
      </c>
      <c r="O79" s="8"/>
    </row>
    <row r="80" spans="1:15">
      <c r="A80" s="1" t="s">
        <v>70</v>
      </c>
      <c r="B80" s="11"/>
      <c r="C80" s="11">
        <v>1485000</v>
      </c>
      <c r="D80" s="11">
        <v>1523000</v>
      </c>
      <c r="E80" s="11">
        <v>0</v>
      </c>
      <c r="F80" s="11">
        <f t="shared" si="10"/>
        <v>38000</v>
      </c>
      <c r="G80" s="17">
        <f t="shared" si="3"/>
        <v>42.19</v>
      </c>
      <c r="H80" s="17">
        <f t="shared" si="4"/>
        <v>23</v>
      </c>
      <c r="I80" s="17">
        <f t="shared" si="5"/>
        <v>26.7</v>
      </c>
      <c r="J80" s="18">
        <f t="shared" si="6"/>
        <v>24.8</v>
      </c>
      <c r="K80" s="18">
        <f t="shared" si="7"/>
        <v>0</v>
      </c>
      <c r="L80" s="18">
        <f t="shared" si="11"/>
        <v>116.69</v>
      </c>
      <c r="M80" s="18">
        <f t="shared" si="9"/>
        <v>0</v>
      </c>
      <c r="N80" s="18">
        <f t="shared" si="12"/>
        <v>116.69</v>
      </c>
      <c r="O80" s="8"/>
    </row>
    <row r="81" spans="1:15">
      <c r="A81" s="1" t="s">
        <v>71</v>
      </c>
      <c r="B81" s="11" t="s">
        <v>138</v>
      </c>
      <c r="C81" s="11">
        <v>0</v>
      </c>
      <c r="D81" s="11">
        <v>0</v>
      </c>
      <c r="E81" s="11">
        <v>0</v>
      </c>
      <c r="F81" s="11">
        <f t="shared" si="10"/>
        <v>0</v>
      </c>
      <c r="G81" s="17">
        <f t="shared" ref="G81:G136" si="13">IF(OR($F81&gt;0,$B81=""),$K$4,$N$4)</f>
        <v>12.41</v>
      </c>
      <c r="H81" s="17">
        <f t="shared" ref="H81:H136" si="14">IF(AND((($F81-10000)&gt;=0),(($F81-10000)&lt;= 10000)),($F81-10000)/1000*$K$5,IF(($F81-10000)&gt;=10000,$K$5*10,0))</f>
        <v>0</v>
      </c>
      <c r="I81" s="17">
        <f t="shared" ref="I81:I136" si="15">IF(AND((($F81-20000)&gt;=0),(($F81-20000)&lt;=10000)),($F81-20000)/1000*$K$6,IF(($F81-20000)&gt;=10000,$K$6*10,0))</f>
        <v>0</v>
      </c>
      <c r="J81" s="18">
        <f t="shared" ref="J81:J136" si="16">IF(AND((($F81-30000)&gt;=0),(($F81-30000)&lt;=10000)),($F81-30000)/1000*$K$7,IF(($F81-30000)&gt;=10000,$K$7*10,0))</f>
        <v>0</v>
      </c>
      <c r="K81" s="18">
        <f t="shared" ref="K81:K136" si="17">IF((($F81-40000)&gt;=0),($F81-40000)/1000*$K$8,0)</f>
        <v>0</v>
      </c>
      <c r="L81" s="18">
        <f t="shared" si="11"/>
        <v>12.41</v>
      </c>
      <c r="M81" s="18">
        <f t="shared" ref="M81:M112" si="18">IF(   $H$5=1,    IF((F81-$H$6)&gt;0,((F81-$H$6)/$P$7)*$E$8,0),   IF(F81&gt;0,(F81/$P$4)*$E$8,0)    )</f>
        <v>0</v>
      </c>
      <c r="N81" s="18">
        <f t="shared" si="12"/>
        <v>12.41</v>
      </c>
      <c r="O81" s="8"/>
    </row>
    <row r="82" spans="1:15">
      <c r="A82" s="1" t="s">
        <v>72</v>
      </c>
      <c r="B82" s="11"/>
      <c r="C82" s="11">
        <v>216000</v>
      </c>
      <c r="D82" s="11">
        <v>263000</v>
      </c>
      <c r="E82" s="11">
        <v>0</v>
      </c>
      <c r="F82" s="11">
        <f t="shared" si="10"/>
        <v>47000</v>
      </c>
      <c r="G82" s="17">
        <f t="shared" si="13"/>
        <v>42.19</v>
      </c>
      <c r="H82" s="17">
        <f t="shared" si="14"/>
        <v>23</v>
      </c>
      <c r="I82" s="17">
        <f t="shared" si="15"/>
        <v>26.7</v>
      </c>
      <c r="J82" s="18">
        <f t="shared" si="16"/>
        <v>31</v>
      </c>
      <c r="K82" s="18">
        <f t="shared" si="17"/>
        <v>25.2</v>
      </c>
      <c r="L82" s="18">
        <f t="shared" si="11"/>
        <v>148.09</v>
      </c>
      <c r="M82" s="18">
        <f t="shared" si="18"/>
        <v>0</v>
      </c>
      <c r="N82" s="18">
        <f t="shared" si="12"/>
        <v>148.09</v>
      </c>
      <c r="O82" s="8" t="s">
        <v>139</v>
      </c>
    </row>
    <row r="83" spans="1:15">
      <c r="A83" s="1" t="s">
        <v>73</v>
      </c>
      <c r="B83" s="11"/>
      <c r="C83" s="11">
        <v>1988000</v>
      </c>
      <c r="D83" s="11">
        <v>1993000</v>
      </c>
      <c r="E83" s="11">
        <v>0</v>
      </c>
      <c r="F83" s="11">
        <f t="shared" si="10"/>
        <v>5000</v>
      </c>
      <c r="G83" s="17">
        <f t="shared" si="13"/>
        <v>42.19</v>
      </c>
      <c r="H83" s="17">
        <f t="shared" si="14"/>
        <v>0</v>
      </c>
      <c r="I83" s="17">
        <f t="shared" si="15"/>
        <v>0</v>
      </c>
      <c r="J83" s="18">
        <f t="shared" si="16"/>
        <v>0</v>
      </c>
      <c r="K83" s="18">
        <f t="shared" si="17"/>
        <v>0</v>
      </c>
      <c r="L83" s="18">
        <f t="shared" si="11"/>
        <v>42.19</v>
      </c>
      <c r="M83" s="18">
        <f t="shared" si="18"/>
        <v>0</v>
      </c>
      <c r="N83" s="18">
        <f t="shared" si="12"/>
        <v>42.19</v>
      </c>
      <c r="O83" s="8"/>
    </row>
    <row r="84" spans="1:15">
      <c r="A84" s="1" t="s">
        <v>74</v>
      </c>
      <c r="B84" s="11" t="s">
        <v>138</v>
      </c>
      <c r="C84" s="11">
        <v>0</v>
      </c>
      <c r="D84" s="11">
        <v>0</v>
      </c>
      <c r="E84" s="11">
        <v>0</v>
      </c>
      <c r="F84" s="11">
        <f t="shared" si="10"/>
        <v>0</v>
      </c>
      <c r="G84" s="17">
        <f t="shared" si="13"/>
        <v>12.41</v>
      </c>
      <c r="H84" s="17">
        <f t="shared" si="14"/>
        <v>0</v>
      </c>
      <c r="I84" s="17">
        <f t="shared" si="15"/>
        <v>0</v>
      </c>
      <c r="J84" s="18">
        <f t="shared" si="16"/>
        <v>0</v>
      </c>
      <c r="K84" s="18">
        <f t="shared" si="17"/>
        <v>0</v>
      </c>
      <c r="L84" s="18">
        <f t="shared" si="11"/>
        <v>12.41</v>
      </c>
      <c r="M84" s="18">
        <f t="shared" si="18"/>
        <v>0</v>
      </c>
      <c r="N84" s="18">
        <f t="shared" si="12"/>
        <v>12.41</v>
      </c>
      <c r="O84" s="8"/>
    </row>
    <row r="85" spans="1:15">
      <c r="A85" s="1" t="s">
        <v>75</v>
      </c>
      <c r="B85" s="11"/>
      <c r="C85" s="11">
        <v>746000</v>
      </c>
      <c r="D85" s="11">
        <v>749000</v>
      </c>
      <c r="E85" s="11">
        <v>0</v>
      </c>
      <c r="F85" s="11">
        <f t="shared" si="10"/>
        <v>3000</v>
      </c>
      <c r="G85" s="17">
        <f t="shared" si="13"/>
        <v>42.19</v>
      </c>
      <c r="H85" s="17">
        <f t="shared" si="14"/>
        <v>0</v>
      </c>
      <c r="I85" s="17">
        <f t="shared" si="15"/>
        <v>0</v>
      </c>
      <c r="J85" s="18">
        <f t="shared" si="16"/>
        <v>0</v>
      </c>
      <c r="K85" s="18">
        <f t="shared" si="17"/>
        <v>0</v>
      </c>
      <c r="L85" s="18">
        <f t="shared" si="11"/>
        <v>42.19</v>
      </c>
      <c r="M85" s="18">
        <f t="shared" si="18"/>
        <v>0</v>
      </c>
      <c r="N85" s="18">
        <f t="shared" si="12"/>
        <v>42.19</v>
      </c>
      <c r="O85" s="8"/>
    </row>
    <row r="86" spans="1:15">
      <c r="A86" s="1" t="s">
        <v>76</v>
      </c>
      <c r="B86" s="11"/>
      <c r="C86" s="11">
        <v>191000</v>
      </c>
      <c r="D86" s="11">
        <v>247000</v>
      </c>
      <c r="E86" s="11">
        <v>0</v>
      </c>
      <c r="F86" s="11">
        <f t="shared" si="10"/>
        <v>56000</v>
      </c>
      <c r="G86" s="17">
        <f t="shared" si="13"/>
        <v>42.19</v>
      </c>
      <c r="H86" s="17">
        <f t="shared" si="14"/>
        <v>23</v>
      </c>
      <c r="I86" s="17">
        <f t="shared" si="15"/>
        <v>26.7</v>
      </c>
      <c r="J86" s="18">
        <f t="shared" si="16"/>
        <v>31</v>
      </c>
      <c r="K86" s="18">
        <f t="shared" si="17"/>
        <v>57.6</v>
      </c>
      <c r="L86" s="18">
        <f t="shared" si="11"/>
        <v>180.49</v>
      </c>
      <c r="M86" s="18">
        <f t="shared" si="18"/>
        <v>0</v>
      </c>
      <c r="N86" s="18">
        <f t="shared" si="12"/>
        <v>180.49</v>
      </c>
      <c r="O86" s="8" t="s">
        <v>139</v>
      </c>
    </row>
    <row r="87" spans="1:15">
      <c r="A87" s="1" t="s">
        <v>77</v>
      </c>
      <c r="B87" s="11"/>
      <c r="C87" s="11">
        <v>126000</v>
      </c>
      <c r="D87" s="11">
        <v>132000</v>
      </c>
      <c r="E87" s="11">
        <v>0</v>
      </c>
      <c r="F87" s="11">
        <f t="shared" si="10"/>
        <v>6000</v>
      </c>
      <c r="G87" s="17">
        <f t="shared" si="13"/>
        <v>42.19</v>
      </c>
      <c r="H87" s="17">
        <f t="shared" si="14"/>
        <v>0</v>
      </c>
      <c r="I87" s="17">
        <f t="shared" si="15"/>
        <v>0</v>
      </c>
      <c r="J87" s="18">
        <f t="shared" si="16"/>
        <v>0</v>
      </c>
      <c r="K87" s="18">
        <f t="shared" si="17"/>
        <v>0</v>
      </c>
      <c r="L87" s="18">
        <f t="shared" si="11"/>
        <v>42.19</v>
      </c>
      <c r="M87" s="18">
        <f t="shared" si="18"/>
        <v>0</v>
      </c>
      <c r="N87" s="18">
        <f t="shared" si="12"/>
        <v>42.19</v>
      </c>
      <c r="O87" s="8"/>
    </row>
    <row r="88" spans="1:15">
      <c r="A88" s="1" t="s">
        <v>78</v>
      </c>
      <c r="B88" s="11"/>
      <c r="C88" s="11">
        <v>1291000</v>
      </c>
      <c r="D88" s="11">
        <v>1367000</v>
      </c>
      <c r="E88" s="11">
        <v>0</v>
      </c>
      <c r="F88" s="11">
        <f t="shared" si="10"/>
        <v>76000</v>
      </c>
      <c r="G88" s="17">
        <f t="shared" si="13"/>
        <v>42.19</v>
      </c>
      <c r="H88" s="17">
        <f t="shared" si="14"/>
        <v>23</v>
      </c>
      <c r="I88" s="17">
        <f t="shared" si="15"/>
        <v>26.7</v>
      </c>
      <c r="J88" s="18">
        <f t="shared" si="16"/>
        <v>31</v>
      </c>
      <c r="K88" s="18">
        <f t="shared" si="17"/>
        <v>129.6</v>
      </c>
      <c r="L88" s="18">
        <f t="shared" si="11"/>
        <v>252.49</v>
      </c>
      <c r="M88" s="18">
        <f t="shared" si="18"/>
        <v>0</v>
      </c>
      <c r="N88" s="18">
        <f t="shared" si="12"/>
        <v>252.49</v>
      </c>
      <c r="O88" s="8"/>
    </row>
    <row r="89" spans="1:15">
      <c r="A89" s="1" t="s">
        <v>79</v>
      </c>
      <c r="B89" s="11"/>
      <c r="C89" s="11">
        <v>3469000</v>
      </c>
      <c r="D89" s="11">
        <v>3486000</v>
      </c>
      <c r="E89" s="11">
        <v>0</v>
      </c>
      <c r="F89" s="11">
        <f t="shared" si="10"/>
        <v>17000</v>
      </c>
      <c r="G89" s="17">
        <f t="shared" si="13"/>
        <v>42.19</v>
      </c>
      <c r="H89" s="17">
        <f t="shared" si="14"/>
        <v>16.099999999999998</v>
      </c>
      <c r="I89" s="17">
        <f t="shared" si="15"/>
        <v>0</v>
      </c>
      <c r="J89" s="18">
        <f t="shared" si="16"/>
        <v>0</v>
      </c>
      <c r="K89" s="18">
        <f t="shared" si="17"/>
        <v>0</v>
      </c>
      <c r="L89" s="18">
        <f t="shared" si="11"/>
        <v>58.289999999999992</v>
      </c>
      <c r="M89" s="18">
        <f t="shared" si="18"/>
        <v>0</v>
      </c>
      <c r="N89" s="18">
        <f t="shared" si="12"/>
        <v>58.289999999999992</v>
      </c>
      <c r="O89" s="8"/>
    </row>
    <row r="90" spans="1:15">
      <c r="A90" s="1" t="s">
        <v>80</v>
      </c>
      <c r="B90" s="11"/>
      <c r="C90" s="11">
        <v>3040000</v>
      </c>
      <c r="D90" s="11">
        <v>3044000</v>
      </c>
      <c r="E90" s="11">
        <v>0</v>
      </c>
      <c r="F90" s="11">
        <f t="shared" si="10"/>
        <v>4000</v>
      </c>
      <c r="G90" s="17">
        <f t="shared" si="13"/>
        <v>42.19</v>
      </c>
      <c r="H90" s="17">
        <f t="shared" si="14"/>
        <v>0</v>
      </c>
      <c r="I90" s="17">
        <f t="shared" si="15"/>
        <v>0</v>
      </c>
      <c r="J90" s="18">
        <f t="shared" si="16"/>
        <v>0</v>
      </c>
      <c r="K90" s="18">
        <f t="shared" si="17"/>
        <v>0</v>
      </c>
      <c r="L90" s="18">
        <f t="shared" si="11"/>
        <v>42.19</v>
      </c>
      <c r="M90" s="18">
        <f t="shared" si="18"/>
        <v>0</v>
      </c>
      <c r="N90" s="18">
        <f t="shared" si="12"/>
        <v>42.19</v>
      </c>
      <c r="O90" s="8"/>
    </row>
    <row r="91" spans="1:15">
      <c r="A91" s="1" t="s">
        <v>81</v>
      </c>
      <c r="B91" s="11" t="s">
        <v>138</v>
      </c>
      <c r="C91" s="11">
        <v>0</v>
      </c>
      <c r="D91" s="11">
        <v>0</v>
      </c>
      <c r="E91" s="11">
        <v>0</v>
      </c>
      <c r="F91" s="11">
        <f t="shared" si="10"/>
        <v>0</v>
      </c>
      <c r="G91" s="17">
        <f t="shared" si="13"/>
        <v>12.41</v>
      </c>
      <c r="H91" s="17">
        <f t="shared" si="14"/>
        <v>0</v>
      </c>
      <c r="I91" s="17">
        <f t="shared" si="15"/>
        <v>0</v>
      </c>
      <c r="J91" s="18">
        <f t="shared" si="16"/>
        <v>0</v>
      </c>
      <c r="K91" s="18">
        <f t="shared" si="17"/>
        <v>0</v>
      </c>
      <c r="L91" s="18">
        <f t="shared" si="11"/>
        <v>12.41</v>
      </c>
      <c r="M91" s="18">
        <f t="shared" si="18"/>
        <v>0</v>
      </c>
      <c r="N91" s="18">
        <f t="shared" si="12"/>
        <v>12.41</v>
      </c>
      <c r="O91" s="8"/>
    </row>
    <row r="92" spans="1:15">
      <c r="A92" s="1" t="s">
        <v>82</v>
      </c>
      <c r="B92" s="11"/>
      <c r="C92" s="11">
        <v>3294000</v>
      </c>
      <c r="D92" s="11">
        <v>3364000</v>
      </c>
      <c r="E92" s="11">
        <v>0</v>
      </c>
      <c r="F92" s="11">
        <f t="shared" si="10"/>
        <v>70000</v>
      </c>
      <c r="G92" s="17">
        <f t="shared" si="13"/>
        <v>42.19</v>
      </c>
      <c r="H92" s="17">
        <f t="shared" si="14"/>
        <v>23</v>
      </c>
      <c r="I92" s="17">
        <f t="shared" si="15"/>
        <v>26.7</v>
      </c>
      <c r="J92" s="18">
        <f t="shared" si="16"/>
        <v>31</v>
      </c>
      <c r="K92" s="18">
        <f t="shared" si="17"/>
        <v>108</v>
      </c>
      <c r="L92" s="18">
        <f t="shared" si="11"/>
        <v>230.89</v>
      </c>
      <c r="M92" s="18">
        <f t="shared" si="18"/>
        <v>0</v>
      </c>
      <c r="N92" s="18">
        <f t="shared" si="12"/>
        <v>230.89</v>
      </c>
      <c r="O92" s="8"/>
    </row>
    <row r="93" spans="1:15">
      <c r="A93" s="1" t="s">
        <v>83</v>
      </c>
      <c r="B93" s="11"/>
      <c r="C93" s="11">
        <v>7608000</v>
      </c>
      <c r="D93" s="11">
        <v>7721000</v>
      </c>
      <c r="E93" s="11">
        <v>0</v>
      </c>
      <c r="F93" s="11">
        <f t="shared" si="10"/>
        <v>113000</v>
      </c>
      <c r="G93" s="17">
        <f t="shared" si="13"/>
        <v>42.19</v>
      </c>
      <c r="H93" s="17">
        <f t="shared" si="14"/>
        <v>23</v>
      </c>
      <c r="I93" s="17">
        <f t="shared" si="15"/>
        <v>26.7</v>
      </c>
      <c r="J93" s="18">
        <f t="shared" si="16"/>
        <v>31</v>
      </c>
      <c r="K93" s="18">
        <f t="shared" si="17"/>
        <v>262.8</v>
      </c>
      <c r="L93" s="18">
        <f t="shared" si="11"/>
        <v>385.69</v>
      </c>
      <c r="M93" s="18">
        <f t="shared" si="18"/>
        <v>0</v>
      </c>
      <c r="N93" s="18">
        <f t="shared" si="12"/>
        <v>385.69</v>
      </c>
      <c r="O93" s="8"/>
    </row>
    <row r="94" spans="1:15">
      <c r="A94" s="1" t="s">
        <v>84</v>
      </c>
      <c r="B94" s="11"/>
      <c r="C94" s="11">
        <v>3800000</v>
      </c>
      <c r="D94" s="11">
        <v>3800000</v>
      </c>
      <c r="E94" s="11">
        <v>0</v>
      </c>
      <c r="F94" s="11">
        <f t="shared" si="10"/>
        <v>0</v>
      </c>
      <c r="G94" s="17">
        <f t="shared" si="13"/>
        <v>42.19</v>
      </c>
      <c r="H94" s="17">
        <f t="shared" si="14"/>
        <v>0</v>
      </c>
      <c r="I94" s="17">
        <f t="shared" si="15"/>
        <v>0</v>
      </c>
      <c r="J94" s="18">
        <f t="shared" si="16"/>
        <v>0</v>
      </c>
      <c r="K94" s="18">
        <f t="shared" si="17"/>
        <v>0</v>
      </c>
      <c r="L94" s="18">
        <f t="shared" si="11"/>
        <v>42.19</v>
      </c>
      <c r="M94" s="18">
        <f t="shared" si="18"/>
        <v>0</v>
      </c>
      <c r="N94" s="18">
        <f t="shared" si="12"/>
        <v>42.19</v>
      </c>
      <c r="O94" s="8"/>
    </row>
    <row r="95" spans="1:15">
      <c r="A95" s="1" t="s">
        <v>85</v>
      </c>
      <c r="B95" s="11"/>
      <c r="C95" s="11">
        <v>2050000</v>
      </c>
      <c r="D95" s="11">
        <v>2084000</v>
      </c>
      <c r="E95" s="11">
        <v>0</v>
      </c>
      <c r="F95" s="11">
        <f t="shared" si="10"/>
        <v>34000</v>
      </c>
      <c r="G95" s="17">
        <f t="shared" si="13"/>
        <v>42.19</v>
      </c>
      <c r="H95" s="17">
        <f t="shared" si="14"/>
        <v>23</v>
      </c>
      <c r="I95" s="17">
        <f t="shared" si="15"/>
        <v>26.7</v>
      </c>
      <c r="J95" s="18">
        <f t="shared" si="16"/>
        <v>12.4</v>
      </c>
      <c r="K95" s="18">
        <f t="shared" si="17"/>
        <v>0</v>
      </c>
      <c r="L95" s="18">
        <f t="shared" si="11"/>
        <v>104.29</v>
      </c>
      <c r="M95" s="18">
        <f t="shared" si="18"/>
        <v>0</v>
      </c>
      <c r="N95" s="18">
        <f t="shared" si="12"/>
        <v>104.29</v>
      </c>
      <c r="O95" s="8"/>
    </row>
    <row r="96" spans="1:15">
      <c r="A96" s="1" t="s">
        <v>86</v>
      </c>
      <c r="B96" s="11"/>
      <c r="C96" s="11">
        <v>1873000</v>
      </c>
      <c r="D96" s="11">
        <v>1875000</v>
      </c>
      <c r="E96" s="11">
        <v>0</v>
      </c>
      <c r="F96" s="11">
        <f t="shared" si="10"/>
        <v>2000</v>
      </c>
      <c r="G96" s="17">
        <f t="shared" si="13"/>
        <v>42.19</v>
      </c>
      <c r="H96" s="17">
        <f t="shared" si="14"/>
        <v>0</v>
      </c>
      <c r="I96" s="17">
        <f t="shared" si="15"/>
        <v>0</v>
      </c>
      <c r="J96" s="18">
        <f t="shared" si="16"/>
        <v>0</v>
      </c>
      <c r="K96" s="18">
        <f t="shared" si="17"/>
        <v>0</v>
      </c>
      <c r="L96" s="18">
        <f t="shared" si="11"/>
        <v>42.19</v>
      </c>
      <c r="M96" s="18">
        <f t="shared" si="18"/>
        <v>0</v>
      </c>
      <c r="N96" s="18">
        <f t="shared" si="12"/>
        <v>42.19</v>
      </c>
      <c r="O96" s="8"/>
    </row>
    <row r="97" spans="1:15">
      <c r="A97" s="1" t="s">
        <v>87</v>
      </c>
      <c r="B97" s="11" t="s">
        <v>138</v>
      </c>
      <c r="C97" s="11">
        <v>0</v>
      </c>
      <c r="D97" s="11">
        <v>0</v>
      </c>
      <c r="E97" s="11">
        <v>0</v>
      </c>
      <c r="F97" s="11">
        <f t="shared" si="10"/>
        <v>0</v>
      </c>
      <c r="G97" s="17">
        <f t="shared" si="13"/>
        <v>12.41</v>
      </c>
      <c r="H97" s="17">
        <f t="shared" si="14"/>
        <v>0</v>
      </c>
      <c r="I97" s="17">
        <f t="shared" si="15"/>
        <v>0</v>
      </c>
      <c r="J97" s="18">
        <f t="shared" si="16"/>
        <v>0</v>
      </c>
      <c r="K97" s="18">
        <f t="shared" si="17"/>
        <v>0</v>
      </c>
      <c r="L97" s="18">
        <f t="shared" si="11"/>
        <v>12.41</v>
      </c>
      <c r="M97" s="18">
        <f t="shared" si="18"/>
        <v>0</v>
      </c>
      <c r="N97" s="18">
        <f t="shared" si="12"/>
        <v>12.41</v>
      </c>
      <c r="O97" s="8"/>
    </row>
    <row r="98" spans="1:15">
      <c r="A98" s="1" t="s">
        <v>88</v>
      </c>
      <c r="B98" s="11"/>
      <c r="C98" s="11">
        <v>1233000</v>
      </c>
      <c r="D98" s="11">
        <v>1256000</v>
      </c>
      <c r="E98" s="11">
        <v>0</v>
      </c>
      <c r="F98" s="11">
        <f t="shared" si="10"/>
        <v>23000</v>
      </c>
      <c r="G98" s="17">
        <f t="shared" si="13"/>
        <v>42.19</v>
      </c>
      <c r="H98" s="17">
        <f t="shared" si="14"/>
        <v>23</v>
      </c>
      <c r="I98" s="17">
        <f t="shared" si="15"/>
        <v>8.01</v>
      </c>
      <c r="J98" s="18">
        <f t="shared" si="16"/>
        <v>0</v>
      </c>
      <c r="K98" s="18">
        <f t="shared" si="17"/>
        <v>0</v>
      </c>
      <c r="L98" s="18">
        <f t="shared" si="11"/>
        <v>73.2</v>
      </c>
      <c r="M98" s="18">
        <f t="shared" si="18"/>
        <v>0</v>
      </c>
      <c r="N98" s="18">
        <f t="shared" si="12"/>
        <v>73.2</v>
      </c>
      <c r="O98" s="8"/>
    </row>
    <row r="99" spans="1:15">
      <c r="A99" s="1" t="s">
        <v>89</v>
      </c>
      <c r="B99" s="11"/>
      <c r="C99" s="11">
        <v>2310000</v>
      </c>
      <c r="D99" s="11">
        <v>2370000</v>
      </c>
      <c r="E99" s="11">
        <v>0</v>
      </c>
      <c r="F99" s="11">
        <f t="shared" si="10"/>
        <v>60000</v>
      </c>
      <c r="G99" s="17">
        <f t="shared" si="13"/>
        <v>42.19</v>
      </c>
      <c r="H99" s="17">
        <f t="shared" si="14"/>
        <v>23</v>
      </c>
      <c r="I99" s="17">
        <f t="shared" si="15"/>
        <v>26.7</v>
      </c>
      <c r="J99" s="18">
        <f t="shared" si="16"/>
        <v>31</v>
      </c>
      <c r="K99" s="18">
        <f t="shared" si="17"/>
        <v>72</v>
      </c>
      <c r="L99" s="18">
        <f t="shared" si="11"/>
        <v>194.89</v>
      </c>
      <c r="M99" s="18">
        <f t="shared" si="18"/>
        <v>0</v>
      </c>
      <c r="N99" s="18">
        <f t="shared" si="12"/>
        <v>194.89</v>
      </c>
      <c r="O99" s="8"/>
    </row>
    <row r="100" spans="1:15">
      <c r="A100" s="1" t="s">
        <v>90</v>
      </c>
      <c r="B100" s="11"/>
      <c r="C100" s="11">
        <v>1255000</v>
      </c>
      <c r="D100" s="11">
        <v>1258000</v>
      </c>
      <c r="E100" s="11">
        <v>0</v>
      </c>
      <c r="F100" s="11">
        <f t="shared" si="10"/>
        <v>3000</v>
      </c>
      <c r="G100" s="17">
        <f t="shared" si="13"/>
        <v>42.19</v>
      </c>
      <c r="H100" s="17">
        <f t="shared" si="14"/>
        <v>0</v>
      </c>
      <c r="I100" s="17">
        <f t="shared" si="15"/>
        <v>0</v>
      </c>
      <c r="J100" s="18">
        <f t="shared" si="16"/>
        <v>0</v>
      </c>
      <c r="K100" s="18">
        <f t="shared" si="17"/>
        <v>0</v>
      </c>
      <c r="L100" s="18">
        <f t="shared" si="11"/>
        <v>42.19</v>
      </c>
      <c r="M100" s="18">
        <f t="shared" si="18"/>
        <v>0</v>
      </c>
      <c r="N100" s="18">
        <f t="shared" si="12"/>
        <v>42.19</v>
      </c>
      <c r="O100" s="8"/>
    </row>
    <row r="101" spans="1:15">
      <c r="A101" s="1" t="s">
        <v>91</v>
      </c>
      <c r="B101" s="11"/>
      <c r="C101" s="11">
        <v>266700</v>
      </c>
      <c r="D101" s="11">
        <v>270200</v>
      </c>
      <c r="E101" s="11">
        <v>0</v>
      </c>
      <c r="F101" s="11">
        <f t="shared" si="10"/>
        <v>3500</v>
      </c>
      <c r="G101" s="17">
        <f t="shared" si="13"/>
        <v>42.19</v>
      </c>
      <c r="H101" s="17">
        <f t="shared" si="14"/>
        <v>0</v>
      </c>
      <c r="I101" s="17">
        <f t="shared" si="15"/>
        <v>0</v>
      </c>
      <c r="J101" s="18">
        <f t="shared" si="16"/>
        <v>0</v>
      </c>
      <c r="K101" s="18">
        <f t="shared" si="17"/>
        <v>0</v>
      </c>
      <c r="L101" s="18">
        <f t="shared" si="11"/>
        <v>42.19</v>
      </c>
      <c r="M101" s="18">
        <f t="shared" si="18"/>
        <v>0</v>
      </c>
      <c r="N101" s="18">
        <f t="shared" si="12"/>
        <v>42.19</v>
      </c>
      <c r="O101" s="8"/>
    </row>
    <row r="102" spans="1:15">
      <c r="A102" s="1" t="s">
        <v>92</v>
      </c>
      <c r="B102" s="11"/>
      <c r="C102" s="11">
        <v>2543000</v>
      </c>
      <c r="D102" s="11">
        <v>2550000</v>
      </c>
      <c r="E102" s="11">
        <v>0</v>
      </c>
      <c r="F102" s="11">
        <f t="shared" si="10"/>
        <v>7000</v>
      </c>
      <c r="G102" s="17">
        <f t="shared" si="13"/>
        <v>42.19</v>
      </c>
      <c r="H102" s="17">
        <f t="shared" si="14"/>
        <v>0</v>
      </c>
      <c r="I102" s="17">
        <f t="shared" si="15"/>
        <v>0</v>
      </c>
      <c r="J102" s="18">
        <f t="shared" si="16"/>
        <v>0</v>
      </c>
      <c r="K102" s="18">
        <f t="shared" si="17"/>
        <v>0</v>
      </c>
      <c r="L102" s="18">
        <f t="shared" si="11"/>
        <v>42.19</v>
      </c>
      <c r="M102" s="18">
        <f t="shared" si="18"/>
        <v>0</v>
      </c>
      <c r="N102" s="18">
        <f t="shared" si="12"/>
        <v>42.19</v>
      </c>
      <c r="O102" s="8"/>
    </row>
    <row r="103" spans="1:15">
      <c r="A103" s="1" t="s">
        <v>93</v>
      </c>
      <c r="B103" s="11" t="s">
        <v>138</v>
      </c>
      <c r="C103" s="11">
        <v>0</v>
      </c>
      <c r="D103" s="11">
        <v>0</v>
      </c>
      <c r="E103" s="11">
        <v>0</v>
      </c>
      <c r="F103" s="11">
        <f t="shared" si="10"/>
        <v>0</v>
      </c>
      <c r="G103" s="17">
        <f t="shared" si="13"/>
        <v>12.41</v>
      </c>
      <c r="H103" s="17">
        <f t="shared" si="14"/>
        <v>0</v>
      </c>
      <c r="I103" s="17">
        <f t="shared" si="15"/>
        <v>0</v>
      </c>
      <c r="J103" s="18">
        <f t="shared" si="16"/>
        <v>0</v>
      </c>
      <c r="K103" s="18">
        <f t="shared" si="17"/>
        <v>0</v>
      </c>
      <c r="L103" s="18">
        <f t="shared" si="11"/>
        <v>12.41</v>
      </c>
      <c r="M103" s="18">
        <f t="shared" si="18"/>
        <v>0</v>
      </c>
      <c r="N103" s="18">
        <f t="shared" si="12"/>
        <v>12.41</v>
      </c>
      <c r="O103" s="8"/>
    </row>
    <row r="104" spans="1:15">
      <c r="A104" s="1" t="s">
        <v>94</v>
      </c>
      <c r="B104" s="11" t="s">
        <v>138</v>
      </c>
      <c r="C104" s="11">
        <v>0</v>
      </c>
      <c r="D104" s="11">
        <v>0</v>
      </c>
      <c r="E104" s="11">
        <v>0</v>
      </c>
      <c r="F104" s="11">
        <f t="shared" si="10"/>
        <v>0</v>
      </c>
      <c r="G104" s="17">
        <f t="shared" si="13"/>
        <v>12.41</v>
      </c>
      <c r="H104" s="17">
        <f t="shared" si="14"/>
        <v>0</v>
      </c>
      <c r="I104" s="17">
        <f t="shared" si="15"/>
        <v>0</v>
      </c>
      <c r="J104" s="18">
        <f t="shared" si="16"/>
        <v>0</v>
      </c>
      <c r="K104" s="18">
        <f t="shared" si="17"/>
        <v>0</v>
      </c>
      <c r="L104" s="18">
        <f t="shared" si="11"/>
        <v>12.41</v>
      </c>
      <c r="M104" s="18">
        <f t="shared" si="18"/>
        <v>0</v>
      </c>
      <c r="N104" s="18">
        <f t="shared" si="12"/>
        <v>12.41</v>
      </c>
      <c r="O104" s="8"/>
    </row>
    <row r="105" spans="1:15">
      <c r="A105" s="1" t="s">
        <v>95</v>
      </c>
      <c r="B105" s="11" t="s">
        <v>138</v>
      </c>
      <c r="C105" s="11">
        <v>0</v>
      </c>
      <c r="D105" s="11">
        <v>0</v>
      </c>
      <c r="E105" s="11">
        <v>0</v>
      </c>
      <c r="F105" s="11">
        <f t="shared" si="10"/>
        <v>0</v>
      </c>
      <c r="G105" s="17">
        <f t="shared" si="13"/>
        <v>12.41</v>
      </c>
      <c r="H105" s="17">
        <f t="shared" si="14"/>
        <v>0</v>
      </c>
      <c r="I105" s="17">
        <f t="shared" si="15"/>
        <v>0</v>
      </c>
      <c r="J105" s="18">
        <f t="shared" si="16"/>
        <v>0</v>
      </c>
      <c r="K105" s="18">
        <f t="shared" si="17"/>
        <v>0</v>
      </c>
      <c r="L105" s="18">
        <f t="shared" si="11"/>
        <v>12.41</v>
      </c>
      <c r="M105" s="18">
        <f t="shared" si="18"/>
        <v>0</v>
      </c>
      <c r="N105" s="18">
        <f t="shared" si="12"/>
        <v>12.41</v>
      </c>
      <c r="O105" s="8"/>
    </row>
    <row r="106" spans="1:15">
      <c r="A106" s="1" t="s">
        <v>96</v>
      </c>
      <c r="B106" s="11"/>
      <c r="C106" s="11">
        <v>1874000</v>
      </c>
      <c r="D106" s="11">
        <v>1899000</v>
      </c>
      <c r="E106" s="11">
        <v>0</v>
      </c>
      <c r="F106" s="11">
        <f t="shared" si="10"/>
        <v>25000</v>
      </c>
      <c r="G106" s="17">
        <f t="shared" si="13"/>
        <v>42.19</v>
      </c>
      <c r="H106" s="17">
        <f t="shared" si="14"/>
        <v>23</v>
      </c>
      <c r="I106" s="17">
        <f t="shared" si="15"/>
        <v>13.35</v>
      </c>
      <c r="J106" s="18">
        <f t="shared" si="16"/>
        <v>0</v>
      </c>
      <c r="K106" s="18">
        <f t="shared" si="17"/>
        <v>0</v>
      </c>
      <c r="L106" s="18">
        <f t="shared" si="11"/>
        <v>78.539999999999992</v>
      </c>
      <c r="M106" s="18">
        <f t="shared" si="18"/>
        <v>0</v>
      </c>
      <c r="N106" s="18">
        <f t="shared" si="12"/>
        <v>78.539999999999992</v>
      </c>
      <c r="O106" s="8"/>
    </row>
    <row r="107" spans="1:15">
      <c r="A107" s="1" t="s">
        <v>97</v>
      </c>
      <c r="B107" s="11" t="s">
        <v>138</v>
      </c>
      <c r="C107" s="11">
        <v>0</v>
      </c>
      <c r="D107" s="11">
        <v>0</v>
      </c>
      <c r="E107" s="11">
        <v>0</v>
      </c>
      <c r="F107" s="11">
        <f t="shared" si="10"/>
        <v>0</v>
      </c>
      <c r="G107" s="17">
        <f t="shared" si="13"/>
        <v>12.41</v>
      </c>
      <c r="H107" s="17">
        <f t="shared" si="14"/>
        <v>0</v>
      </c>
      <c r="I107" s="17">
        <f t="shared" si="15"/>
        <v>0</v>
      </c>
      <c r="J107" s="18">
        <f t="shared" si="16"/>
        <v>0</v>
      </c>
      <c r="K107" s="18">
        <f t="shared" si="17"/>
        <v>0</v>
      </c>
      <c r="L107" s="18">
        <f t="shared" si="11"/>
        <v>12.41</v>
      </c>
      <c r="M107" s="18">
        <f t="shared" si="18"/>
        <v>0</v>
      </c>
      <c r="N107" s="18">
        <f t="shared" si="12"/>
        <v>12.41</v>
      </c>
      <c r="O107" s="8"/>
    </row>
    <row r="108" spans="1:15">
      <c r="A108" s="1" t="s">
        <v>98</v>
      </c>
      <c r="B108" s="11" t="s">
        <v>138</v>
      </c>
      <c r="C108" s="11">
        <v>0</v>
      </c>
      <c r="D108" s="11">
        <v>0</v>
      </c>
      <c r="E108" s="11">
        <v>0</v>
      </c>
      <c r="F108" s="11">
        <f t="shared" si="10"/>
        <v>0</v>
      </c>
      <c r="G108" s="17">
        <f t="shared" si="13"/>
        <v>12.41</v>
      </c>
      <c r="H108" s="17">
        <f t="shared" si="14"/>
        <v>0</v>
      </c>
      <c r="I108" s="17">
        <f t="shared" si="15"/>
        <v>0</v>
      </c>
      <c r="J108" s="18">
        <f t="shared" si="16"/>
        <v>0</v>
      </c>
      <c r="K108" s="18">
        <f t="shared" si="17"/>
        <v>0</v>
      </c>
      <c r="L108" s="18">
        <f t="shared" si="11"/>
        <v>12.41</v>
      </c>
      <c r="M108" s="18">
        <f t="shared" si="18"/>
        <v>0</v>
      </c>
      <c r="N108" s="18">
        <f t="shared" si="12"/>
        <v>12.41</v>
      </c>
      <c r="O108" s="8"/>
    </row>
    <row r="109" spans="1:15">
      <c r="A109" s="1" t="s">
        <v>99</v>
      </c>
      <c r="B109" s="11"/>
      <c r="C109" s="11">
        <v>1680000</v>
      </c>
      <c r="D109" s="11">
        <v>1680000</v>
      </c>
      <c r="E109" s="11">
        <v>0</v>
      </c>
      <c r="F109" s="11">
        <f t="shared" si="10"/>
        <v>0</v>
      </c>
      <c r="G109" s="17">
        <f t="shared" si="13"/>
        <v>42.19</v>
      </c>
      <c r="H109" s="17">
        <f t="shared" si="14"/>
        <v>0</v>
      </c>
      <c r="I109" s="17">
        <f t="shared" si="15"/>
        <v>0</v>
      </c>
      <c r="J109" s="18">
        <f t="shared" si="16"/>
        <v>0</v>
      </c>
      <c r="K109" s="18">
        <f t="shared" si="17"/>
        <v>0</v>
      </c>
      <c r="L109" s="18">
        <f t="shared" si="11"/>
        <v>42.19</v>
      </c>
      <c r="M109" s="18">
        <f t="shared" si="18"/>
        <v>0</v>
      </c>
      <c r="N109" s="18">
        <f t="shared" si="12"/>
        <v>42.19</v>
      </c>
      <c r="O109" s="8"/>
    </row>
    <row r="110" spans="1:15">
      <c r="A110" s="1" t="s">
        <v>100</v>
      </c>
      <c r="B110" s="11"/>
      <c r="C110" s="11">
        <v>538000</v>
      </c>
      <c r="D110" s="11">
        <v>546000</v>
      </c>
      <c r="E110" s="11">
        <v>0</v>
      </c>
      <c r="F110" s="11">
        <f t="shared" si="10"/>
        <v>8000</v>
      </c>
      <c r="G110" s="17">
        <f t="shared" si="13"/>
        <v>42.19</v>
      </c>
      <c r="H110" s="17">
        <f t="shared" si="14"/>
        <v>0</v>
      </c>
      <c r="I110" s="17">
        <f t="shared" si="15"/>
        <v>0</v>
      </c>
      <c r="J110" s="18">
        <f t="shared" si="16"/>
        <v>0</v>
      </c>
      <c r="K110" s="18">
        <f t="shared" si="17"/>
        <v>0</v>
      </c>
      <c r="L110" s="18">
        <f t="shared" si="11"/>
        <v>42.19</v>
      </c>
      <c r="M110" s="18">
        <f t="shared" si="18"/>
        <v>0</v>
      </c>
      <c r="N110" s="18">
        <f t="shared" si="12"/>
        <v>42.19</v>
      </c>
      <c r="O110" s="8"/>
    </row>
    <row r="111" spans="1:15">
      <c r="A111" s="1" t="s">
        <v>101</v>
      </c>
      <c r="B111" s="11"/>
      <c r="C111" s="11">
        <v>4571000</v>
      </c>
      <c r="D111" s="11">
        <v>4603000</v>
      </c>
      <c r="E111" s="11">
        <v>0</v>
      </c>
      <c r="F111" s="11">
        <f t="shared" si="10"/>
        <v>32000</v>
      </c>
      <c r="G111" s="17">
        <f t="shared" si="13"/>
        <v>42.19</v>
      </c>
      <c r="H111" s="17">
        <f t="shared" si="14"/>
        <v>23</v>
      </c>
      <c r="I111" s="17">
        <f t="shared" si="15"/>
        <v>26.7</v>
      </c>
      <c r="J111" s="18">
        <f t="shared" si="16"/>
        <v>6.2</v>
      </c>
      <c r="K111" s="18">
        <f t="shared" si="17"/>
        <v>0</v>
      </c>
      <c r="L111" s="18">
        <f t="shared" si="11"/>
        <v>98.09</v>
      </c>
      <c r="M111" s="18">
        <f t="shared" si="18"/>
        <v>0</v>
      </c>
      <c r="N111" s="18">
        <f t="shared" si="12"/>
        <v>98.09</v>
      </c>
      <c r="O111" s="8"/>
    </row>
    <row r="112" spans="1:15">
      <c r="A112" s="1" t="s">
        <v>102</v>
      </c>
      <c r="B112" s="11" t="s">
        <v>138</v>
      </c>
      <c r="C112" s="11">
        <v>0</v>
      </c>
      <c r="D112" s="11">
        <v>0</v>
      </c>
      <c r="E112" s="11">
        <v>0</v>
      </c>
      <c r="F112" s="11">
        <f t="shared" si="10"/>
        <v>0</v>
      </c>
      <c r="G112" s="17">
        <f t="shared" si="13"/>
        <v>12.41</v>
      </c>
      <c r="H112" s="17">
        <f t="shared" si="14"/>
        <v>0</v>
      </c>
      <c r="I112" s="17">
        <f t="shared" si="15"/>
        <v>0</v>
      </c>
      <c r="J112" s="18">
        <f t="shared" si="16"/>
        <v>0</v>
      </c>
      <c r="K112" s="18">
        <f t="shared" si="17"/>
        <v>0</v>
      </c>
      <c r="L112" s="18">
        <f t="shared" si="11"/>
        <v>12.41</v>
      </c>
      <c r="M112" s="18">
        <f t="shared" si="18"/>
        <v>0</v>
      </c>
      <c r="N112" s="18">
        <f t="shared" si="12"/>
        <v>12.41</v>
      </c>
      <c r="O112" s="8"/>
    </row>
    <row r="113" spans="1:15">
      <c r="A113" s="1" t="s">
        <v>103</v>
      </c>
      <c r="B113" s="11"/>
      <c r="C113" s="11">
        <v>1261000</v>
      </c>
      <c r="D113" s="11">
        <v>1322000</v>
      </c>
      <c r="E113" s="11">
        <v>0</v>
      </c>
      <c r="F113" s="11">
        <f t="shared" si="10"/>
        <v>61000</v>
      </c>
      <c r="G113" s="17">
        <f t="shared" si="13"/>
        <v>42.19</v>
      </c>
      <c r="H113" s="17">
        <f t="shared" si="14"/>
        <v>23</v>
      </c>
      <c r="I113" s="17">
        <f t="shared" si="15"/>
        <v>26.7</v>
      </c>
      <c r="J113" s="18">
        <f t="shared" si="16"/>
        <v>31</v>
      </c>
      <c r="K113" s="18">
        <f t="shared" si="17"/>
        <v>75.600000000000009</v>
      </c>
      <c r="L113" s="18">
        <f t="shared" si="11"/>
        <v>198.49</v>
      </c>
      <c r="M113" s="18">
        <f t="shared" ref="M113:M136" si="19">IF(   $H$5=1,    IF((F113-$H$6)&gt;0,((F113-$H$6)/$P$7)*$E$8,0),   IF(F113&gt;0,(F113/$P$4)*$E$8,0)    )</f>
        <v>0</v>
      </c>
      <c r="N113" s="18">
        <f t="shared" si="12"/>
        <v>198.49</v>
      </c>
      <c r="O113" s="8"/>
    </row>
    <row r="114" spans="1:15">
      <c r="A114" s="1" t="s">
        <v>104</v>
      </c>
      <c r="B114" s="11" t="s">
        <v>138</v>
      </c>
      <c r="C114" s="11">
        <v>0</v>
      </c>
      <c r="D114" s="11">
        <v>0</v>
      </c>
      <c r="E114" s="11">
        <v>0</v>
      </c>
      <c r="F114" s="11">
        <f t="shared" si="10"/>
        <v>0</v>
      </c>
      <c r="G114" s="17">
        <f t="shared" si="13"/>
        <v>12.41</v>
      </c>
      <c r="H114" s="17">
        <f t="shared" si="14"/>
        <v>0</v>
      </c>
      <c r="I114" s="17">
        <f t="shared" si="15"/>
        <v>0</v>
      </c>
      <c r="J114" s="18">
        <f t="shared" si="16"/>
        <v>0</v>
      </c>
      <c r="K114" s="18">
        <f t="shared" si="17"/>
        <v>0</v>
      </c>
      <c r="L114" s="18">
        <f t="shared" si="11"/>
        <v>12.41</v>
      </c>
      <c r="M114" s="18">
        <f t="shared" si="19"/>
        <v>0</v>
      </c>
      <c r="N114" s="18">
        <f t="shared" si="12"/>
        <v>12.41</v>
      </c>
      <c r="O114" s="8"/>
    </row>
    <row r="115" spans="1:15">
      <c r="A115" s="1" t="s">
        <v>105</v>
      </c>
      <c r="B115" s="11"/>
      <c r="C115" s="11">
        <v>1502000</v>
      </c>
      <c r="D115" s="11">
        <v>1557000</v>
      </c>
      <c r="E115" s="11">
        <v>0</v>
      </c>
      <c r="F115" s="11">
        <f t="shared" si="10"/>
        <v>55000</v>
      </c>
      <c r="G115" s="17">
        <f t="shared" si="13"/>
        <v>42.19</v>
      </c>
      <c r="H115" s="17">
        <f t="shared" si="14"/>
        <v>23</v>
      </c>
      <c r="I115" s="17">
        <f t="shared" si="15"/>
        <v>26.7</v>
      </c>
      <c r="J115" s="18">
        <f t="shared" si="16"/>
        <v>31</v>
      </c>
      <c r="K115" s="18">
        <f t="shared" si="17"/>
        <v>54</v>
      </c>
      <c r="L115" s="18">
        <f t="shared" si="11"/>
        <v>176.89</v>
      </c>
      <c r="M115" s="18">
        <f t="shared" si="19"/>
        <v>0</v>
      </c>
      <c r="N115" s="18">
        <f t="shared" si="12"/>
        <v>176.89</v>
      </c>
      <c r="O115" s="8"/>
    </row>
    <row r="116" spans="1:15">
      <c r="A116" s="1" t="s">
        <v>106</v>
      </c>
      <c r="B116" s="11"/>
      <c r="C116" s="11">
        <v>1797000</v>
      </c>
      <c r="D116" s="11">
        <v>1799000</v>
      </c>
      <c r="E116" s="11">
        <v>0</v>
      </c>
      <c r="F116" s="11">
        <f t="shared" si="10"/>
        <v>2000</v>
      </c>
      <c r="G116" s="17">
        <f t="shared" si="13"/>
        <v>42.19</v>
      </c>
      <c r="H116" s="17">
        <f t="shared" si="14"/>
        <v>0</v>
      </c>
      <c r="I116" s="17">
        <f t="shared" si="15"/>
        <v>0</v>
      </c>
      <c r="J116" s="18">
        <f t="shared" si="16"/>
        <v>0</v>
      </c>
      <c r="K116" s="18">
        <f t="shared" si="17"/>
        <v>0</v>
      </c>
      <c r="L116" s="18">
        <f t="shared" si="11"/>
        <v>42.19</v>
      </c>
      <c r="M116" s="18">
        <f t="shared" si="19"/>
        <v>0</v>
      </c>
      <c r="N116" s="18">
        <f t="shared" si="12"/>
        <v>42.19</v>
      </c>
      <c r="O116" s="8"/>
    </row>
    <row r="117" spans="1:15">
      <c r="A117" s="1" t="s">
        <v>107</v>
      </c>
      <c r="B117" s="11"/>
      <c r="C117" s="11">
        <v>333000</v>
      </c>
      <c r="D117" s="11">
        <v>335000</v>
      </c>
      <c r="E117" s="11">
        <v>0</v>
      </c>
      <c r="F117" s="11">
        <f t="shared" si="10"/>
        <v>2000</v>
      </c>
      <c r="G117" s="17">
        <f t="shared" si="13"/>
        <v>42.19</v>
      </c>
      <c r="H117" s="17">
        <f t="shared" si="14"/>
        <v>0</v>
      </c>
      <c r="I117" s="17">
        <f t="shared" si="15"/>
        <v>0</v>
      </c>
      <c r="J117" s="18">
        <f t="shared" si="16"/>
        <v>0</v>
      </c>
      <c r="K117" s="18">
        <f t="shared" si="17"/>
        <v>0</v>
      </c>
      <c r="L117" s="18">
        <f t="shared" si="11"/>
        <v>42.19</v>
      </c>
      <c r="M117" s="18">
        <f t="shared" si="19"/>
        <v>0</v>
      </c>
      <c r="N117" s="18">
        <f t="shared" si="12"/>
        <v>42.19</v>
      </c>
      <c r="O117" s="8"/>
    </row>
    <row r="118" spans="1:15">
      <c r="A118" s="1" t="s">
        <v>108</v>
      </c>
      <c r="B118" s="11"/>
      <c r="C118" s="11">
        <v>2645000</v>
      </c>
      <c r="D118" s="11">
        <v>2675000</v>
      </c>
      <c r="E118" s="11">
        <v>0</v>
      </c>
      <c r="F118" s="11">
        <f t="shared" si="10"/>
        <v>30000</v>
      </c>
      <c r="G118" s="17">
        <f t="shared" si="13"/>
        <v>42.19</v>
      </c>
      <c r="H118" s="17">
        <f t="shared" si="14"/>
        <v>23</v>
      </c>
      <c r="I118" s="17">
        <f t="shared" si="15"/>
        <v>26.7</v>
      </c>
      <c r="J118" s="18">
        <f t="shared" si="16"/>
        <v>0</v>
      </c>
      <c r="K118" s="18">
        <f t="shared" si="17"/>
        <v>0</v>
      </c>
      <c r="L118" s="18">
        <f t="shared" si="11"/>
        <v>91.89</v>
      </c>
      <c r="M118" s="18">
        <f t="shared" si="19"/>
        <v>0</v>
      </c>
      <c r="N118" s="18">
        <f t="shared" si="12"/>
        <v>91.89</v>
      </c>
      <c r="O118" s="8"/>
    </row>
    <row r="119" spans="1:15">
      <c r="A119" s="1" t="s">
        <v>109</v>
      </c>
      <c r="B119" s="11" t="s">
        <v>138</v>
      </c>
      <c r="C119" s="11">
        <v>0</v>
      </c>
      <c r="D119" s="11">
        <v>0</v>
      </c>
      <c r="E119" s="11">
        <v>0</v>
      </c>
      <c r="F119" s="11">
        <f t="shared" si="10"/>
        <v>0</v>
      </c>
      <c r="G119" s="17">
        <f t="shared" si="13"/>
        <v>12.41</v>
      </c>
      <c r="H119" s="17">
        <f t="shared" si="14"/>
        <v>0</v>
      </c>
      <c r="I119" s="17">
        <f t="shared" si="15"/>
        <v>0</v>
      </c>
      <c r="J119" s="18">
        <f t="shared" si="16"/>
        <v>0</v>
      </c>
      <c r="K119" s="18">
        <f t="shared" si="17"/>
        <v>0</v>
      </c>
      <c r="L119" s="18">
        <f t="shared" si="11"/>
        <v>12.41</v>
      </c>
      <c r="M119" s="18">
        <f t="shared" si="19"/>
        <v>0</v>
      </c>
      <c r="N119" s="18">
        <f t="shared" si="12"/>
        <v>12.41</v>
      </c>
      <c r="O119" s="8"/>
    </row>
    <row r="120" spans="1:15">
      <c r="A120" s="1" t="s">
        <v>110</v>
      </c>
      <c r="B120" s="11"/>
      <c r="C120" s="11">
        <v>3851000</v>
      </c>
      <c r="D120" s="11">
        <v>3862000</v>
      </c>
      <c r="E120" s="11">
        <v>0</v>
      </c>
      <c r="F120" s="11">
        <f t="shared" si="10"/>
        <v>11000</v>
      </c>
      <c r="G120" s="17">
        <f t="shared" si="13"/>
        <v>42.19</v>
      </c>
      <c r="H120" s="17">
        <f t="shared" si="14"/>
        <v>2.2999999999999998</v>
      </c>
      <c r="I120" s="17">
        <f t="shared" si="15"/>
        <v>0</v>
      </c>
      <c r="J120" s="18">
        <f t="shared" si="16"/>
        <v>0</v>
      </c>
      <c r="K120" s="18">
        <f t="shared" si="17"/>
        <v>0</v>
      </c>
      <c r="L120" s="18">
        <f t="shared" si="11"/>
        <v>44.489999999999995</v>
      </c>
      <c r="M120" s="18">
        <f t="shared" si="19"/>
        <v>0</v>
      </c>
      <c r="N120" s="18">
        <f t="shared" si="12"/>
        <v>44.489999999999995</v>
      </c>
      <c r="O120" s="8"/>
    </row>
    <row r="121" spans="1:15">
      <c r="A121" s="1" t="s">
        <v>111</v>
      </c>
      <c r="B121" s="11"/>
      <c r="C121" s="11">
        <v>3557000</v>
      </c>
      <c r="D121" s="11">
        <v>3606000</v>
      </c>
      <c r="E121" s="11">
        <v>0</v>
      </c>
      <c r="F121" s="11">
        <f t="shared" si="10"/>
        <v>49000</v>
      </c>
      <c r="G121" s="17">
        <f t="shared" si="13"/>
        <v>42.19</v>
      </c>
      <c r="H121" s="17">
        <f t="shared" si="14"/>
        <v>23</v>
      </c>
      <c r="I121" s="17">
        <f t="shared" si="15"/>
        <v>26.7</v>
      </c>
      <c r="J121" s="18">
        <f t="shared" si="16"/>
        <v>31</v>
      </c>
      <c r="K121" s="18">
        <f t="shared" si="17"/>
        <v>32.4</v>
      </c>
      <c r="L121" s="18">
        <f t="shared" si="11"/>
        <v>155.29</v>
      </c>
      <c r="M121" s="18">
        <f t="shared" si="19"/>
        <v>0</v>
      </c>
      <c r="N121" s="18">
        <f t="shared" si="12"/>
        <v>155.29</v>
      </c>
      <c r="O121" s="8"/>
    </row>
    <row r="122" spans="1:15">
      <c r="A122" s="1" t="s">
        <v>112</v>
      </c>
      <c r="B122" s="11"/>
      <c r="C122" s="11">
        <v>352000</v>
      </c>
      <c r="D122" s="11">
        <v>356000</v>
      </c>
      <c r="E122" s="11">
        <v>0</v>
      </c>
      <c r="F122" s="11">
        <f t="shared" si="10"/>
        <v>4000</v>
      </c>
      <c r="G122" s="17">
        <f t="shared" si="13"/>
        <v>42.19</v>
      </c>
      <c r="H122" s="17">
        <f t="shared" si="14"/>
        <v>0</v>
      </c>
      <c r="I122" s="17">
        <f t="shared" si="15"/>
        <v>0</v>
      </c>
      <c r="J122" s="18">
        <f t="shared" si="16"/>
        <v>0</v>
      </c>
      <c r="K122" s="18">
        <f t="shared" si="17"/>
        <v>0</v>
      </c>
      <c r="L122" s="18">
        <f t="shared" si="11"/>
        <v>42.19</v>
      </c>
      <c r="M122" s="18">
        <f t="shared" si="19"/>
        <v>0</v>
      </c>
      <c r="N122" s="18">
        <f t="shared" si="12"/>
        <v>42.19</v>
      </c>
      <c r="O122" s="8"/>
    </row>
    <row r="123" spans="1:15">
      <c r="A123" s="1" t="s">
        <v>113</v>
      </c>
      <c r="B123" s="11"/>
      <c r="C123" s="11">
        <v>1486000</v>
      </c>
      <c r="D123" s="11">
        <v>1521000</v>
      </c>
      <c r="E123" s="11">
        <v>0</v>
      </c>
      <c r="F123" s="11">
        <f t="shared" si="10"/>
        <v>35000</v>
      </c>
      <c r="G123" s="17">
        <f t="shared" si="13"/>
        <v>42.19</v>
      </c>
      <c r="H123" s="17">
        <f t="shared" si="14"/>
        <v>23</v>
      </c>
      <c r="I123" s="17">
        <f t="shared" si="15"/>
        <v>26.7</v>
      </c>
      <c r="J123" s="18">
        <f t="shared" si="16"/>
        <v>15.5</v>
      </c>
      <c r="K123" s="18">
        <f t="shared" si="17"/>
        <v>0</v>
      </c>
      <c r="L123" s="18">
        <f t="shared" si="11"/>
        <v>107.39</v>
      </c>
      <c r="M123" s="18">
        <f t="shared" si="19"/>
        <v>0</v>
      </c>
      <c r="N123" s="18">
        <f t="shared" si="12"/>
        <v>107.39</v>
      </c>
      <c r="O123" s="8"/>
    </row>
    <row r="124" spans="1:15">
      <c r="A124" s="1" t="s">
        <v>114</v>
      </c>
      <c r="B124" s="11"/>
      <c r="C124" s="11">
        <v>2600000</v>
      </c>
      <c r="D124" s="11">
        <v>2623000</v>
      </c>
      <c r="E124" s="11">
        <v>0</v>
      </c>
      <c r="F124" s="11">
        <f t="shared" si="10"/>
        <v>23000</v>
      </c>
      <c r="G124" s="17">
        <f t="shared" si="13"/>
        <v>42.19</v>
      </c>
      <c r="H124" s="17">
        <f t="shared" si="14"/>
        <v>23</v>
      </c>
      <c r="I124" s="17">
        <f t="shared" si="15"/>
        <v>8.01</v>
      </c>
      <c r="J124" s="18">
        <f t="shared" si="16"/>
        <v>0</v>
      </c>
      <c r="K124" s="18">
        <f t="shared" si="17"/>
        <v>0</v>
      </c>
      <c r="L124" s="18">
        <f t="shared" si="11"/>
        <v>73.2</v>
      </c>
      <c r="M124" s="18">
        <f t="shared" si="19"/>
        <v>0</v>
      </c>
      <c r="N124" s="18">
        <f t="shared" si="12"/>
        <v>73.2</v>
      </c>
      <c r="O124" s="8"/>
    </row>
    <row r="125" spans="1:15">
      <c r="A125" s="1" t="s">
        <v>115</v>
      </c>
      <c r="B125" s="11"/>
      <c r="C125" s="11">
        <v>2529000</v>
      </c>
      <c r="D125" s="11">
        <v>2570000</v>
      </c>
      <c r="E125" s="11">
        <v>0</v>
      </c>
      <c r="F125" s="11">
        <f t="shared" si="10"/>
        <v>41000</v>
      </c>
      <c r="G125" s="17">
        <f t="shared" si="13"/>
        <v>42.19</v>
      </c>
      <c r="H125" s="17">
        <f t="shared" si="14"/>
        <v>23</v>
      </c>
      <c r="I125" s="17">
        <f t="shared" si="15"/>
        <v>26.7</v>
      </c>
      <c r="J125" s="18">
        <f t="shared" si="16"/>
        <v>31</v>
      </c>
      <c r="K125" s="18">
        <f t="shared" si="17"/>
        <v>3.6</v>
      </c>
      <c r="L125" s="18">
        <f t="shared" si="11"/>
        <v>126.49</v>
      </c>
      <c r="M125" s="18">
        <f t="shared" si="19"/>
        <v>0</v>
      </c>
      <c r="N125" s="18">
        <f t="shared" si="12"/>
        <v>126.49</v>
      </c>
      <c r="O125" s="8"/>
    </row>
    <row r="126" spans="1:15">
      <c r="A126" s="1" t="s">
        <v>116</v>
      </c>
      <c r="B126" s="11"/>
      <c r="C126" s="11">
        <v>4266000</v>
      </c>
      <c r="D126" s="11">
        <v>4270000</v>
      </c>
      <c r="E126" s="11">
        <v>0</v>
      </c>
      <c r="F126" s="11">
        <f t="shared" si="10"/>
        <v>4000</v>
      </c>
      <c r="G126" s="17">
        <f t="shared" si="13"/>
        <v>42.19</v>
      </c>
      <c r="H126" s="17">
        <f t="shared" si="14"/>
        <v>0</v>
      </c>
      <c r="I126" s="17">
        <f t="shared" si="15"/>
        <v>0</v>
      </c>
      <c r="J126" s="18">
        <f t="shared" si="16"/>
        <v>0</v>
      </c>
      <c r="K126" s="18">
        <f t="shared" si="17"/>
        <v>0</v>
      </c>
      <c r="L126" s="18">
        <f t="shared" si="11"/>
        <v>42.19</v>
      </c>
      <c r="M126" s="18">
        <f t="shared" si="19"/>
        <v>0</v>
      </c>
      <c r="N126" s="18">
        <f t="shared" si="12"/>
        <v>42.19</v>
      </c>
      <c r="O126" s="8"/>
    </row>
    <row r="127" spans="1:15">
      <c r="A127" s="1" t="s">
        <v>117</v>
      </c>
      <c r="B127" s="11"/>
      <c r="C127" s="11">
        <v>1917000</v>
      </c>
      <c r="D127" s="11">
        <v>1923000</v>
      </c>
      <c r="E127" s="11">
        <v>0</v>
      </c>
      <c r="F127" s="11">
        <f t="shared" si="10"/>
        <v>6000</v>
      </c>
      <c r="G127" s="17">
        <f t="shared" si="13"/>
        <v>42.19</v>
      </c>
      <c r="H127" s="17">
        <f t="shared" si="14"/>
        <v>0</v>
      </c>
      <c r="I127" s="17">
        <f t="shared" si="15"/>
        <v>0</v>
      </c>
      <c r="J127" s="18">
        <f t="shared" si="16"/>
        <v>0</v>
      </c>
      <c r="K127" s="18">
        <f t="shared" si="17"/>
        <v>0</v>
      </c>
      <c r="L127" s="18">
        <f t="shared" si="11"/>
        <v>42.19</v>
      </c>
      <c r="M127" s="18">
        <f t="shared" si="19"/>
        <v>0</v>
      </c>
      <c r="N127" s="18">
        <f t="shared" si="12"/>
        <v>42.19</v>
      </c>
      <c r="O127" s="8"/>
    </row>
    <row r="128" spans="1:15">
      <c r="A128" s="1" t="s">
        <v>118</v>
      </c>
      <c r="B128" s="11"/>
      <c r="C128" s="11">
        <v>35000</v>
      </c>
      <c r="D128" s="11">
        <v>45000</v>
      </c>
      <c r="E128" s="11">
        <v>0</v>
      </c>
      <c r="F128" s="11">
        <f t="shared" si="10"/>
        <v>10000</v>
      </c>
      <c r="G128" s="17">
        <f t="shared" si="13"/>
        <v>42.19</v>
      </c>
      <c r="H128" s="17">
        <f t="shared" si="14"/>
        <v>0</v>
      </c>
      <c r="I128" s="17">
        <f t="shared" si="15"/>
        <v>0</v>
      </c>
      <c r="J128" s="18">
        <f t="shared" si="16"/>
        <v>0</v>
      </c>
      <c r="K128" s="18">
        <f t="shared" si="17"/>
        <v>0</v>
      </c>
      <c r="L128" s="18">
        <f t="shared" si="11"/>
        <v>42.19</v>
      </c>
      <c r="M128" s="18">
        <f t="shared" si="19"/>
        <v>0</v>
      </c>
      <c r="N128" s="18">
        <f t="shared" si="12"/>
        <v>42.19</v>
      </c>
      <c r="O128" s="8" t="s">
        <v>174</v>
      </c>
    </row>
    <row r="129" spans="1:15">
      <c r="A129" s="1" t="s">
        <v>119</v>
      </c>
      <c r="B129" s="11"/>
      <c r="C129" s="11">
        <v>6922000</v>
      </c>
      <c r="D129" s="11">
        <v>7102000</v>
      </c>
      <c r="E129" s="11">
        <v>0</v>
      </c>
      <c r="F129" s="11">
        <f t="shared" si="10"/>
        <v>180000</v>
      </c>
      <c r="G129" s="17">
        <f t="shared" si="13"/>
        <v>42.19</v>
      </c>
      <c r="H129" s="17">
        <f t="shared" si="14"/>
        <v>23</v>
      </c>
      <c r="I129" s="17">
        <f t="shared" si="15"/>
        <v>26.7</v>
      </c>
      <c r="J129" s="18">
        <f t="shared" si="16"/>
        <v>31</v>
      </c>
      <c r="K129" s="18">
        <f t="shared" si="17"/>
        <v>504</v>
      </c>
      <c r="L129" s="18">
        <f t="shared" si="11"/>
        <v>626.89</v>
      </c>
      <c r="M129" s="18">
        <f t="shared" si="19"/>
        <v>0</v>
      </c>
      <c r="N129" s="18">
        <f t="shared" si="12"/>
        <v>626.89</v>
      </c>
      <c r="O129" s="8"/>
    </row>
    <row r="130" spans="1:15">
      <c r="A130" s="1" t="s">
        <v>120</v>
      </c>
      <c r="B130" s="11"/>
      <c r="C130" s="11">
        <v>3714000</v>
      </c>
      <c r="D130" s="11">
        <v>3731000</v>
      </c>
      <c r="E130" s="11">
        <v>0</v>
      </c>
      <c r="F130" s="11">
        <f t="shared" si="10"/>
        <v>17000</v>
      </c>
      <c r="G130" s="17">
        <f t="shared" si="13"/>
        <v>42.19</v>
      </c>
      <c r="H130" s="17">
        <f t="shared" si="14"/>
        <v>16.099999999999998</v>
      </c>
      <c r="I130" s="17">
        <f t="shared" si="15"/>
        <v>0</v>
      </c>
      <c r="J130" s="18">
        <f t="shared" si="16"/>
        <v>0</v>
      </c>
      <c r="K130" s="18">
        <f t="shared" si="17"/>
        <v>0</v>
      </c>
      <c r="L130" s="18">
        <f t="shared" si="11"/>
        <v>58.289999999999992</v>
      </c>
      <c r="M130" s="18">
        <f t="shared" si="19"/>
        <v>0</v>
      </c>
      <c r="N130" s="18">
        <f t="shared" si="12"/>
        <v>58.289999999999992</v>
      </c>
      <c r="O130" s="8"/>
    </row>
    <row r="131" spans="1:15">
      <c r="A131" s="1" t="s">
        <v>121</v>
      </c>
      <c r="B131" s="11" t="s">
        <v>138</v>
      </c>
      <c r="C131" s="11">
        <v>0</v>
      </c>
      <c r="D131" s="11">
        <v>0</v>
      </c>
      <c r="E131" s="11">
        <v>0</v>
      </c>
      <c r="F131" s="11">
        <f t="shared" si="10"/>
        <v>0</v>
      </c>
      <c r="G131" s="17">
        <f t="shared" si="13"/>
        <v>12.41</v>
      </c>
      <c r="H131" s="17">
        <f t="shared" si="14"/>
        <v>0</v>
      </c>
      <c r="I131" s="17">
        <f t="shared" si="15"/>
        <v>0</v>
      </c>
      <c r="J131" s="18">
        <f t="shared" si="16"/>
        <v>0</v>
      </c>
      <c r="K131" s="18">
        <f t="shared" si="17"/>
        <v>0</v>
      </c>
      <c r="L131" s="18">
        <f t="shared" si="11"/>
        <v>12.41</v>
      </c>
      <c r="M131" s="18">
        <f t="shared" si="19"/>
        <v>0</v>
      </c>
      <c r="N131" s="18">
        <f t="shared" si="12"/>
        <v>12.41</v>
      </c>
      <c r="O131" s="8"/>
    </row>
    <row r="132" spans="1:15">
      <c r="A132" s="1" t="s">
        <v>122</v>
      </c>
      <c r="B132" s="11"/>
      <c r="C132" s="11">
        <v>1357000</v>
      </c>
      <c r="D132" s="11">
        <v>1378000</v>
      </c>
      <c r="E132" s="11">
        <v>0</v>
      </c>
      <c r="F132" s="11">
        <f t="shared" si="10"/>
        <v>21000</v>
      </c>
      <c r="G132" s="17">
        <f t="shared" si="13"/>
        <v>42.19</v>
      </c>
      <c r="H132" s="17">
        <f t="shared" si="14"/>
        <v>23</v>
      </c>
      <c r="I132" s="17">
        <f t="shared" si="15"/>
        <v>2.67</v>
      </c>
      <c r="J132" s="18">
        <f t="shared" si="16"/>
        <v>0</v>
      </c>
      <c r="K132" s="18">
        <f t="shared" si="17"/>
        <v>0</v>
      </c>
      <c r="L132" s="18">
        <f t="shared" si="11"/>
        <v>67.86</v>
      </c>
      <c r="M132" s="18">
        <f t="shared" si="19"/>
        <v>0</v>
      </c>
      <c r="N132" s="18">
        <f t="shared" si="12"/>
        <v>67.86</v>
      </c>
      <c r="O132" s="8"/>
    </row>
    <row r="133" spans="1:15">
      <c r="A133" s="1" t="s">
        <v>123</v>
      </c>
      <c r="B133" s="11" t="s">
        <v>138</v>
      </c>
      <c r="C133" s="11">
        <v>0</v>
      </c>
      <c r="D133" s="11">
        <v>0</v>
      </c>
      <c r="E133" s="11">
        <v>0</v>
      </c>
      <c r="F133" s="11">
        <f t="shared" si="10"/>
        <v>0</v>
      </c>
      <c r="G133" s="17">
        <f t="shared" si="13"/>
        <v>12.41</v>
      </c>
      <c r="H133" s="17">
        <f t="shared" si="14"/>
        <v>0</v>
      </c>
      <c r="I133" s="17">
        <f t="shared" si="15"/>
        <v>0</v>
      </c>
      <c r="J133" s="18">
        <f t="shared" si="16"/>
        <v>0</v>
      </c>
      <c r="K133" s="18">
        <f t="shared" si="17"/>
        <v>0</v>
      </c>
      <c r="L133" s="18">
        <f t="shared" si="11"/>
        <v>12.41</v>
      </c>
      <c r="M133" s="18">
        <f t="shared" si="19"/>
        <v>0</v>
      </c>
      <c r="N133" s="18">
        <f t="shared" si="12"/>
        <v>12.41</v>
      </c>
      <c r="O133" s="8"/>
    </row>
    <row r="134" spans="1:15">
      <c r="A134" s="1" t="s">
        <v>124</v>
      </c>
      <c r="B134" s="11" t="s">
        <v>138</v>
      </c>
      <c r="C134" s="11">
        <v>0</v>
      </c>
      <c r="D134" s="11">
        <v>0</v>
      </c>
      <c r="E134" s="11">
        <v>0</v>
      </c>
      <c r="F134" s="11">
        <f t="shared" si="10"/>
        <v>0</v>
      </c>
      <c r="G134" s="17">
        <f t="shared" si="13"/>
        <v>12.41</v>
      </c>
      <c r="H134" s="17">
        <f t="shared" si="14"/>
        <v>0</v>
      </c>
      <c r="I134" s="17">
        <f t="shared" si="15"/>
        <v>0</v>
      </c>
      <c r="J134" s="18">
        <f t="shared" si="16"/>
        <v>0</v>
      </c>
      <c r="K134" s="18">
        <f t="shared" si="17"/>
        <v>0</v>
      </c>
      <c r="L134" s="18">
        <f t="shared" si="11"/>
        <v>12.41</v>
      </c>
      <c r="M134" s="18">
        <f t="shared" si="19"/>
        <v>0</v>
      </c>
      <c r="N134" s="18">
        <f t="shared" si="12"/>
        <v>12.41</v>
      </c>
      <c r="O134" s="8"/>
    </row>
    <row r="135" spans="1:15">
      <c r="A135" s="1" t="s">
        <v>125</v>
      </c>
      <c r="B135" s="11" t="s">
        <v>138</v>
      </c>
      <c r="C135" s="11">
        <v>0</v>
      </c>
      <c r="D135" s="11">
        <v>0</v>
      </c>
      <c r="E135" s="11">
        <v>0</v>
      </c>
      <c r="F135" s="11">
        <f t="shared" si="10"/>
        <v>0</v>
      </c>
      <c r="G135" s="17">
        <f t="shared" si="13"/>
        <v>12.41</v>
      </c>
      <c r="H135" s="17">
        <f t="shared" si="14"/>
        <v>0</v>
      </c>
      <c r="I135" s="17">
        <f t="shared" si="15"/>
        <v>0</v>
      </c>
      <c r="J135" s="18">
        <f t="shared" si="16"/>
        <v>0</v>
      </c>
      <c r="K135" s="18">
        <f t="shared" si="17"/>
        <v>0</v>
      </c>
      <c r="L135" s="18">
        <f t="shared" si="11"/>
        <v>12.41</v>
      </c>
      <c r="M135" s="18">
        <f t="shared" si="19"/>
        <v>0</v>
      </c>
      <c r="N135" s="18">
        <f t="shared" si="12"/>
        <v>12.41</v>
      </c>
      <c r="O135" s="8"/>
    </row>
    <row r="136" spans="1:15">
      <c r="A136" s="1" t="s">
        <v>126</v>
      </c>
      <c r="B136" s="11"/>
      <c r="C136" s="11">
        <v>1104000</v>
      </c>
      <c r="D136" s="11">
        <v>1230000</v>
      </c>
      <c r="E136" s="11">
        <v>0</v>
      </c>
      <c r="F136" s="11">
        <f t="shared" si="10"/>
        <v>126000</v>
      </c>
      <c r="G136" s="17">
        <f t="shared" si="13"/>
        <v>42.19</v>
      </c>
      <c r="H136" s="17">
        <f t="shared" si="14"/>
        <v>23</v>
      </c>
      <c r="I136" s="17">
        <f t="shared" si="15"/>
        <v>26.7</v>
      </c>
      <c r="J136" s="18">
        <f t="shared" si="16"/>
        <v>31</v>
      </c>
      <c r="K136" s="18">
        <f t="shared" si="17"/>
        <v>309.60000000000002</v>
      </c>
      <c r="L136" s="18">
        <f t="shared" si="11"/>
        <v>432.49</v>
      </c>
      <c r="M136" s="18">
        <f t="shared" si="19"/>
        <v>0</v>
      </c>
      <c r="N136" s="18">
        <f t="shared" si="12"/>
        <v>432.49</v>
      </c>
      <c r="O136" s="8"/>
    </row>
    <row r="137" spans="1:15">
      <c r="B137" s="11"/>
      <c r="C137" s="11"/>
      <c r="D137" s="11"/>
      <c r="E137" s="11"/>
      <c r="F137" s="11"/>
      <c r="G137" s="17"/>
      <c r="H137" s="17"/>
      <c r="I137" s="17"/>
      <c r="J137" s="18"/>
      <c r="K137" s="18"/>
      <c r="L137" s="18"/>
      <c r="M137" s="18"/>
      <c r="N137" s="18"/>
      <c r="O137" s="8"/>
    </row>
    <row r="138" spans="1:15">
      <c r="J138" s="1" t="s">
        <v>136</v>
      </c>
      <c r="M138" s="27">
        <f>SUM(M11:M136)</f>
        <v>0</v>
      </c>
      <c r="N138" s="5">
        <f>SUM(N11:N136)</f>
        <v>14112.920000000004</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4000500</v>
      </c>
      <c r="G140" s="75">
        <f t="shared" si="20"/>
        <v>4416.4499999999989</v>
      </c>
      <c r="H140" s="75">
        <f t="shared" si="20"/>
        <v>1612.2899999999997</v>
      </c>
      <c r="I140" s="75">
        <f t="shared" si="20"/>
        <v>1292.2800000000011</v>
      </c>
      <c r="J140" s="75">
        <f t="shared" si="20"/>
        <v>1168.6999999999998</v>
      </c>
      <c r="K140" s="75">
        <f t="shared" si="20"/>
        <v>5623.2000000000016</v>
      </c>
      <c r="L140" s="75">
        <f t="shared" si="20"/>
        <v>14112.920000000004</v>
      </c>
    </row>
    <row r="141" spans="1:15" customFormat="1">
      <c r="A141" t="s">
        <v>250</v>
      </c>
    </row>
    <row r="142" spans="1:15" customFormat="1">
      <c r="D142" t="s">
        <v>248</v>
      </c>
      <c r="E142" t="s">
        <v>148</v>
      </c>
      <c r="F142" s="1"/>
      <c r="G142" t="s">
        <v>258</v>
      </c>
      <c r="H142" t="s">
        <v>166</v>
      </c>
      <c r="I142" t="s">
        <v>167</v>
      </c>
      <c r="J142" t="s">
        <v>169</v>
      </c>
      <c r="K142" t="s">
        <v>252</v>
      </c>
      <c r="L142" t="s">
        <v>251</v>
      </c>
    </row>
    <row r="143" spans="1:15" customFormat="1">
      <c r="A143" t="s">
        <v>254</v>
      </c>
      <c r="D143">
        <v>82</v>
      </c>
      <c r="E143" s="25">
        <f>SUM(M18:M130)</f>
        <v>0</v>
      </c>
      <c r="F143" s="1"/>
      <c r="G143" s="25">
        <f>SUM(G18:G130)-G145</f>
        <v>3459.5800000000027</v>
      </c>
      <c r="H143" s="80">
        <f>SUM(H18:H130)-H145</f>
        <v>1182.2</v>
      </c>
      <c r="I143" s="25">
        <f>SUM(I18:I130)-I145</f>
        <v>1156.1100000000008</v>
      </c>
      <c r="J143" s="25">
        <f>SUM(J18:J130)-J145</f>
        <v>1013.7</v>
      </c>
      <c r="K143" s="25">
        <f>SUM(K18:K130)-K145</f>
        <v>3826.8</v>
      </c>
      <c r="L143" s="25">
        <f>SUM(F143:K143)</f>
        <v>10638.390000000003</v>
      </c>
    </row>
    <row r="144" spans="1:15" customFormat="1">
      <c r="A144" t="s">
        <v>255</v>
      </c>
      <c r="D144">
        <v>8</v>
      </c>
      <c r="E144" s="25">
        <f>SUM(M11:M15)+M17+SUM(M131:M136)</f>
        <v>0</v>
      </c>
      <c r="F144" s="1"/>
      <c r="G144" s="34">
        <f>SUM(G11:G15)+G17+G132+G136</f>
        <v>337.52</v>
      </c>
      <c r="H144" s="34">
        <f>SUM(H11:H15)+H17+H132+H136</f>
        <v>149.5</v>
      </c>
      <c r="I144" s="34">
        <f>SUM(I11:I15)+I17+I132+I136</f>
        <v>136.16999999999999</v>
      </c>
      <c r="J144" s="34">
        <f>SUM(J11:J15)+J17+J132+J136</f>
        <v>155</v>
      </c>
      <c r="K144" s="34">
        <f>SUM(K11:K15)+K17+K132+K136</f>
        <v>1796.4</v>
      </c>
      <c r="L144" s="25">
        <f t="shared" ref="L144:L147" si="21">SUM(F144:K144)</f>
        <v>2574.59</v>
      </c>
    </row>
    <row r="145" spans="1:14" customFormat="1">
      <c r="A145" t="s">
        <v>260</v>
      </c>
      <c r="D145">
        <v>31</v>
      </c>
      <c r="E145" s="25">
        <v>0</v>
      </c>
      <c r="F145" s="1"/>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384.71000000000021</v>
      </c>
      <c r="M145" s="25"/>
    </row>
    <row r="146" spans="1:14" customFormat="1">
      <c r="A146" t="s">
        <v>261</v>
      </c>
      <c r="D146">
        <v>4</v>
      </c>
      <c r="E146" s="25">
        <v>0</v>
      </c>
      <c r="F146" s="1"/>
      <c r="G146" s="25">
        <f>G135+G134+G133+G131</f>
        <v>49.64</v>
      </c>
      <c r="H146" s="25">
        <f>H135+H134+H133+H131</f>
        <v>0</v>
      </c>
      <c r="I146" s="25">
        <f>I135+I134+I133+I131</f>
        <v>0</v>
      </c>
      <c r="J146" s="25">
        <f>J135+J134+J133+J131</f>
        <v>0</v>
      </c>
      <c r="K146" s="25">
        <f>K135+K134+K133+K131</f>
        <v>0</v>
      </c>
      <c r="L146" s="25">
        <f t="shared" si="21"/>
        <v>49.64</v>
      </c>
    </row>
    <row r="147" spans="1:14" customFormat="1">
      <c r="A147" t="s">
        <v>253</v>
      </c>
      <c r="D147">
        <v>1</v>
      </c>
      <c r="E147" s="25">
        <f>M16</f>
        <v>0</v>
      </c>
      <c r="G147" s="25">
        <f>G16</f>
        <v>185</v>
      </c>
      <c r="H147" s="25">
        <f>H16</f>
        <v>280.58999999999997</v>
      </c>
      <c r="I147" s="25">
        <f>I16</f>
        <v>0</v>
      </c>
      <c r="J147" s="25">
        <f>J16</f>
        <v>0</v>
      </c>
      <c r="K147" s="25">
        <f>K16</f>
        <v>0</v>
      </c>
      <c r="L147" s="25">
        <f t="shared" si="21"/>
        <v>465.59</v>
      </c>
    </row>
    <row r="148" spans="1:14" customFormat="1" ht="15.75" thickBot="1">
      <c r="B148" t="s">
        <v>257</v>
      </c>
      <c r="D148" s="73">
        <f>SUM(D143:D147)</f>
        <v>126</v>
      </c>
      <c r="E148" s="74">
        <f>SUM(E143:E147)</f>
        <v>0</v>
      </c>
      <c r="F148" s="73"/>
      <c r="G148" s="74">
        <f t="shared" ref="G148:L148" si="22">SUM(G143:G147)</f>
        <v>4416.4500000000035</v>
      </c>
      <c r="H148" s="74">
        <f t="shared" si="22"/>
        <v>1612.29</v>
      </c>
      <c r="I148" s="74">
        <f t="shared" si="22"/>
        <v>1292.2800000000009</v>
      </c>
      <c r="J148" s="74">
        <f t="shared" si="22"/>
        <v>1168.7</v>
      </c>
      <c r="K148" s="74">
        <f t="shared" si="22"/>
        <v>5623.2000000000007</v>
      </c>
      <c r="L148" s="74">
        <f t="shared" si="22"/>
        <v>14112.920000000004</v>
      </c>
      <c r="N148" s="1"/>
    </row>
    <row r="149" spans="1:14" customFormat="1" ht="15.75" thickTop="1">
      <c r="D149" s="78"/>
      <c r="E149" s="78"/>
      <c r="F149" s="78"/>
      <c r="G149" s="79"/>
      <c r="H149" s="79"/>
      <c r="I149" s="79"/>
      <c r="J149" s="79"/>
      <c r="K149" s="79"/>
      <c r="L149" s="79"/>
      <c r="N149" s="1"/>
    </row>
    <row r="150" spans="1:14" customFormat="1">
      <c r="A150" t="s">
        <v>262</v>
      </c>
      <c r="D150" s="75"/>
      <c r="E150" s="81">
        <v>0</v>
      </c>
      <c r="F150" s="75"/>
      <c r="G150" s="81">
        <f>F140-G151-G152-(SUM(H153:K153))</f>
        <v>687499.99999999953</v>
      </c>
      <c r="H150" s="81">
        <f>H143/2.3*1000</f>
        <v>514000.00000000012</v>
      </c>
      <c r="I150" s="81">
        <f>I143/2.67*1000</f>
        <v>433000.00000000035</v>
      </c>
      <c r="J150" s="81">
        <f>J143/3.1*1000</f>
        <v>327000</v>
      </c>
      <c r="K150" s="81">
        <f>K143/3.6*1000</f>
        <v>1063000</v>
      </c>
      <c r="L150" s="81">
        <f>SUM(G150:K150)</f>
        <v>3024500</v>
      </c>
      <c r="N150" s="1"/>
    </row>
    <row r="151" spans="1:14" customFormat="1">
      <c r="A151" t="s">
        <v>263</v>
      </c>
      <c r="D151" s="75"/>
      <c r="E151" s="81">
        <v>0</v>
      </c>
      <c r="F151" s="75"/>
      <c r="G151" s="81">
        <f>(SUM(F11:F15)+F17+SUM(F131:F136)-H151-I151-J151-K151)</f>
        <v>70000</v>
      </c>
      <c r="H151" s="81">
        <f>H144/2.3*1000</f>
        <v>65000</v>
      </c>
      <c r="I151" s="81">
        <f>I144/2.67*1000</f>
        <v>51000</v>
      </c>
      <c r="J151" s="81">
        <f>J144/3.1*1000</f>
        <v>50000</v>
      </c>
      <c r="K151" s="81">
        <f>K144/3.6*1000</f>
        <v>499000</v>
      </c>
      <c r="L151" s="81">
        <f>SUM(G151:K151)</f>
        <v>735000</v>
      </c>
      <c r="N151" s="1"/>
    </row>
    <row r="152" spans="1:14" customFormat="1">
      <c r="A152" t="s">
        <v>264</v>
      </c>
      <c r="D152" s="75"/>
      <c r="E152" s="81">
        <v>0</v>
      </c>
      <c r="F152" s="75"/>
      <c r="G152" s="81">
        <f>IF(F16&gt;100000,100000,F16)</f>
        <v>100000</v>
      </c>
      <c r="H152" s="81">
        <f>H147/1.99*1000</f>
        <v>141000</v>
      </c>
      <c r="I152" s="81" t="s">
        <v>259</v>
      </c>
      <c r="J152" s="81" t="s">
        <v>259</v>
      </c>
      <c r="K152" s="81" t="s">
        <v>259</v>
      </c>
      <c r="L152" s="81">
        <f>SUM(G152:K152)</f>
        <v>241000</v>
      </c>
      <c r="N152" s="1"/>
    </row>
    <row r="153" spans="1:14" customFormat="1" ht="15.75" thickBot="1">
      <c r="B153" t="s">
        <v>265</v>
      </c>
      <c r="D153" s="77"/>
      <c r="E153" s="82">
        <f>SUM(E150:E152)</f>
        <v>0</v>
      </c>
      <c r="F153" s="77"/>
      <c r="G153" s="82">
        <f>G150+G151+G152</f>
        <v>857499.99999999953</v>
      </c>
      <c r="H153" s="82">
        <f>SUM(H150:H152)</f>
        <v>720000.00000000012</v>
      </c>
      <c r="I153" s="82">
        <f>SUM(I150:I152)</f>
        <v>484000.00000000035</v>
      </c>
      <c r="J153" s="82">
        <f>SUM(J150:J152)</f>
        <v>377000</v>
      </c>
      <c r="K153" s="82">
        <f>SUM(K150:K152)</f>
        <v>1562000</v>
      </c>
      <c r="L153" s="82">
        <f>SUM(L150:L152)</f>
        <v>4000500</v>
      </c>
      <c r="N153" s="1"/>
    </row>
    <row r="154" spans="1:14" ht="15.75" thickTop="1">
      <c r="E154" s="1" t="s">
        <v>274</v>
      </c>
    </row>
    <row r="155" spans="1:14">
      <c r="E155" s="75" t="s">
        <v>275</v>
      </c>
    </row>
    <row r="156" spans="1:14">
      <c r="E156" s="75" t="s">
        <v>273</v>
      </c>
    </row>
    <row r="157" spans="1:14">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sheetPr>
    <pageSetUpPr fitToPage="1"/>
  </sheetPr>
  <dimension ref="A1:P157"/>
  <sheetViews>
    <sheetView zoomScale="90" zoomScaleNormal="9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6" ht="46.5">
      <c r="A1" s="2" t="s">
        <v>141</v>
      </c>
    </row>
    <row r="2" spans="1:16" ht="28.5">
      <c r="A2" s="3" t="s">
        <v>142</v>
      </c>
    </row>
    <row r="4" spans="1:16">
      <c r="A4" s="1" t="s">
        <v>143</v>
      </c>
      <c r="B4" s="23">
        <v>41030</v>
      </c>
      <c r="D4" s="1" t="s">
        <v>146</v>
      </c>
      <c r="G4" s="1" t="s">
        <v>156</v>
      </c>
      <c r="J4" s="1" t="s">
        <v>163</v>
      </c>
      <c r="K4" s="5">
        <v>42.19</v>
      </c>
      <c r="M4" s="1" t="s">
        <v>164</v>
      </c>
      <c r="N4" s="5">
        <v>12.41</v>
      </c>
      <c r="O4" s="1" t="s">
        <v>149</v>
      </c>
      <c r="P4" s="1">
        <f>SUM(F11:F136)</f>
        <v>2066700</v>
      </c>
    </row>
    <row r="5" spans="1:16">
      <c r="A5" s="1" t="s">
        <v>165</v>
      </c>
      <c r="B5" s="24">
        <v>41058</v>
      </c>
      <c r="D5" s="1" t="s">
        <v>144</v>
      </c>
      <c r="G5" s="1" t="s">
        <v>155</v>
      </c>
      <c r="H5" s="1">
        <v>0</v>
      </c>
      <c r="J5" s="1" t="s">
        <v>166</v>
      </c>
      <c r="K5" s="5">
        <v>2.2999999999999998</v>
      </c>
      <c r="M5" s="1" t="s">
        <v>6</v>
      </c>
      <c r="N5" s="5">
        <v>185</v>
      </c>
      <c r="O5" s="1" t="s">
        <v>154</v>
      </c>
      <c r="P5" s="1">
        <f>P4-F16</f>
        <v>1876700</v>
      </c>
    </row>
    <row r="6" spans="1:16">
      <c r="B6" s="4"/>
      <c r="D6" s="1" t="s">
        <v>145</v>
      </c>
      <c r="G6" s="1" t="s">
        <v>158</v>
      </c>
      <c r="H6" s="1">
        <v>35000</v>
      </c>
      <c r="J6" s="1" t="s">
        <v>167</v>
      </c>
      <c r="K6" s="5">
        <v>2.67</v>
      </c>
      <c r="M6" s="1" t="s">
        <v>168</v>
      </c>
      <c r="N6" s="5">
        <v>1.99</v>
      </c>
      <c r="O6" s="1" t="s">
        <v>160</v>
      </c>
      <c r="P6" s="1">
        <f>SUMIF(F11:F15,"&gt;" &amp; $H$6)+SUMIF(F17:F136,"&gt;" &amp; $H$6)+SUMIF(F16,"&gt;" &amp; $H$7)</f>
        <v>1214000</v>
      </c>
    </row>
    <row r="7" spans="1:16">
      <c r="B7" s="4"/>
      <c r="D7" s="1" t="s">
        <v>150</v>
      </c>
      <c r="E7" s="12">
        <f>E6-E5</f>
        <v>0</v>
      </c>
      <c r="G7" s="1" t="s">
        <v>159</v>
      </c>
      <c r="H7" s="12">
        <v>100000</v>
      </c>
      <c r="J7" s="1" t="s">
        <v>169</v>
      </c>
      <c r="K7" s="5">
        <v>3.1</v>
      </c>
      <c r="M7" s="1" t="s">
        <v>170</v>
      </c>
      <c r="N7" s="5">
        <v>1755</v>
      </c>
      <c r="O7" s="1" t="s">
        <v>161</v>
      </c>
      <c r="P7" s="1">
        <f>(SUMIF(F11:F15,"&gt;" &amp; $H$6)-(COUNTIF(F11:F15,"&gt;" &amp; $H$6)*$H$6))+(SUMIF(F17:F136,"&gt;" &amp; $H$6)-(COUNTIF(F17:F136,"&gt;" &amp; $H$6)*$H$6))+(SUMIF(F16,"&gt;" &amp; $H$7)-(COUNTIF(F16,"&gt;" &amp; $H$7)*$H$7))</f>
        <v>589000</v>
      </c>
    </row>
    <row r="8" spans="1:16">
      <c r="D8" s="1" t="s">
        <v>147</v>
      </c>
      <c r="E8" s="25">
        <v>0</v>
      </c>
      <c r="H8" s="6"/>
      <c r="J8" s="1" t="s">
        <v>171</v>
      </c>
      <c r="K8" s="5">
        <v>3.6</v>
      </c>
    </row>
    <row r="10" spans="1:16">
      <c r="A10" s="7" t="s">
        <v>0</v>
      </c>
      <c r="B10" s="10" t="s">
        <v>137</v>
      </c>
      <c r="C10" s="13" t="s">
        <v>172</v>
      </c>
      <c r="D10" s="26" t="s">
        <v>173</v>
      </c>
      <c r="E10" s="10" t="s">
        <v>140</v>
      </c>
      <c r="F10" s="10" t="s">
        <v>157</v>
      </c>
      <c r="G10" s="21" t="s">
        <v>132</v>
      </c>
      <c r="H10" s="21" t="s">
        <v>128</v>
      </c>
      <c r="I10" s="21" t="s">
        <v>129</v>
      </c>
      <c r="J10" s="22" t="s">
        <v>130</v>
      </c>
      <c r="K10" s="22" t="s">
        <v>131</v>
      </c>
      <c r="L10" s="22" t="s">
        <v>162</v>
      </c>
      <c r="M10" s="22" t="s">
        <v>148</v>
      </c>
      <c r="N10" s="22" t="s">
        <v>135</v>
      </c>
      <c r="O10" s="9" t="s">
        <v>127</v>
      </c>
    </row>
    <row r="11" spans="1:16">
      <c r="A11" s="1" t="s">
        <v>1</v>
      </c>
      <c r="B11" s="11"/>
      <c r="C11" s="11">
        <v>8102000</v>
      </c>
      <c r="D11" s="11">
        <v>8253000</v>
      </c>
      <c r="E11" s="11">
        <v>0</v>
      </c>
      <c r="F11" s="11">
        <f t="shared" ref="F11:F74" si="0">($D11-$C11)+$E11</f>
        <v>151000</v>
      </c>
      <c r="G11" s="17">
        <f>IF(OR($F11&gt;0,$B11=""),$K$4,$N$4)</f>
        <v>42.19</v>
      </c>
      <c r="H11" s="17">
        <f>IF(AND((($F11-10000)&gt;=0),(($F11-10000)&lt;= 10000)),($F11-10000)/1000*$K$5,IF(($F11-10000)&gt;=10000,$K$5*10,0))</f>
        <v>23</v>
      </c>
      <c r="I11" s="17">
        <f>IF(AND((($F11-20000)&gt;=0),(($F11-20000)&lt;=10000)),($F11-20000)/1000*$K$6,IF(($F11-20000)&gt;=10000,$K$6*10,0))</f>
        <v>26.7</v>
      </c>
      <c r="J11" s="18">
        <f>IF(AND((($F11-30000)&gt;=0),(($F11-30000)&lt;=10000)),($F11-30000)/1000*$K$7,IF(($F11-30000)&gt;=10000,$K$7*10,0))</f>
        <v>31</v>
      </c>
      <c r="K11" s="18">
        <f>IF((($F11-40000)&gt;=0),($F11-40000)/1000*$K$8,0)</f>
        <v>399.6</v>
      </c>
      <c r="L11" s="18">
        <f>SUM(G11:K11)</f>
        <v>522.49</v>
      </c>
      <c r="M11" s="18">
        <f>IF(   $H$5=1,    IF((F11-$H$6)&gt;0,((F11-$H$6)/$P$7)*$E$8,0),   IF(F11&gt;0,(F11/$P$4)*$E$8,0)    )</f>
        <v>0</v>
      </c>
      <c r="N11" s="18">
        <f>SUM(L11:M11)</f>
        <v>522.49</v>
      </c>
      <c r="O11" s="8"/>
    </row>
    <row r="12" spans="1:16">
      <c r="A12" s="1" t="s">
        <v>2</v>
      </c>
      <c r="B12" s="11"/>
      <c r="C12" s="11">
        <v>6917000</v>
      </c>
      <c r="D12" s="11">
        <v>7005000</v>
      </c>
      <c r="E12" s="11">
        <v>0</v>
      </c>
      <c r="F12" s="11">
        <f t="shared" si="0"/>
        <v>88000</v>
      </c>
      <c r="G12" s="17">
        <f>IF(OR($F12&gt;0,$B12=""),$K$4,$N$4)</f>
        <v>42.19</v>
      </c>
      <c r="H12" s="17">
        <f>IF(AND((($F12-10000)&gt;=0),(($F12-10000)&lt;= 10000)),($F12-10000)/1000*$K$5,IF(($F12-10000)&gt;=10000,$K$5*10,0))</f>
        <v>23</v>
      </c>
      <c r="I12" s="17">
        <f>IF(AND((($F12-20000)&gt;=0),(($F12-20000)&lt;=10000)),($F12-20000)/1000*$K$6,IF(($F12-20000)&gt;=10000,$K$6*10,0))</f>
        <v>26.7</v>
      </c>
      <c r="J12" s="18">
        <f>IF(AND((($F12-30000)&gt;=0),(($F12-30000)&lt;=10000)),($F12-30000)/1000*$K$7,IF(($F12-30000)&gt;=10000,$K$7*10,0))</f>
        <v>31</v>
      </c>
      <c r="K12" s="18">
        <f>IF((($F12-40000)&gt;=0),($F12-40000)/1000*$K$8,0)</f>
        <v>172.8</v>
      </c>
      <c r="L12" s="18">
        <f t="shared" ref="L12:L75" si="1">SUM(G12:K12)</f>
        <v>295.69</v>
      </c>
      <c r="M12" s="18">
        <f>IF(   $H$5=1,    IF((F12-$H$6)&gt;0,((F12-$H$6)/$P$7)*$E$8,0),   IF(F12&gt;0,(F12/$P$4)*$E$8,0)    )</f>
        <v>0</v>
      </c>
      <c r="N12" s="18">
        <f t="shared" ref="N12:N75" si="2">SUM(L12:M12)</f>
        <v>295.69</v>
      </c>
      <c r="O12" s="8"/>
    </row>
    <row r="13" spans="1:16">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IF((F13-$H$6)&gt;0,((F13-$H$6)/$P$7)*$E$8,0),   IF(F13&gt;0,(F13/$P$4)*$E$8,0)    )</f>
        <v>0</v>
      </c>
      <c r="N13" s="18">
        <f t="shared" si="2"/>
        <v>42.19</v>
      </c>
      <c r="O13" s="8" t="s">
        <v>134</v>
      </c>
    </row>
    <row r="14" spans="1:16">
      <c r="A14" s="1" t="s">
        <v>4</v>
      </c>
      <c r="B14" s="11"/>
      <c r="C14" s="11">
        <v>3576000</v>
      </c>
      <c r="D14" s="11">
        <v>3653000</v>
      </c>
      <c r="E14" s="11">
        <v>0</v>
      </c>
      <c r="F14" s="11">
        <f t="shared" si="0"/>
        <v>77000</v>
      </c>
      <c r="G14" s="17">
        <f>IF(OR($F14&gt;0,$B14=""),$K$4,$N$4)</f>
        <v>42.19</v>
      </c>
      <c r="H14" s="17">
        <f>IF(AND((($F14-10000)&gt;=0),(($F14-10000)&lt;= 10000)),($F14-10000)/1000*$K$5,IF(($F14-10000)&gt;=10000,$K$5*10,0))</f>
        <v>23</v>
      </c>
      <c r="I14" s="17">
        <f>IF(AND((($F14-20000)&gt;=0),(($F14-20000)&lt;=10000)),($F14-20000)/1000*$K$6,IF(($F14-20000)&gt;=10000,$K$6*10,0))</f>
        <v>26.7</v>
      </c>
      <c r="J14" s="18">
        <f>IF(AND((($F14-30000)&gt;=0),(($F14-30000)&lt;=10000)),($F14-30000)/1000*$K$7,IF(($F14-30000)&gt;=10000,$K$7*10,0))</f>
        <v>31</v>
      </c>
      <c r="K14" s="18">
        <f>IF((($F14-40000)&gt;=0),($F14-40000)/1000*$K$8,0)</f>
        <v>133.20000000000002</v>
      </c>
      <c r="L14" s="18">
        <f t="shared" si="1"/>
        <v>256.09000000000003</v>
      </c>
      <c r="M14" s="18">
        <f>IF(   $H$5=1,    IF((F14-$H$6)&gt;0,((F14-$H$6)/$P$7)*$E$8,0),   IF(F14&gt;0,(F14/$P$4)*$E$8,0)    )</f>
        <v>0</v>
      </c>
      <c r="N14" s="18">
        <f t="shared" si="2"/>
        <v>256.09000000000003</v>
      </c>
      <c r="O14" s="8"/>
    </row>
    <row r="15" spans="1:16">
      <c r="A15" s="1" t="s">
        <v>5</v>
      </c>
      <c r="B15" s="11"/>
      <c r="C15" s="11">
        <v>2495000</v>
      </c>
      <c r="D15" s="11">
        <v>2551000</v>
      </c>
      <c r="E15" s="11">
        <v>0</v>
      </c>
      <c r="F15" s="11">
        <f t="shared" si="0"/>
        <v>56000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57.6</v>
      </c>
      <c r="L15" s="18">
        <f t="shared" si="1"/>
        <v>180.49</v>
      </c>
      <c r="M15" s="18">
        <f>IF(   $H$5=1,    IF((F15-$H$6)&gt;0,((F15-$H$6)/$P$7)*$E$8,0),   IF(F15&gt;0,(F15/$P$4)*$E$8,0)    )</f>
        <v>0</v>
      </c>
      <c r="N15" s="18">
        <f t="shared" si="2"/>
        <v>180.49</v>
      </c>
      <c r="O15" s="8"/>
    </row>
    <row r="16" spans="1:16">
      <c r="A16" s="1" t="s">
        <v>6</v>
      </c>
      <c r="B16" s="11"/>
      <c r="C16" s="11">
        <v>25872000</v>
      </c>
      <c r="D16" s="11">
        <v>26062000</v>
      </c>
      <c r="E16" s="11">
        <v>0</v>
      </c>
      <c r="F16" s="11">
        <f t="shared" si="0"/>
        <v>190000</v>
      </c>
      <c r="G16" s="17">
        <f>$N$5</f>
        <v>185</v>
      </c>
      <c r="H16" s="17">
        <f>IF(($F16-100000)&gt;=0,($F16-100000)/1000*$N$6,0)</f>
        <v>179.1</v>
      </c>
      <c r="I16" s="17"/>
      <c r="J16" s="18"/>
      <c r="K16" s="18"/>
      <c r="L16" s="18">
        <f t="shared" si="1"/>
        <v>364.1</v>
      </c>
      <c r="M16" s="18">
        <f>IF(   $H$5=1,     IF((F16-$H$7)&gt;0,((F16-$H$7)/$P$7)*$E$8,0),   IF(F16&gt;0,(F16/$P$4)*$E$8,0)    )</f>
        <v>0</v>
      </c>
      <c r="N16" s="18">
        <f t="shared" si="2"/>
        <v>364.1</v>
      </c>
      <c r="O16" s="8" t="s">
        <v>133</v>
      </c>
    </row>
    <row r="17" spans="1:15">
      <c r="A17" s="1" t="s">
        <v>7</v>
      </c>
      <c r="B17" s="11"/>
      <c r="C17" s="11">
        <v>604000</v>
      </c>
      <c r="D17" s="11">
        <v>615000</v>
      </c>
      <c r="E17" s="11">
        <v>0</v>
      </c>
      <c r="F17" s="11">
        <f t="shared" si="0"/>
        <v>11000</v>
      </c>
      <c r="G17" s="17">
        <f t="shared" ref="G17:G80" si="3">IF(OR($F17&gt;0,$B17=""),$K$4,$N$4)</f>
        <v>42.19</v>
      </c>
      <c r="H17" s="17">
        <f t="shared" ref="H17:H80" si="4">IF(AND((($F17-10000)&gt;=0),(($F17-10000)&lt;= 10000)),($F17-10000)/1000*$K$5,IF(($F17-10000)&gt;=10000,$K$5*10,0))</f>
        <v>2.2999999999999998</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44.489999999999995</v>
      </c>
      <c r="M17" s="18">
        <f t="shared" ref="M17:M48" si="8">IF(   $H$5=1,    IF((F17-$H$6)&gt;0,((F17-$H$6)/$P$7)*$E$8,0),   IF(F17&gt;0,(F17/$P$4)*$E$8,0)    )</f>
        <v>0</v>
      </c>
      <c r="N17" s="18">
        <f t="shared" si="2"/>
        <v>44.489999999999995</v>
      </c>
      <c r="O17" s="8"/>
    </row>
    <row r="18" spans="1:15">
      <c r="A18" s="1" t="s">
        <v>8</v>
      </c>
      <c r="B18" s="11"/>
      <c r="C18" s="11">
        <v>50000</v>
      </c>
      <c r="D18" s="11">
        <v>75000</v>
      </c>
      <c r="E18" s="11">
        <v>0</v>
      </c>
      <c r="F18" s="11">
        <f t="shared" si="0"/>
        <v>25000</v>
      </c>
      <c r="G18" s="17">
        <f t="shared" si="3"/>
        <v>42.19</v>
      </c>
      <c r="H18" s="17">
        <f t="shared" si="4"/>
        <v>23</v>
      </c>
      <c r="I18" s="17">
        <f t="shared" si="5"/>
        <v>13.35</v>
      </c>
      <c r="J18" s="18">
        <f t="shared" si="6"/>
        <v>0</v>
      </c>
      <c r="K18" s="18">
        <f t="shared" si="7"/>
        <v>0</v>
      </c>
      <c r="L18" s="18">
        <f t="shared" si="1"/>
        <v>78.539999999999992</v>
      </c>
      <c r="M18" s="18">
        <f t="shared" si="8"/>
        <v>0</v>
      </c>
      <c r="N18" s="18">
        <f t="shared" si="2"/>
        <v>78.539999999999992</v>
      </c>
      <c r="O18" s="8" t="s">
        <v>174</v>
      </c>
    </row>
    <row r="19" spans="1:15">
      <c r="A19" s="1" t="s">
        <v>9</v>
      </c>
      <c r="B19" s="11"/>
      <c r="C19" s="11">
        <v>306000</v>
      </c>
      <c r="D19" s="11">
        <v>330000</v>
      </c>
      <c r="E19" s="11">
        <v>0</v>
      </c>
      <c r="F19" s="11">
        <f t="shared" si="0"/>
        <v>24000</v>
      </c>
      <c r="G19" s="17">
        <f t="shared" si="3"/>
        <v>42.19</v>
      </c>
      <c r="H19" s="17">
        <f t="shared" si="4"/>
        <v>23</v>
      </c>
      <c r="I19" s="17">
        <f t="shared" si="5"/>
        <v>10.68</v>
      </c>
      <c r="J19" s="18">
        <f t="shared" si="6"/>
        <v>0</v>
      </c>
      <c r="K19" s="18">
        <f t="shared" si="7"/>
        <v>0</v>
      </c>
      <c r="L19" s="18">
        <f t="shared" si="1"/>
        <v>75.87</v>
      </c>
      <c r="M19" s="18">
        <f t="shared" si="8"/>
        <v>0</v>
      </c>
      <c r="N19" s="18">
        <f t="shared" si="2"/>
        <v>75.87</v>
      </c>
      <c r="O19" s="8"/>
    </row>
    <row r="20" spans="1:15">
      <c r="A20" s="1" t="s">
        <v>10</v>
      </c>
      <c r="B20" s="11"/>
      <c r="C20" s="11">
        <v>1569000</v>
      </c>
      <c r="D20" s="11">
        <v>1580000</v>
      </c>
      <c r="E20" s="11">
        <v>0</v>
      </c>
      <c r="F20" s="11">
        <f t="shared" si="0"/>
        <v>11000</v>
      </c>
      <c r="G20" s="17">
        <f t="shared" si="3"/>
        <v>42.19</v>
      </c>
      <c r="H20" s="17">
        <f t="shared" si="4"/>
        <v>2.2999999999999998</v>
      </c>
      <c r="I20" s="17">
        <f t="shared" si="5"/>
        <v>0</v>
      </c>
      <c r="J20" s="18">
        <f t="shared" si="6"/>
        <v>0</v>
      </c>
      <c r="K20" s="18">
        <f t="shared" si="7"/>
        <v>0</v>
      </c>
      <c r="L20" s="18">
        <f t="shared" si="1"/>
        <v>44.489999999999995</v>
      </c>
      <c r="M20" s="18">
        <f t="shared" si="8"/>
        <v>0</v>
      </c>
      <c r="N20" s="18">
        <f t="shared" si="2"/>
        <v>44.489999999999995</v>
      </c>
      <c r="O20" s="8"/>
    </row>
    <row r="21" spans="1:15">
      <c r="A21" s="1" t="s">
        <v>11</v>
      </c>
      <c r="B21" s="11"/>
      <c r="C21" s="11">
        <v>2037000</v>
      </c>
      <c r="D21" s="11">
        <v>2049000</v>
      </c>
      <c r="E21" s="11">
        <v>0</v>
      </c>
      <c r="F21" s="11">
        <f t="shared" si="0"/>
        <v>12000</v>
      </c>
      <c r="G21" s="17">
        <f t="shared" si="3"/>
        <v>42.19</v>
      </c>
      <c r="H21" s="17">
        <f t="shared" si="4"/>
        <v>4.5999999999999996</v>
      </c>
      <c r="I21" s="17">
        <f t="shared" si="5"/>
        <v>0</v>
      </c>
      <c r="J21" s="18">
        <f t="shared" si="6"/>
        <v>0</v>
      </c>
      <c r="K21" s="18">
        <f t="shared" si="7"/>
        <v>0</v>
      </c>
      <c r="L21" s="18">
        <f t="shared" si="1"/>
        <v>46.79</v>
      </c>
      <c r="M21" s="18">
        <f t="shared" si="8"/>
        <v>0</v>
      </c>
      <c r="N21" s="18">
        <f t="shared" si="2"/>
        <v>46.79</v>
      </c>
      <c r="O21" s="8"/>
    </row>
    <row r="22" spans="1:15">
      <c r="A22" s="1" t="s">
        <v>12</v>
      </c>
      <c r="B22" s="11"/>
      <c r="C22" s="11">
        <v>2265000</v>
      </c>
      <c r="D22" s="11">
        <v>2278000</v>
      </c>
      <c r="E22" s="11">
        <v>0</v>
      </c>
      <c r="F22" s="11">
        <f t="shared" si="0"/>
        <v>13000</v>
      </c>
      <c r="G22" s="17">
        <f t="shared" si="3"/>
        <v>42.19</v>
      </c>
      <c r="H22" s="17">
        <f t="shared" si="4"/>
        <v>6.8999999999999995</v>
      </c>
      <c r="I22" s="17">
        <f t="shared" si="5"/>
        <v>0</v>
      </c>
      <c r="J22" s="18">
        <f t="shared" si="6"/>
        <v>0</v>
      </c>
      <c r="K22" s="18">
        <f t="shared" si="7"/>
        <v>0</v>
      </c>
      <c r="L22" s="18">
        <f t="shared" si="1"/>
        <v>49.089999999999996</v>
      </c>
      <c r="M22" s="18">
        <f t="shared" si="8"/>
        <v>0</v>
      </c>
      <c r="N22" s="18">
        <f t="shared" si="2"/>
        <v>49.089999999999996</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6464000</v>
      </c>
      <c r="D24" s="11">
        <v>6508000</v>
      </c>
      <c r="E24" s="11">
        <v>0</v>
      </c>
      <c r="F24" s="11">
        <f t="shared" si="0"/>
        <v>44000</v>
      </c>
      <c r="G24" s="17">
        <f t="shared" si="3"/>
        <v>42.19</v>
      </c>
      <c r="H24" s="17">
        <f t="shared" si="4"/>
        <v>23</v>
      </c>
      <c r="I24" s="17">
        <f t="shared" si="5"/>
        <v>26.7</v>
      </c>
      <c r="J24" s="18">
        <f t="shared" si="6"/>
        <v>31</v>
      </c>
      <c r="K24" s="18">
        <f t="shared" si="7"/>
        <v>14.4</v>
      </c>
      <c r="L24" s="18">
        <f t="shared" si="1"/>
        <v>137.29</v>
      </c>
      <c r="M24" s="18">
        <f t="shared" si="8"/>
        <v>0</v>
      </c>
      <c r="N24" s="18">
        <f t="shared" si="2"/>
        <v>137.29</v>
      </c>
      <c r="O24" s="8"/>
    </row>
    <row r="25" spans="1:15">
      <c r="A25" s="1" t="s">
        <v>15</v>
      </c>
      <c r="B25" s="11"/>
      <c r="C25" s="11">
        <v>2679000</v>
      </c>
      <c r="D25" s="11">
        <v>2692000</v>
      </c>
      <c r="E25" s="11">
        <v>0</v>
      </c>
      <c r="F25" s="11">
        <f t="shared" si="0"/>
        <v>13000</v>
      </c>
      <c r="G25" s="17">
        <f t="shared" si="3"/>
        <v>42.19</v>
      </c>
      <c r="H25" s="17">
        <f t="shared" si="4"/>
        <v>6.8999999999999995</v>
      </c>
      <c r="I25" s="17">
        <f t="shared" si="5"/>
        <v>0</v>
      </c>
      <c r="J25" s="18">
        <f t="shared" si="6"/>
        <v>0</v>
      </c>
      <c r="K25" s="18">
        <f t="shared" si="7"/>
        <v>0</v>
      </c>
      <c r="L25" s="18">
        <f t="shared" si="1"/>
        <v>49.089999999999996</v>
      </c>
      <c r="M25" s="18">
        <f t="shared" si="8"/>
        <v>0</v>
      </c>
      <c r="N25" s="18">
        <f t="shared" si="2"/>
        <v>49.089999999999996</v>
      </c>
      <c r="O25" s="8"/>
    </row>
    <row r="26" spans="1:15">
      <c r="A26" s="1" t="s">
        <v>16</v>
      </c>
      <c r="B26" s="11"/>
      <c r="C26" s="11">
        <v>1612000</v>
      </c>
      <c r="D26" s="11">
        <v>1622000</v>
      </c>
      <c r="E26" s="11">
        <v>0</v>
      </c>
      <c r="F26" s="11">
        <f t="shared" si="0"/>
        <v>10000</v>
      </c>
      <c r="G26" s="17">
        <f t="shared" si="3"/>
        <v>42.19</v>
      </c>
      <c r="H26" s="17">
        <f t="shared" si="4"/>
        <v>0</v>
      </c>
      <c r="I26" s="17">
        <f t="shared" si="5"/>
        <v>0</v>
      </c>
      <c r="J26" s="18">
        <f t="shared" si="6"/>
        <v>0</v>
      </c>
      <c r="K26" s="18">
        <f t="shared" si="7"/>
        <v>0</v>
      </c>
      <c r="L26" s="18">
        <f t="shared" si="1"/>
        <v>42.19</v>
      </c>
      <c r="M26" s="18">
        <f t="shared" si="8"/>
        <v>0</v>
      </c>
      <c r="N26" s="18">
        <f t="shared" si="2"/>
        <v>42.19</v>
      </c>
      <c r="O26" s="8"/>
    </row>
    <row r="27" spans="1:15">
      <c r="A27" s="1" t="s">
        <v>17</v>
      </c>
      <c r="B27" s="11"/>
      <c r="C27" s="11">
        <v>1200000</v>
      </c>
      <c r="D27" s="11">
        <v>1204000</v>
      </c>
      <c r="E27" s="11">
        <v>0</v>
      </c>
      <c r="F27" s="11">
        <f t="shared" si="0"/>
        <v>4000</v>
      </c>
      <c r="G27" s="17">
        <f t="shared" si="3"/>
        <v>42.19</v>
      </c>
      <c r="H27" s="17">
        <f t="shared" si="4"/>
        <v>0</v>
      </c>
      <c r="I27" s="17">
        <f t="shared" si="5"/>
        <v>0</v>
      </c>
      <c r="J27" s="18">
        <f t="shared" si="6"/>
        <v>0</v>
      </c>
      <c r="K27" s="18">
        <f t="shared" si="7"/>
        <v>0</v>
      </c>
      <c r="L27" s="18">
        <f t="shared" si="1"/>
        <v>42.19</v>
      </c>
      <c r="M27" s="18">
        <f t="shared" si="8"/>
        <v>0</v>
      </c>
      <c r="N27" s="18">
        <f t="shared" si="2"/>
        <v>42.19</v>
      </c>
      <c r="O27" s="8"/>
    </row>
    <row r="28" spans="1:15">
      <c r="A28" s="1" t="s">
        <v>18</v>
      </c>
      <c r="B28" s="11"/>
      <c r="C28" s="11">
        <v>4070000</v>
      </c>
      <c r="D28" s="11">
        <v>4075000</v>
      </c>
      <c r="E28" s="11">
        <v>0</v>
      </c>
      <c r="F28" s="11">
        <f t="shared" si="0"/>
        <v>5000</v>
      </c>
      <c r="G28" s="17">
        <f t="shared" si="3"/>
        <v>42.19</v>
      </c>
      <c r="H28" s="17">
        <f t="shared" si="4"/>
        <v>0</v>
      </c>
      <c r="I28" s="17">
        <f t="shared" si="5"/>
        <v>0</v>
      </c>
      <c r="J28" s="18">
        <f t="shared" si="6"/>
        <v>0</v>
      </c>
      <c r="K28" s="18">
        <f t="shared" si="7"/>
        <v>0</v>
      </c>
      <c r="L28" s="18">
        <f t="shared" si="1"/>
        <v>42.19</v>
      </c>
      <c r="M28" s="18">
        <f t="shared" si="8"/>
        <v>0</v>
      </c>
      <c r="N28" s="18">
        <f t="shared" si="2"/>
        <v>42.19</v>
      </c>
      <c r="O28" s="8"/>
    </row>
    <row r="29" spans="1:15">
      <c r="A29" s="1" t="s">
        <v>19</v>
      </c>
      <c r="B29" s="11"/>
      <c r="C29" s="11">
        <v>1198000</v>
      </c>
      <c r="D29" s="11">
        <v>1227000</v>
      </c>
      <c r="E29" s="11">
        <v>0</v>
      </c>
      <c r="F29" s="11">
        <f t="shared" si="0"/>
        <v>29000</v>
      </c>
      <c r="G29" s="17">
        <f t="shared" si="3"/>
        <v>42.19</v>
      </c>
      <c r="H29" s="17">
        <f t="shared" si="4"/>
        <v>23</v>
      </c>
      <c r="I29" s="17">
        <f t="shared" si="5"/>
        <v>24.03</v>
      </c>
      <c r="J29" s="18">
        <f t="shared" si="6"/>
        <v>0</v>
      </c>
      <c r="K29" s="18">
        <f t="shared" si="7"/>
        <v>0</v>
      </c>
      <c r="L29" s="18">
        <f t="shared" si="1"/>
        <v>89.22</v>
      </c>
      <c r="M29" s="18">
        <f t="shared" si="8"/>
        <v>0</v>
      </c>
      <c r="N29" s="18">
        <f t="shared" si="2"/>
        <v>89.22</v>
      </c>
      <c r="O29" s="8"/>
    </row>
    <row r="30" spans="1:15">
      <c r="A30" s="1" t="s">
        <v>20</v>
      </c>
      <c r="B30" s="11"/>
      <c r="C30" s="11">
        <v>2232000</v>
      </c>
      <c r="D30" s="11">
        <v>2235000</v>
      </c>
      <c r="E30" s="11">
        <v>0</v>
      </c>
      <c r="F30" s="11">
        <f t="shared" si="0"/>
        <v>3000</v>
      </c>
      <c r="G30" s="17">
        <f t="shared" si="3"/>
        <v>42.19</v>
      </c>
      <c r="H30" s="17">
        <f t="shared" si="4"/>
        <v>0</v>
      </c>
      <c r="I30" s="17">
        <f t="shared" si="5"/>
        <v>0</v>
      </c>
      <c r="J30" s="18">
        <f t="shared" si="6"/>
        <v>0</v>
      </c>
      <c r="K30" s="18">
        <f t="shared" si="7"/>
        <v>0</v>
      </c>
      <c r="L30" s="18">
        <f t="shared" si="1"/>
        <v>42.19</v>
      </c>
      <c r="M30" s="18">
        <f t="shared" si="8"/>
        <v>0</v>
      </c>
      <c r="N30" s="18">
        <f t="shared" si="2"/>
        <v>42.19</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679000</v>
      </c>
      <c r="D32" s="11">
        <v>687000</v>
      </c>
      <c r="E32" s="11">
        <v>0</v>
      </c>
      <c r="F32" s="11">
        <f t="shared" si="0"/>
        <v>8000</v>
      </c>
      <c r="G32" s="17">
        <f t="shared" si="3"/>
        <v>42.19</v>
      </c>
      <c r="H32" s="17">
        <f t="shared" si="4"/>
        <v>0</v>
      </c>
      <c r="I32" s="17">
        <f t="shared" si="5"/>
        <v>0</v>
      </c>
      <c r="J32" s="18">
        <f t="shared" si="6"/>
        <v>0</v>
      </c>
      <c r="K32" s="18">
        <f t="shared" si="7"/>
        <v>0</v>
      </c>
      <c r="L32" s="18">
        <f t="shared" si="1"/>
        <v>42.19</v>
      </c>
      <c r="M32" s="18">
        <f t="shared" si="8"/>
        <v>0</v>
      </c>
      <c r="N32" s="18">
        <f t="shared" si="2"/>
        <v>42.19</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2465000</v>
      </c>
      <c r="D35" s="11">
        <v>2497000</v>
      </c>
      <c r="E35" s="11">
        <v>0</v>
      </c>
      <c r="F35" s="11">
        <f t="shared" si="0"/>
        <v>32000</v>
      </c>
      <c r="G35" s="17">
        <f t="shared" si="3"/>
        <v>42.19</v>
      </c>
      <c r="H35" s="17">
        <f t="shared" si="4"/>
        <v>23</v>
      </c>
      <c r="I35" s="17">
        <f t="shared" si="5"/>
        <v>26.7</v>
      </c>
      <c r="J35" s="18">
        <f t="shared" si="6"/>
        <v>6.2</v>
      </c>
      <c r="K35" s="18">
        <f t="shared" si="7"/>
        <v>0</v>
      </c>
      <c r="L35" s="18">
        <f t="shared" si="1"/>
        <v>98.09</v>
      </c>
      <c r="M35" s="18">
        <f t="shared" si="8"/>
        <v>0</v>
      </c>
      <c r="N35" s="18">
        <f t="shared" si="2"/>
        <v>98.09</v>
      </c>
      <c r="O35" s="8"/>
    </row>
    <row r="36" spans="1:15">
      <c r="A36" s="1" t="s">
        <v>26</v>
      </c>
      <c r="B36" s="11"/>
      <c r="C36" s="11">
        <v>403000</v>
      </c>
      <c r="D36" s="11">
        <v>421000</v>
      </c>
      <c r="E36" s="11">
        <v>0</v>
      </c>
      <c r="F36" s="11">
        <f t="shared" si="0"/>
        <v>18000</v>
      </c>
      <c r="G36" s="17">
        <f t="shared" si="3"/>
        <v>42.19</v>
      </c>
      <c r="H36" s="17">
        <f t="shared" si="4"/>
        <v>18.399999999999999</v>
      </c>
      <c r="I36" s="17">
        <f t="shared" si="5"/>
        <v>0</v>
      </c>
      <c r="J36" s="18">
        <f t="shared" si="6"/>
        <v>0</v>
      </c>
      <c r="K36" s="18">
        <f t="shared" si="7"/>
        <v>0</v>
      </c>
      <c r="L36" s="18">
        <f t="shared" si="1"/>
        <v>60.589999999999996</v>
      </c>
      <c r="M36" s="18">
        <f t="shared" si="8"/>
        <v>0</v>
      </c>
      <c r="N36" s="18">
        <f t="shared" si="2"/>
        <v>60.589999999999996</v>
      </c>
      <c r="O36" s="8"/>
    </row>
    <row r="37" spans="1:15">
      <c r="A37" s="1" t="s">
        <v>27</v>
      </c>
      <c r="B37" s="11"/>
      <c r="C37" s="11">
        <v>2151000</v>
      </c>
      <c r="D37" s="11">
        <v>2154000</v>
      </c>
      <c r="E37" s="11">
        <v>0</v>
      </c>
      <c r="F37" s="11">
        <f t="shared" si="0"/>
        <v>3000</v>
      </c>
      <c r="G37" s="17">
        <f t="shared" si="3"/>
        <v>42.19</v>
      </c>
      <c r="H37" s="17">
        <f t="shared" si="4"/>
        <v>0</v>
      </c>
      <c r="I37" s="17">
        <f t="shared" si="5"/>
        <v>0</v>
      </c>
      <c r="J37" s="18">
        <f t="shared" si="6"/>
        <v>0</v>
      </c>
      <c r="K37" s="18">
        <f t="shared" si="7"/>
        <v>0</v>
      </c>
      <c r="L37" s="18">
        <f t="shared" si="1"/>
        <v>42.19</v>
      </c>
      <c r="M37" s="18">
        <f t="shared" si="8"/>
        <v>0</v>
      </c>
      <c r="N37" s="18">
        <f t="shared" si="2"/>
        <v>42.19</v>
      </c>
      <c r="O37" s="8"/>
    </row>
    <row r="38" spans="1:15">
      <c r="A38" s="1" t="s">
        <v>28</v>
      </c>
      <c r="B38" s="11"/>
      <c r="C38" s="11">
        <v>1384000</v>
      </c>
      <c r="D38" s="11">
        <v>1392000</v>
      </c>
      <c r="E38" s="11">
        <v>0</v>
      </c>
      <c r="F38" s="11">
        <f t="shared" si="0"/>
        <v>8000</v>
      </c>
      <c r="G38" s="17">
        <f t="shared" si="3"/>
        <v>42.19</v>
      </c>
      <c r="H38" s="17">
        <f t="shared" si="4"/>
        <v>0</v>
      </c>
      <c r="I38" s="17">
        <f t="shared" si="5"/>
        <v>0</v>
      </c>
      <c r="J38" s="18">
        <f t="shared" si="6"/>
        <v>0</v>
      </c>
      <c r="K38" s="18">
        <f t="shared" si="7"/>
        <v>0</v>
      </c>
      <c r="L38" s="18">
        <f t="shared" si="1"/>
        <v>42.19</v>
      </c>
      <c r="M38" s="18">
        <f t="shared" si="8"/>
        <v>0</v>
      </c>
      <c r="N38" s="18">
        <f t="shared" si="2"/>
        <v>42.19</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533000</v>
      </c>
      <c r="D41" s="11">
        <v>538000</v>
      </c>
      <c r="E41" s="11">
        <v>0</v>
      </c>
      <c r="F41" s="11">
        <f t="shared" si="0"/>
        <v>5000</v>
      </c>
      <c r="G41" s="17">
        <f t="shared" si="3"/>
        <v>42.19</v>
      </c>
      <c r="H41" s="17">
        <f t="shared" si="4"/>
        <v>0</v>
      </c>
      <c r="I41" s="17">
        <f t="shared" si="5"/>
        <v>0</v>
      </c>
      <c r="J41" s="18">
        <f t="shared" si="6"/>
        <v>0</v>
      </c>
      <c r="K41" s="18">
        <f t="shared" si="7"/>
        <v>0</v>
      </c>
      <c r="L41" s="18">
        <f t="shared" si="1"/>
        <v>42.19</v>
      </c>
      <c r="M41" s="18">
        <f t="shared" si="8"/>
        <v>0</v>
      </c>
      <c r="N41" s="18">
        <f t="shared" si="2"/>
        <v>42.19</v>
      </c>
      <c r="O41" s="8"/>
    </row>
    <row r="42" spans="1:15">
      <c r="A42" s="1" t="s">
        <v>32</v>
      </c>
      <c r="B42" s="11"/>
      <c r="C42" s="11">
        <v>3895000</v>
      </c>
      <c r="D42" s="11">
        <v>3901000</v>
      </c>
      <c r="E42" s="11">
        <v>0</v>
      </c>
      <c r="F42" s="11">
        <f t="shared" si="0"/>
        <v>6000</v>
      </c>
      <c r="G42" s="17">
        <f t="shared" si="3"/>
        <v>42.19</v>
      </c>
      <c r="H42" s="17">
        <f t="shared" si="4"/>
        <v>0</v>
      </c>
      <c r="I42" s="17">
        <f t="shared" si="5"/>
        <v>0</v>
      </c>
      <c r="J42" s="18">
        <f t="shared" si="6"/>
        <v>0</v>
      </c>
      <c r="K42" s="18">
        <f t="shared" si="7"/>
        <v>0</v>
      </c>
      <c r="L42" s="18">
        <f t="shared" si="1"/>
        <v>42.19</v>
      </c>
      <c r="M42" s="18">
        <f t="shared" si="8"/>
        <v>0</v>
      </c>
      <c r="N42" s="18">
        <f t="shared" si="2"/>
        <v>42.19</v>
      </c>
      <c r="O42" s="8"/>
    </row>
    <row r="43" spans="1:15">
      <c r="A43" s="1" t="s">
        <v>33</v>
      </c>
      <c r="B43" s="11"/>
      <c r="C43" s="11">
        <v>1202000</v>
      </c>
      <c r="D43" s="11">
        <v>1211000</v>
      </c>
      <c r="E43" s="11">
        <v>0</v>
      </c>
      <c r="F43" s="11">
        <f t="shared" si="0"/>
        <v>9000</v>
      </c>
      <c r="G43" s="17">
        <f t="shared" si="3"/>
        <v>42.19</v>
      </c>
      <c r="H43" s="17">
        <f t="shared" si="4"/>
        <v>0</v>
      </c>
      <c r="I43" s="17">
        <f t="shared" si="5"/>
        <v>0</v>
      </c>
      <c r="J43" s="18">
        <f t="shared" si="6"/>
        <v>0</v>
      </c>
      <c r="K43" s="18">
        <f t="shared" si="7"/>
        <v>0</v>
      </c>
      <c r="L43" s="18">
        <f t="shared" si="1"/>
        <v>42.19</v>
      </c>
      <c r="M43" s="18">
        <f t="shared" si="8"/>
        <v>0</v>
      </c>
      <c r="N43" s="18">
        <f t="shared" si="2"/>
        <v>42.19</v>
      </c>
      <c r="O43" s="8"/>
    </row>
    <row r="44" spans="1:15">
      <c r="A44" s="1" t="s">
        <v>34</v>
      </c>
      <c r="B44" s="11"/>
      <c r="C44" s="11">
        <v>270000</v>
      </c>
      <c r="D44" s="11">
        <v>307000</v>
      </c>
      <c r="E44" s="11">
        <v>0</v>
      </c>
      <c r="F44" s="11">
        <f t="shared" si="0"/>
        <v>37000</v>
      </c>
      <c r="G44" s="17">
        <f t="shared" si="3"/>
        <v>42.19</v>
      </c>
      <c r="H44" s="17">
        <f t="shared" si="4"/>
        <v>23</v>
      </c>
      <c r="I44" s="17">
        <f t="shared" si="5"/>
        <v>26.7</v>
      </c>
      <c r="J44" s="18">
        <f t="shared" si="6"/>
        <v>21.7</v>
      </c>
      <c r="K44" s="18">
        <f t="shared" si="7"/>
        <v>0</v>
      </c>
      <c r="L44" s="18">
        <f t="shared" si="1"/>
        <v>113.59</v>
      </c>
      <c r="M44" s="18">
        <f t="shared" si="8"/>
        <v>0</v>
      </c>
      <c r="N44" s="18">
        <f t="shared" si="2"/>
        <v>113.59</v>
      </c>
      <c r="O44" s="8" t="s">
        <v>175</v>
      </c>
    </row>
    <row r="45" spans="1:15">
      <c r="A45" s="1" t="s">
        <v>35</v>
      </c>
      <c r="B45" s="11"/>
      <c r="C45" s="11">
        <v>1624000</v>
      </c>
      <c r="D45" s="11">
        <v>1657000</v>
      </c>
      <c r="E45" s="11">
        <v>0</v>
      </c>
      <c r="F45" s="11">
        <f t="shared" si="0"/>
        <v>33000</v>
      </c>
      <c r="G45" s="17">
        <f t="shared" si="3"/>
        <v>42.19</v>
      </c>
      <c r="H45" s="17">
        <f t="shared" si="4"/>
        <v>23</v>
      </c>
      <c r="I45" s="17">
        <f t="shared" si="5"/>
        <v>26.7</v>
      </c>
      <c r="J45" s="18">
        <f t="shared" si="6"/>
        <v>9.3000000000000007</v>
      </c>
      <c r="K45" s="18">
        <f t="shared" si="7"/>
        <v>0</v>
      </c>
      <c r="L45" s="18">
        <f t="shared" si="1"/>
        <v>101.19</v>
      </c>
      <c r="M45" s="18">
        <f t="shared" si="8"/>
        <v>0</v>
      </c>
      <c r="N45" s="18">
        <f t="shared" si="2"/>
        <v>101.19</v>
      </c>
      <c r="O45" s="8"/>
    </row>
    <row r="46" spans="1:15">
      <c r="A46" s="1" t="s">
        <v>36</v>
      </c>
      <c r="B46" s="11"/>
      <c r="C46" s="11">
        <v>1606000</v>
      </c>
      <c r="D46" s="11">
        <v>1608000</v>
      </c>
      <c r="E46" s="11">
        <v>0</v>
      </c>
      <c r="F46" s="11">
        <f t="shared" si="0"/>
        <v>2000</v>
      </c>
      <c r="G46" s="17">
        <f t="shared" si="3"/>
        <v>42.19</v>
      </c>
      <c r="H46" s="17">
        <f t="shared" si="4"/>
        <v>0</v>
      </c>
      <c r="I46" s="17">
        <f t="shared" si="5"/>
        <v>0</v>
      </c>
      <c r="J46" s="18">
        <f t="shared" si="6"/>
        <v>0</v>
      </c>
      <c r="K46" s="18">
        <f t="shared" si="7"/>
        <v>0</v>
      </c>
      <c r="L46" s="18">
        <f t="shared" si="1"/>
        <v>42.19</v>
      </c>
      <c r="M46" s="18">
        <f t="shared" si="8"/>
        <v>0</v>
      </c>
      <c r="N46" s="18">
        <f t="shared" si="2"/>
        <v>42.19</v>
      </c>
      <c r="O46" s="8"/>
    </row>
    <row r="47" spans="1:15">
      <c r="A47" s="1" t="s">
        <v>37</v>
      </c>
      <c r="B47" s="11"/>
      <c r="C47" s="11">
        <v>1944000</v>
      </c>
      <c r="D47" s="11">
        <v>1985000</v>
      </c>
      <c r="E47" s="11">
        <v>0</v>
      </c>
      <c r="F47" s="11">
        <f t="shared" si="0"/>
        <v>41000</v>
      </c>
      <c r="G47" s="17">
        <f t="shared" si="3"/>
        <v>42.19</v>
      </c>
      <c r="H47" s="17">
        <f t="shared" si="4"/>
        <v>23</v>
      </c>
      <c r="I47" s="17">
        <f t="shared" si="5"/>
        <v>26.7</v>
      </c>
      <c r="J47" s="18">
        <f t="shared" si="6"/>
        <v>31</v>
      </c>
      <c r="K47" s="18">
        <f t="shared" si="7"/>
        <v>3.6</v>
      </c>
      <c r="L47" s="18">
        <f t="shared" si="1"/>
        <v>126.49</v>
      </c>
      <c r="M47" s="18">
        <f t="shared" si="8"/>
        <v>0</v>
      </c>
      <c r="N47" s="18">
        <f t="shared" si="2"/>
        <v>126.49</v>
      </c>
      <c r="O47" s="8"/>
    </row>
    <row r="48" spans="1:15">
      <c r="A48" s="1" t="s">
        <v>38</v>
      </c>
      <c r="B48" s="11"/>
      <c r="C48" s="11">
        <v>1800000</v>
      </c>
      <c r="D48" s="11">
        <v>1865000</v>
      </c>
      <c r="E48" s="11">
        <v>0</v>
      </c>
      <c r="F48" s="11">
        <f t="shared" si="0"/>
        <v>65000</v>
      </c>
      <c r="G48" s="17">
        <f t="shared" si="3"/>
        <v>42.19</v>
      </c>
      <c r="H48" s="17">
        <f t="shared" si="4"/>
        <v>23</v>
      </c>
      <c r="I48" s="17">
        <f t="shared" si="5"/>
        <v>26.7</v>
      </c>
      <c r="J48" s="18">
        <f t="shared" si="6"/>
        <v>31</v>
      </c>
      <c r="K48" s="18">
        <f t="shared" si="7"/>
        <v>90</v>
      </c>
      <c r="L48" s="18">
        <f t="shared" si="1"/>
        <v>212.89</v>
      </c>
      <c r="M48" s="18">
        <f t="shared" si="8"/>
        <v>0</v>
      </c>
      <c r="N48" s="18">
        <f t="shared" si="2"/>
        <v>212.89</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ref="M49:M80" si="9">IF(   $H$5=1,    IF((F49-$H$6)&gt;0,((F49-$H$6)/$P$7)*$E$8,0),   IF(F49&gt;0,(F49/$P$4)*$E$8,0)    )</f>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9"/>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9"/>
        <v>0</v>
      </c>
      <c r="N51" s="18">
        <f t="shared" si="2"/>
        <v>12.41</v>
      </c>
      <c r="O51" s="8"/>
    </row>
    <row r="52" spans="1:15">
      <c r="A52" s="1" t="s">
        <v>42</v>
      </c>
      <c r="B52" s="11"/>
      <c r="C52" s="11">
        <v>3072000</v>
      </c>
      <c r="D52" s="11">
        <v>3097000</v>
      </c>
      <c r="E52" s="11">
        <v>0</v>
      </c>
      <c r="F52" s="11">
        <f t="shared" si="0"/>
        <v>25000</v>
      </c>
      <c r="G52" s="17">
        <f t="shared" si="3"/>
        <v>42.19</v>
      </c>
      <c r="H52" s="17">
        <f t="shared" si="4"/>
        <v>23</v>
      </c>
      <c r="I52" s="17">
        <f t="shared" si="5"/>
        <v>13.35</v>
      </c>
      <c r="J52" s="18">
        <f t="shared" si="6"/>
        <v>0</v>
      </c>
      <c r="K52" s="18">
        <f t="shared" si="7"/>
        <v>0</v>
      </c>
      <c r="L52" s="18">
        <f t="shared" si="1"/>
        <v>78.539999999999992</v>
      </c>
      <c r="M52" s="18">
        <f t="shared" si="9"/>
        <v>0</v>
      </c>
      <c r="N52" s="18">
        <f t="shared" si="2"/>
        <v>78.539999999999992</v>
      </c>
      <c r="O52" s="8"/>
    </row>
    <row r="53" spans="1:15">
      <c r="A53" s="1" t="s">
        <v>43</v>
      </c>
      <c r="B53" s="11"/>
      <c r="C53" s="11">
        <v>3279000</v>
      </c>
      <c r="D53" s="11">
        <v>3289000</v>
      </c>
      <c r="E53" s="11">
        <v>0</v>
      </c>
      <c r="F53" s="11">
        <f t="shared" si="0"/>
        <v>10000</v>
      </c>
      <c r="G53" s="17">
        <f t="shared" si="3"/>
        <v>42.19</v>
      </c>
      <c r="H53" s="17">
        <f t="shared" si="4"/>
        <v>0</v>
      </c>
      <c r="I53" s="17">
        <f t="shared" si="5"/>
        <v>0</v>
      </c>
      <c r="J53" s="18">
        <f t="shared" si="6"/>
        <v>0</v>
      </c>
      <c r="K53" s="18">
        <f t="shared" si="7"/>
        <v>0</v>
      </c>
      <c r="L53" s="18">
        <f t="shared" si="1"/>
        <v>42.19</v>
      </c>
      <c r="M53" s="18">
        <f t="shared" si="9"/>
        <v>0</v>
      </c>
      <c r="N53" s="18">
        <f t="shared" si="2"/>
        <v>42.19</v>
      </c>
      <c r="O53" s="8"/>
    </row>
    <row r="54" spans="1:15">
      <c r="A54" s="1" t="s">
        <v>44</v>
      </c>
      <c r="B54" s="11"/>
      <c r="C54" s="11">
        <v>4139000</v>
      </c>
      <c r="D54" s="11">
        <v>4200000</v>
      </c>
      <c r="E54" s="11">
        <v>0</v>
      </c>
      <c r="F54" s="11">
        <f t="shared" si="0"/>
        <v>61000</v>
      </c>
      <c r="G54" s="17">
        <f t="shared" si="3"/>
        <v>42.19</v>
      </c>
      <c r="H54" s="17">
        <f t="shared" si="4"/>
        <v>23</v>
      </c>
      <c r="I54" s="17">
        <f t="shared" si="5"/>
        <v>26.7</v>
      </c>
      <c r="J54" s="18">
        <f t="shared" si="6"/>
        <v>31</v>
      </c>
      <c r="K54" s="18">
        <f t="shared" si="7"/>
        <v>75.600000000000009</v>
      </c>
      <c r="L54" s="18">
        <f t="shared" si="1"/>
        <v>198.49</v>
      </c>
      <c r="M54" s="18">
        <f t="shared" si="9"/>
        <v>0</v>
      </c>
      <c r="N54" s="18">
        <f t="shared" si="2"/>
        <v>198.49</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9"/>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9"/>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9"/>
        <v>0</v>
      </c>
      <c r="N57" s="18">
        <f t="shared" si="2"/>
        <v>12.41</v>
      </c>
      <c r="O57" s="8"/>
    </row>
    <row r="58" spans="1:15">
      <c r="A58" s="1" t="s">
        <v>48</v>
      </c>
      <c r="B58" s="11"/>
      <c r="C58" s="11">
        <v>1132000</v>
      </c>
      <c r="D58" s="11">
        <v>1134000</v>
      </c>
      <c r="E58" s="11">
        <v>0</v>
      </c>
      <c r="F58" s="11">
        <f t="shared" si="0"/>
        <v>2000</v>
      </c>
      <c r="G58" s="17">
        <f t="shared" si="3"/>
        <v>42.19</v>
      </c>
      <c r="H58" s="17">
        <f t="shared" si="4"/>
        <v>0</v>
      </c>
      <c r="I58" s="17">
        <f t="shared" si="5"/>
        <v>0</v>
      </c>
      <c r="J58" s="18">
        <f t="shared" si="6"/>
        <v>0</v>
      </c>
      <c r="K58" s="18">
        <f t="shared" si="7"/>
        <v>0</v>
      </c>
      <c r="L58" s="18">
        <f t="shared" si="1"/>
        <v>42.19</v>
      </c>
      <c r="M58" s="18">
        <f t="shared" si="9"/>
        <v>0</v>
      </c>
      <c r="N58" s="18">
        <f t="shared" si="2"/>
        <v>42.19</v>
      </c>
      <c r="O58" s="8"/>
    </row>
    <row r="59" spans="1:15">
      <c r="A59" s="1" t="s">
        <v>49</v>
      </c>
      <c r="B59" s="11"/>
      <c r="C59" s="11">
        <v>942000</v>
      </c>
      <c r="D59" s="11">
        <v>949000</v>
      </c>
      <c r="E59" s="11">
        <v>0</v>
      </c>
      <c r="F59" s="11">
        <f t="shared" si="0"/>
        <v>7000</v>
      </c>
      <c r="G59" s="17">
        <f t="shared" si="3"/>
        <v>42.19</v>
      </c>
      <c r="H59" s="17">
        <f t="shared" si="4"/>
        <v>0</v>
      </c>
      <c r="I59" s="17">
        <f t="shared" si="5"/>
        <v>0</v>
      </c>
      <c r="J59" s="18">
        <f t="shared" si="6"/>
        <v>0</v>
      </c>
      <c r="K59" s="18">
        <f t="shared" si="7"/>
        <v>0</v>
      </c>
      <c r="L59" s="18">
        <f t="shared" si="1"/>
        <v>42.19</v>
      </c>
      <c r="M59" s="18">
        <f t="shared" si="9"/>
        <v>0</v>
      </c>
      <c r="N59" s="18">
        <f t="shared" si="2"/>
        <v>42.19</v>
      </c>
      <c r="O59" s="8"/>
    </row>
    <row r="60" spans="1:15">
      <c r="A60" s="1" t="s">
        <v>50</v>
      </c>
      <c r="B60" s="11"/>
      <c r="C60" s="11">
        <v>3502000</v>
      </c>
      <c r="D60" s="11">
        <v>3514000</v>
      </c>
      <c r="E60" s="11">
        <v>0</v>
      </c>
      <c r="F60" s="11">
        <f t="shared" si="0"/>
        <v>12000</v>
      </c>
      <c r="G60" s="17">
        <f t="shared" si="3"/>
        <v>42.19</v>
      </c>
      <c r="H60" s="17">
        <f t="shared" si="4"/>
        <v>4.5999999999999996</v>
      </c>
      <c r="I60" s="17">
        <f t="shared" si="5"/>
        <v>0</v>
      </c>
      <c r="J60" s="18">
        <f t="shared" si="6"/>
        <v>0</v>
      </c>
      <c r="K60" s="18">
        <f t="shared" si="7"/>
        <v>0</v>
      </c>
      <c r="L60" s="18">
        <f t="shared" si="1"/>
        <v>46.79</v>
      </c>
      <c r="M60" s="18">
        <f t="shared" si="9"/>
        <v>0</v>
      </c>
      <c r="N60" s="18">
        <f t="shared" si="2"/>
        <v>46.79</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9"/>
        <v>0</v>
      </c>
      <c r="N61" s="18">
        <f t="shared" si="2"/>
        <v>12.41</v>
      </c>
      <c r="O61" s="8"/>
    </row>
    <row r="62" spans="1:15">
      <c r="A62" s="1" t="s">
        <v>52</v>
      </c>
      <c r="B62" s="11"/>
      <c r="C62" s="11">
        <v>1726000</v>
      </c>
      <c r="D62" s="11">
        <v>1732000</v>
      </c>
      <c r="E62" s="11">
        <v>0</v>
      </c>
      <c r="F62" s="11">
        <f t="shared" si="0"/>
        <v>6000</v>
      </c>
      <c r="G62" s="17">
        <f t="shared" si="3"/>
        <v>42.19</v>
      </c>
      <c r="H62" s="17">
        <f t="shared" si="4"/>
        <v>0</v>
      </c>
      <c r="I62" s="17">
        <f t="shared" si="5"/>
        <v>0</v>
      </c>
      <c r="J62" s="18">
        <f t="shared" si="6"/>
        <v>0</v>
      </c>
      <c r="K62" s="18">
        <f t="shared" si="7"/>
        <v>0</v>
      </c>
      <c r="L62" s="18">
        <f t="shared" si="1"/>
        <v>42.19</v>
      </c>
      <c r="M62" s="18">
        <f t="shared" si="9"/>
        <v>0</v>
      </c>
      <c r="N62" s="18">
        <f t="shared" si="2"/>
        <v>42.19</v>
      </c>
      <c r="O62" s="8"/>
    </row>
    <row r="63" spans="1:15">
      <c r="A63" s="1" t="s">
        <v>53</v>
      </c>
      <c r="B63" s="11"/>
      <c r="C63" s="11">
        <v>2373000</v>
      </c>
      <c r="D63" s="11">
        <v>2394000</v>
      </c>
      <c r="E63" s="11">
        <v>0</v>
      </c>
      <c r="F63" s="11">
        <f t="shared" si="0"/>
        <v>21000</v>
      </c>
      <c r="G63" s="17">
        <f t="shared" si="3"/>
        <v>42.19</v>
      </c>
      <c r="H63" s="17">
        <f t="shared" si="4"/>
        <v>23</v>
      </c>
      <c r="I63" s="17">
        <f t="shared" si="5"/>
        <v>2.67</v>
      </c>
      <c r="J63" s="18">
        <f t="shared" si="6"/>
        <v>0</v>
      </c>
      <c r="K63" s="18">
        <f t="shared" si="7"/>
        <v>0</v>
      </c>
      <c r="L63" s="18">
        <f t="shared" si="1"/>
        <v>67.86</v>
      </c>
      <c r="M63" s="18">
        <f t="shared" si="9"/>
        <v>0</v>
      </c>
      <c r="N63" s="18">
        <f t="shared" si="2"/>
        <v>67.86</v>
      </c>
      <c r="O63" s="8"/>
    </row>
    <row r="64" spans="1:15">
      <c r="A64" s="1" t="s">
        <v>54</v>
      </c>
      <c r="B64" s="11"/>
      <c r="C64" s="11">
        <v>3362000</v>
      </c>
      <c r="D64" s="11">
        <v>3442000</v>
      </c>
      <c r="E64" s="11">
        <v>0</v>
      </c>
      <c r="F64" s="11">
        <f t="shared" si="0"/>
        <v>80000</v>
      </c>
      <c r="G64" s="17">
        <f t="shared" si="3"/>
        <v>42.19</v>
      </c>
      <c r="H64" s="17">
        <f t="shared" si="4"/>
        <v>23</v>
      </c>
      <c r="I64" s="17">
        <f t="shared" si="5"/>
        <v>26.7</v>
      </c>
      <c r="J64" s="18">
        <f t="shared" si="6"/>
        <v>31</v>
      </c>
      <c r="K64" s="18">
        <f t="shared" si="7"/>
        <v>144</v>
      </c>
      <c r="L64" s="18">
        <f t="shared" si="1"/>
        <v>266.89</v>
      </c>
      <c r="M64" s="18">
        <f t="shared" si="9"/>
        <v>0</v>
      </c>
      <c r="N64" s="18">
        <f t="shared" si="2"/>
        <v>266.89</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9"/>
        <v>0</v>
      </c>
      <c r="N65" s="18">
        <f t="shared" si="2"/>
        <v>12.41</v>
      </c>
      <c r="O65" s="8"/>
    </row>
    <row r="66" spans="1:15">
      <c r="A66" s="1" t="s">
        <v>56</v>
      </c>
      <c r="B66" s="11"/>
      <c r="C66" s="11">
        <v>1541000</v>
      </c>
      <c r="D66" s="11">
        <v>1565000</v>
      </c>
      <c r="E66" s="11">
        <v>0</v>
      </c>
      <c r="F66" s="11">
        <f t="shared" si="0"/>
        <v>24000</v>
      </c>
      <c r="G66" s="17">
        <f t="shared" si="3"/>
        <v>42.19</v>
      </c>
      <c r="H66" s="17">
        <f t="shared" si="4"/>
        <v>23</v>
      </c>
      <c r="I66" s="17">
        <f t="shared" si="5"/>
        <v>10.68</v>
      </c>
      <c r="J66" s="18">
        <f t="shared" si="6"/>
        <v>0</v>
      </c>
      <c r="K66" s="18">
        <f t="shared" si="7"/>
        <v>0</v>
      </c>
      <c r="L66" s="18">
        <f t="shared" si="1"/>
        <v>75.87</v>
      </c>
      <c r="M66" s="18">
        <f t="shared" si="9"/>
        <v>0</v>
      </c>
      <c r="N66" s="18">
        <f t="shared" si="2"/>
        <v>75.87</v>
      </c>
      <c r="O66" s="8"/>
    </row>
    <row r="67" spans="1:15">
      <c r="A67" s="1" t="s">
        <v>57</v>
      </c>
      <c r="B67" s="11"/>
      <c r="C67" s="11">
        <v>1618000</v>
      </c>
      <c r="D67" s="11">
        <v>1618000</v>
      </c>
      <c r="E67" s="11">
        <v>0</v>
      </c>
      <c r="F67" s="11">
        <f t="shared" si="0"/>
        <v>0</v>
      </c>
      <c r="G67" s="17">
        <f t="shared" si="3"/>
        <v>42.19</v>
      </c>
      <c r="H67" s="17">
        <f t="shared" si="4"/>
        <v>0</v>
      </c>
      <c r="I67" s="17">
        <f t="shared" si="5"/>
        <v>0</v>
      </c>
      <c r="J67" s="18">
        <f t="shared" si="6"/>
        <v>0</v>
      </c>
      <c r="K67" s="18">
        <f t="shared" si="7"/>
        <v>0</v>
      </c>
      <c r="L67" s="18">
        <f t="shared" si="1"/>
        <v>42.19</v>
      </c>
      <c r="M67" s="18">
        <f t="shared" si="9"/>
        <v>0</v>
      </c>
      <c r="N67" s="18">
        <f t="shared" si="2"/>
        <v>42.19</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9"/>
        <v>0</v>
      </c>
      <c r="N68" s="18">
        <f t="shared" si="2"/>
        <v>12.41</v>
      </c>
      <c r="O68" s="8"/>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9"/>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9"/>
        <v>0</v>
      </c>
      <c r="N70" s="18">
        <f t="shared" si="2"/>
        <v>12.41</v>
      </c>
      <c r="O70" s="8"/>
    </row>
    <row r="71" spans="1:15">
      <c r="A71" s="1" t="s">
        <v>61</v>
      </c>
      <c r="B71" s="11"/>
      <c r="C71" s="11">
        <v>1366000</v>
      </c>
      <c r="D71" s="11">
        <v>1370000</v>
      </c>
      <c r="E71" s="11">
        <v>0</v>
      </c>
      <c r="F71" s="11">
        <f t="shared" si="0"/>
        <v>4000</v>
      </c>
      <c r="G71" s="17">
        <f t="shared" si="3"/>
        <v>42.19</v>
      </c>
      <c r="H71" s="17">
        <f t="shared" si="4"/>
        <v>0</v>
      </c>
      <c r="I71" s="17">
        <f t="shared" si="5"/>
        <v>0</v>
      </c>
      <c r="J71" s="18">
        <f t="shared" si="6"/>
        <v>0</v>
      </c>
      <c r="K71" s="18">
        <f t="shared" si="7"/>
        <v>0</v>
      </c>
      <c r="L71" s="18">
        <f t="shared" si="1"/>
        <v>42.19</v>
      </c>
      <c r="M71" s="18">
        <f t="shared" si="9"/>
        <v>0</v>
      </c>
      <c r="N71" s="18">
        <f t="shared" si="2"/>
        <v>42.19</v>
      </c>
      <c r="O71" s="8"/>
    </row>
    <row r="72" spans="1:15">
      <c r="A72" s="1" t="s">
        <v>62</v>
      </c>
      <c r="B72" s="11"/>
      <c r="C72" s="11">
        <v>1924000</v>
      </c>
      <c r="D72" s="11">
        <v>1927000</v>
      </c>
      <c r="E72" s="11">
        <v>0</v>
      </c>
      <c r="F72" s="11">
        <f t="shared" si="0"/>
        <v>3000</v>
      </c>
      <c r="G72" s="17">
        <f t="shared" si="3"/>
        <v>42.19</v>
      </c>
      <c r="H72" s="17">
        <f t="shared" si="4"/>
        <v>0</v>
      </c>
      <c r="I72" s="17">
        <f t="shared" si="5"/>
        <v>0</v>
      </c>
      <c r="J72" s="18">
        <f t="shared" si="6"/>
        <v>0</v>
      </c>
      <c r="K72" s="18">
        <f t="shared" si="7"/>
        <v>0</v>
      </c>
      <c r="L72" s="18">
        <f t="shared" si="1"/>
        <v>42.19</v>
      </c>
      <c r="M72" s="18">
        <f t="shared" si="9"/>
        <v>0</v>
      </c>
      <c r="N72" s="18">
        <f t="shared" si="2"/>
        <v>42.19</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9"/>
        <v>0</v>
      </c>
      <c r="N73" s="18">
        <f t="shared" si="2"/>
        <v>12.41</v>
      </c>
      <c r="O73" s="8"/>
    </row>
    <row r="74" spans="1:15">
      <c r="A74" s="1" t="s">
        <v>64</v>
      </c>
      <c r="B74" s="11"/>
      <c r="C74" s="11">
        <v>4941000</v>
      </c>
      <c r="D74" s="11">
        <v>4977000</v>
      </c>
      <c r="E74" s="11">
        <v>0</v>
      </c>
      <c r="F74" s="11">
        <f t="shared" si="0"/>
        <v>36000</v>
      </c>
      <c r="G74" s="17">
        <f t="shared" si="3"/>
        <v>42.19</v>
      </c>
      <c r="H74" s="17">
        <f t="shared" si="4"/>
        <v>23</v>
      </c>
      <c r="I74" s="17">
        <f t="shared" si="5"/>
        <v>26.7</v>
      </c>
      <c r="J74" s="18">
        <f t="shared" si="6"/>
        <v>18.600000000000001</v>
      </c>
      <c r="K74" s="18">
        <f t="shared" si="7"/>
        <v>0</v>
      </c>
      <c r="L74" s="18">
        <f t="shared" si="1"/>
        <v>110.49000000000001</v>
      </c>
      <c r="M74" s="18">
        <f t="shared" si="9"/>
        <v>0</v>
      </c>
      <c r="N74" s="18">
        <f t="shared" si="2"/>
        <v>110.49000000000001</v>
      </c>
      <c r="O74" s="8"/>
    </row>
    <row r="75" spans="1:15">
      <c r="A75" s="1" t="s">
        <v>65</v>
      </c>
      <c r="B75" s="11"/>
      <c r="C75" s="11">
        <v>6648000</v>
      </c>
      <c r="D75" s="11">
        <v>6687000</v>
      </c>
      <c r="E75" s="11">
        <v>0</v>
      </c>
      <c r="F75" s="11">
        <f t="shared" ref="F75:F136" si="10">($D75-$C75)+$E75</f>
        <v>39000</v>
      </c>
      <c r="G75" s="17">
        <f t="shared" si="3"/>
        <v>42.19</v>
      </c>
      <c r="H75" s="17">
        <f t="shared" si="4"/>
        <v>23</v>
      </c>
      <c r="I75" s="17">
        <f t="shared" si="5"/>
        <v>26.7</v>
      </c>
      <c r="J75" s="18">
        <f t="shared" si="6"/>
        <v>27.900000000000002</v>
      </c>
      <c r="K75" s="18">
        <f t="shared" si="7"/>
        <v>0</v>
      </c>
      <c r="L75" s="18">
        <f t="shared" si="1"/>
        <v>119.79</v>
      </c>
      <c r="M75" s="18">
        <f t="shared" si="9"/>
        <v>0</v>
      </c>
      <c r="N75" s="18">
        <f t="shared" si="2"/>
        <v>119.79</v>
      </c>
      <c r="O75" s="8"/>
    </row>
    <row r="76" spans="1:15">
      <c r="A76" s="1" t="s">
        <v>66</v>
      </c>
      <c r="B76" s="11"/>
      <c r="C76" s="11">
        <v>9245000</v>
      </c>
      <c r="D76" s="11">
        <v>9256000</v>
      </c>
      <c r="E76" s="11">
        <v>0</v>
      </c>
      <c r="F76" s="11">
        <f t="shared" si="10"/>
        <v>11000</v>
      </c>
      <c r="G76" s="17">
        <f t="shared" si="3"/>
        <v>42.19</v>
      </c>
      <c r="H76" s="17">
        <f t="shared" si="4"/>
        <v>2.2999999999999998</v>
      </c>
      <c r="I76" s="17">
        <f t="shared" si="5"/>
        <v>0</v>
      </c>
      <c r="J76" s="18">
        <f t="shared" si="6"/>
        <v>0</v>
      </c>
      <c r="K76" s="18">
        <f t="shared" si="7"/>
        <v>0</v>
      </c>
      <c r="L76" s="18">
        <f t="shared" ref="L76:L136" si="11">SUM(G76:K76)</f>
        <v>44.489999999999995</v>
      </c>
      <c r="M76" s="18">
        <f t="shared" si="9"/>
        <v>0</v>
      </c>
      <c r="N76" s="18">
        <f t="shared" ref="N76:N136" si="12">SUM(L76:M76)</f>
        <v>44.489999999999995</v>
      </c>
      <c r="O76" s="8"/>
    </row>
    <row r="77" spans="1:15">
      <c r="A77" s="1" t="s">
        <v>67</v>
      </c>
      <c r="B77" s="11" t="s">
        <v>138</v>
      </c>
      <c r="C77" s="11">
        <v>0</v>
      </c>
      <c r="D77" s="11">
        <v>0</v>
      </c>
      <c r="E77" s="11">
        <v>0</v>
      </c>
      <c r="F77" s="11">
        <f t="shared" si="10"/>
        <v>0</v>
      </c>
      <c r="G77" s="17">
        <f t="shared" si="3"/>
        <v>12.41</v>
      </c>
      <c r="H77" s="17">
        <f t="shared" si="4"/>
        <v>0</v>
      </c>
      <c r="I77" s="17">
        <f t="shared" si="5"/>
        <v>0</v>
      </c>
      <c r="J77" s="18">
        <f t="shared" si="6"/>
        <v>0</v>
      </c>
      <c r="K77" s="18">
        <f t="shared" si="7"/>
        <v>0</v>
      </c>
      <c r="L77" s="18">
        <f t="shared" si="11"/>
        <v>12.41</v>
      </c>
      <c r="M77" s="18">
        <f t="shared" si="9"/>
        <v>0</v>
      </c>
      <c r="N77" s="18">
        <f t="shared" si="12"/>
        <v>12.41</v>
      </c>
      <c r="O77" s="8"/>
    </row>
    <row r="78" spans="1:15">
      <c r="A78" s="1" t="s">
        <v>68</v>
      </c>
      <c r="B78" s="11"/>
      <c r="C78" s="11">
        <v>3617000</v>
      </c>
      <c r="D78" s="11">
        <v>3628000</v>
      </c>
      <c r="E78" s="11">
        <v>0</v>
      </c>
      <c r="F78" s="11">
        <f t="shared" si="10"/>
        <v>11000</v>
      </c>
      <c r="G78" s="17">
        <f t="shared" si="3"/>
        <v>42.19</v>
      </c>
      <c r="H78" s="17">
        <f t="shared" si="4"/>
        <v>2.2999999999999998</v>
      </c>
      <c r="I78" s="17">
        <f t="shared" si="5"/>
        <v>0</v>
      </c>
      <c r="J78" s="18">
        <f t="shared" si="6"/>
        <v>0</v>
      </c>
      <c r="K78" s="18">
        <f t="shared" si="7"/>
        <v>0</v>
      </c>
      <c r="L78" s="18">
        <f t="shared" si="11"/>
        <v>44.489999999999995</v>
      </c>
      <c r="M78" s="18">
        <f t="shared" si="9"/>
        <v>0</v>
      </c>
      <c r="N78" s="18">
        <f t="shared" si="12"/>
        <v>44.489999999999995</v>
      </c>
      <c r="O78" s="8"/>
    </row>
    <row r="79" spans="1:15">
      <c r="A79" s="1" t="s">
        <v>69</v>
      </c>
      <c r="B79" s="11"/>
      <c r="C79" s="11">
        <v>2375000</v>
      </c>
      <c r="D79" s="11">
        <v>2407000</v>
      </c>
      <c r="E79" s="11">
        <v>0</v>
      </c>
      <c r="F79" s="11">
        <f t="shared" si="10"/>
        <v>32000</v>
      </c>
      <c r="G79" s="17">
        <f t="shared" si="3"/>
        <v>42.19</v>
      </c>
      <c r="H79" s="17">
        <f t="shared" si="4"/>
        <v>23</v>
      </c>
      <c r="I79" s="17">
        <f t="shared" si="5"/>
        <v>26.7</v>
      </c>
      <c r="J79" s="18">
        <f t="shared" si="6"/>
        <v>6.2</v>
      </c>
      <c r="K79" s="18">
        <f t="shared" si="7"/>
        <v>0</v>
      </c>
      <c r="L79" s="18">
        <f t="shared" si="11"/>
        <v>98.09</v>
      </c>
      <c r="M79" s="18">
        <f t="shared" si="9"/>
        <v>0</v>
      </c>
      <c r="N79" s="18">
        <f t="shared" si="12"/>
        <v>98.09</v>
      </c>
      <c r="O79" s="8"/>
    </row>
    <row r="80" spans="1:15">
      <c r="A80" s="1" t="s">
        <v>70</v>
      </c>
      <c r="B80" s="11"/>
      <c r="C80" s="11">
        <v>1467000</v>
      </c>
      <c r="D80" s="11">
        <v>1485000</v>
      </c>
      <c r="E80" s="11">
        <v>0</v>
      </c>
      <c r="F80" s="11">
        <f t="shared" si="10"/>
        <v>18000</v>
      </c>
      <c r="G80" s="17">
        <f t="shared" si="3"/>
        <v>42.19</v>
      </c>
      <c r="H80" s="17">
        <f t="shared" si="4"/>
        <v>18.399999999999999</v>
      </c>
      <c r="I80" s="17">
        <f t="shared" si="5"/>
        <v>0</v>
      </c>
      <c r="J80" s="18">
        <f t="shared" si="6"/>
        <v>0</v>
      </c>
      <c r="K80" s="18">
        <f t="shared" si="7"/>
        <v>0</v>
      </c>
      <c r="L80" s="18">
        <f t="shared" si="11"/>
        <v>60.589999999999996</v>
      </c>
      <c r="M80" s="18">
        <f t="shared" si="9"/>
        <v>0</v>
      </c>
      <c r="N80" s="18">
        <f t="shared" si="12"/>
        <v>60.589999999999996</v>
      </c>
      <c r="O80" s="8"/>
    </row>
    <row r="81" spans="1:15">
      <c r="A81" s="1" t="s">
        <v>71</v>
      </c>
      <c r="B81" s="11" t="s">
        <v>138</v>
      </c>
      <c r="C81" s="11">
        <v>0</v>
      </c>
      <c r="D81" s="11">
        <v>0</v>
      </c>
      <c r="E81" s="11">
        <v>0</v>
      </c>
      <c r="F81" s="11">
        <f t="shared" si="10"/>
        <v>0</v>
      </c>
      <c r="G81" s="17">
        <f t="shared" ref="G81:G136" si="13">IF(OR($F81&gt;0,$B81=""),$K$4,$N$4)</f>
        <v>12.41</v>
      </c>
      <c r="H81" s="17">
        <f t="shared" ref="H81:H136" si="14">IF(AND((($F81-10000)&gt;=0),(($F81-10000)&lt;= 10000)),($F81-10000)/1000*$K$5,IF(($F81-10000)&gt;=10000,$K$5*10,0))</f>
        <v>0</v>
      </c>
      <c r="I81" s="17">
        <f t="shared" ref="I81:I136" si="15">IF(AND((($F81-20000)&gt;=0),(($F81-20000)&lt;=10000)),($F81-20000)/1000*$K$6,IF(($F81-20000)&gt;=10000,$K$6*10,0))</f>
        <v>0</v>
      </c>
      <c r="J81" s="18">
        <f t="shared" ref="J81:J136" si="16">IF(AND((($F81-30000)&gt;=0),(($F81-30000)&lt;=10000)),($F81-30000)/1000*$K$7,IF(($F81-30000)&gt;=10000,$K$7*10,0))</f>
        <v>0</v>
      </c>
      <c r="K81" s="18">
        <f t="shared" ref="K81:K136" si="17">IF((($F81-40000)&gt;=0),($F81-40000)/1000*$K$8,0)</f>
        <v>0</v>
      </c>
      <c r="L81" s="18">
        <f t="shared" si="11"/>
        <v>12.41</v>
      </c>
      <c r="M81" s="18">
        <f t="shared" ref="M81:M112" si="18">IF(   $H$5=1,    IF((F81-$H$6)&gt;0,((F81-$H$6)/$P$7)*$E$8,0),   IF(F81&gt;0,(F81/$P$4)*$E$8,0)    )</f>
        <v>0</v>
      </c>
      <c r="N81" s="18">
        <f t="shared" si="12"/>
        <v>12.41</v>
      </c>
      <c r="O81" s="8"/>
    </row>
    <row r="82" spans="1:15">
      <c r="A82" s="1" t="s">
        <v>72</v>
      </c>
      <c r="B82" s="11"/>
      <c r="C82" s="11">
        <v>191000</v>
      </c>
      <c r="D82" s="11">
        <v>216000</v>
      </c>
      <c r="E82" s="11">
        <v>0</v>
      </c>
      <c r="F82" s="11">
        <f t="shared" si="10"/>
        <v>25000</v>
      </c>
      <c r="G82" s="17">
        <f t="shared" si="13"/>
        <v>42.19</v>
      </c>
      <c r="H82" s="17">
        <f t="shared" si="14"/>
        <v>23</v>
      </c>
      <c r="I82" s="17">
        <f t="shared" si="15"/>
        <v>13.35</v>
      </c>
      <c r="J82" s="18">
        <f t="shared" si="16"/>
        <v>0</v>
      </c>
      <c r="K82" s="18">
        <f t="shared" si="17"/>
        <v>0</v>
      </c>
      <c r="L82" s="18">
        <f t="shared" si="11"/>
        <v>78.539999999999992</v>
      </c>
      <c r="M82" s="18">
        <f t="shared" si="18"/>
        <v>0</v>
      </c>
      <c r="N82" s="18">
        <f t="shared" si="12"/>
        <v>78.539999999999992</v>
      </c>
      <c r="O82" s="8" t="s">
        <v>139</v>
      </c>
    </row>
    <row r="83" spans="1:15">
      <c r="A83" s="1" t="s">
        <v>73</v>
      </c>
      <c r="B83" s="11"/>
      <c r="C83" s="11">
        <v>1984000</v>
      </c>
      <c r="D83" s="11">
        <v>1988000</v>
      </c>
      <c r="E83" s="11">
        <v>0</v>
      </c>
      <c r="F83" s="11">
        <f t="shared" si="10"/>
        <v>4000</v>
      </c>
      <c r="G83" s="17">
        <f t="shared" si="13"/>
        <v>42.19</v>
      </c>
      <c r="H83" s="17">
        <f t="shared" si="14"/>
        <v>0</v>
      </c>
      <c r="I83" s="17">
        <f t="shared" si="15"/>
        <v>0</v>
      </c>
      <c r="J83" s="18">
        <f t="shared" si="16"/>
        <v>0</v>
      </c>
      <c r="K83" s="18">
        <f t="shared" si="17"/>
        <v>0</v>
      </c>
      <c r="L83" s="18">
        <f t="shared" si="11"/>
        <v>42.19</v>
      </c>
      <c r="M83" s="18">
        <f t="shared" si="18"/>
        <v>0</v>
      </c>
      <c r="N83" s="18">
        <f t="shared" si="12"/>
        <v>42.19</v>
      </c>
      <c r="O83" s="8"/>
    </row>
    <row r="84" spans="1:15">
      <c r="A84" s="1" t="s">
        <v>74</v>
      </c>
      <c r="B84" s="11" t="s">
        <v>138</v>
      </c>
      <c r="C84" s="11">
        <v>0</v>
      </c>
      <c r="D84" s="11">
        <v>0</v>
      </c>
      <c r="E84" s="11">
        <v>0</v>
      </c>
      <c r="F84" s="11">
        <f t="shared" si="10"/>
        <v>0</v>
      </c>
      <c r="G84" s="17">
        <f t="shared" si="13"/>
        <v>12.41</v>
      </c>
      <c r="H84" s="17">
        <f t="shared" si="14"/>
        <v>0</v>
      </c>
      <c r="I84" s="17">
        <f t="shared" si="15"/>
        <v>0</v>
      </c>
      <c r="J84" s="18">
        <f t="shared" si="16"/>
        <v>0</v>
      </c>
      <c r="K84" s="18">
        <f t="shared" si="17"/>
        <v>0</v>
      </c>
      <c r="L84" s="18">
        <f t="shared" si="11"/>
        <v>12.41</v>
      </c>
      <c r="M84" s="18">
        <f t="shared" si="18"/>
        <v>0</v>
      </c>
      <c r="N84" s="18">
        <f t="shared" si="12"/>
        <v>12.41</v>
      </c>
      <c r="O84" s="8"/>
    </row>
    <row r="85" spans="1:15">
      <c r="A85" s="1" t="s">
        <v>75</v>
      </c>
      <c r="B85" s="11"/>
      <c r="C85" s="11">
        <v>744000</v>
      </c>
      <c r="D85" s="11">
        <v>746000</v>
      </c>
      <c r="E85" s="11">
        <v>0</v>
      </c>
      <c r="F85" s="11">
        <f t="shared" si="10"/>
        <v>2000</v>
      </c>
      <c r="G85" s="17">
        <f t="shared" si="13"/>
        <v>42.19</v>
      </c>
      <c r="H85" s="17">
        <f t="shared" si="14"/>
        <v>0</v>
      </c>
      <c r="I85" s="17">
        <f t="shared" si="15"/>
        <v>0</v>
      </c>
      <c r="J85" s="18">
        <f t="shared" si="16"/>
        <v>0</v>
      </c>
      <c r="K85" s="18">
        <f t="shared" si="17"/>
        <v>0</v>
      </c>
      <c r="L85" s="18">
        <f t="shared" si="11"/>
        <v>42.19</v>
      </c>
      <c r="M85" s="18">
        <f t="shared" si="18"/>
        <v>0</v>
      </c>
      <c r="N85" s="18">
        <f t="shared" si="12"/>
        <v>42.19</v>
      </c>
      <c r="O85" s="8"/>
    </row>
    <row r="86" spans="1:15">
      <c r="A86" s="1" t="s">
        <v>76</v>
      </c>
      <c r="B86" s="11"/>
      <c r="C86" s="11">
        <v>174000</v>
      </c>
      <c r="D86" s="11">
        <v>191000</v>
      </c>
      <c r="E86" s="11">
        <v>0</v>
      </c>
      <c r="F86" s="11">
        <f t="shared" si="10"/>
        <v>17000</v>
      </c>
      <c r="G86" s="17">
        <f t="shared" si="13"/>
        <v>42.19</v>
      </c>
      <c r="H86" s="17">
        <f t="shared" si="14"/>
        <v>16.099999999999998</v>
      </c>
      <c r="I86" s="17">
        <f t="shared" si="15"/>
        <v>0</v>
      </c>
      <c r="J86" s="18">
        <f t="shared" si="16"/>
        <v>0</v>
      </c>
      <c r="K86" s="18">
        <f t="shared" si="17"/>
        <v>0</v>
      </c>
      <c r="L86" s="18">
        <f t="shared" si="11"/>
        <v>58.289999999999992</v>
      </c>
      <c r="M86" s="18">
        <f t="shared" si="18"/>
        <v>0</v>
      </c>
      <c r="N86" s="18">
        <f t="shared" si="12"/>
        <v>58.289999999999992</v>
      </c>
      <c r="O86" s="8" t="s">
        <v>139</v>
      </c>
    </row>
    <row r="87" spans="1:15">
      <c r="A87" s="1" t="s">
        <v>77</v>
      </c>
      <c r="B87" s="11"/>
      <c r="C87" s="11">
        <v>123000</v>
      </c>
      <c r="D87" s="11">
        <v>126000</v>
      </c>
      <c r="E87" s="11">
        <v>0</v>
      </c>
      <c r="F87" s="11">
        <f t="shared" si="10"/>
        <v>3000</v>
      </c>
      <c r="G87" s="17">
        <f t="shared" si="13"/>
        <v>42.19</v>
      </c>
      <c r="H87" s="17">
        <f t="shared" si="14"/>
        <v>0</v>
      </c>
      <c r="I87" s="17">
        <f t="shared" si="15"/>
        <v>0</v>
      </c>
      <c r="J87" s="18">
        <f t="shared" si="16"/>
        <v>0</v>
      </c>
      <c r="K87" s="18">
        <f t="shared" si="17"/>
        <v>0</v>
      </c>
      <c r="L87" s="18">
        <f t="shared" si="11"/>
        <v>42.19</v>
      </c>
      <c r="M87" s="18">
        <f t="shared" si="18"/>
        <v>0</v>
      </c>
      <c r="N87" s="18">
        <f t="shared" si="12"/>
        <v>42.19</v>
      </c>
      <c r="O87" s="8"/>
    </row>
    <row r="88" spans="1:15">
      <c r="A88" s="1" t="s">
        <v>78</v>
      </c>
      <c r="B88" s="11"/>
      <c r="C88" s="11">
        <v>1258000</v>
      </c>
      <c r="D88" s="11">
        <v>1291000</v>
      </c>
      <c r="E88" s="11">
        <v>0</v>
      </c>
      <c r="F88" s="11">
        <f t="shared" si="10"/>
        <v>33000</v>
      </c>
      <c r="G88" s="17">
        <f t="shared" si="13"/>
        <v>42.19</v>
      </c>
      <c r="H88" s="17">
        <f t="shared" si="14"/>
        <v>23</v>
      </c>
      <c r="I88" s="17">
        <f t="shared" si="15"/>
        <v>26.7</v>
      </c>
      <c r="J88" s="18">
        <f t="shared" si="16"/>
        <v>9.3000000000000007</v>
      </c>
      <c r="K88" s="18">
        <f t="shared" si="17"/>
        <v>0</v>
      </c>
      <c r="L88" s="18">
        <f t="shared" si="11"/>
        <v>101.19</v>
      </c>
      <c r="M88" s="18">
        <f t="shared" si="18"/>
        <v>0</v>
      </c>
      <c r="N88" s="18">
        <f t="shared" si="12"/>
        <v>101.19</v>
      </c>
      <c r="O88" s="8"/>
    </row>
    <row r="89" spans="1:15">
      <c r="A89" s="1" t="s">
        <v>79</v>
      </c>
      <c r="B89" s="11"/>
      <c r="C89" s="11">
        <v>3464000</v>
      </c>
      <c r="D89" s="11">
        <v>3469000</v>
      </c>
      <c r="E89" s="11">
        <v>0</v>
      </c>
      <c r="F89" s="11">
        <f t="shared" si="10"/>
        <v>5000</v>
      </c>
      <c r="G89" s="17">
        <f t="shared" si="13"/>
        <v>42.19</v>
      </c>
      <c r="H89" s="17">
        <f t="shared" si="14"/>
        <v>0</v>
      </c>
      <c r="I89" s="17">
        <f t="shared" si="15"/>
        <v>0</v>
      </c>
      <c r="J89" s="18">
        <f t="shared" si="16"/>
        <v>0</v>
      </c>
      <c r="K89" s="18">
        <f t="shared" si="17"/>
        <v>0</v>
      </c>
      <c r="L89" s="18">
        <f t="shared" si="11"/>
        <v>42.19</v>
      </c>
      <c r="M89" s="18">
        <f t="shared" si="18"/>
        <v>0</v>
      </c>
      <c r="N89" s="18">
        <f t="shared" si="12"/>
        <v>42.19</v>
      </c>
      <c r="O89" s="8"/>
    </row>
    <row r="90" spans="1:15">
      <c r="A90" s="1" t="s">
        <v>80</v>
      </c>
      <c r="B90" s="11"/>
      <c r="C90" s="11">
        <v>3037000</v>
      </c>
      <c r="D90" s="11">
        <v>3040000</v>
      </c>
      <c r="E90" s="11">
        <v>0</v>
      </c>
      <c r="F90" s="11">
        <f t="shared" si="10"/>
        <v>3000</v>
      </c>
      <c r="G90" s="17">
        <f t="shared" si="13"/>
        <v>42.19</v>
      </c>
      <c r="H90" s="17">
        <f t="shared" si="14"/>
        <v>0</v>
      </c>
      <c r="I90" s="17">
        <f t="shared" si="15"/>
        <v>0</v>
      </c>
      <c r="J90" s="18">
        <f t="shared" si="16"/>
        <v>0</v>
      </c>
      <c r="K90" s="18">
        <f t="shared" si="17"/>
        <v>0</v>
      </c>
      <c r="L90" s="18">
        <f t="shared" si="11"/>
        <v>42.19</v>
      </c>
      <c r="M90" s="18">
        <f t="shared" si="18"/>
        <v>0</v>
      </c>
      <c r="N90" s="18">
        <f t="shared" si="12"/>
        <v>42.19</v>
      </c>
      <c r="O90" s="8"/>
    </row>
    <row r="91" spans="1:15">
      <c r="A91" s="1" t="s">
        <v>81</v>
      </c>
      <c r="B91" s="11" t="s">
        <v>138</v>
      </c>
      <c r="C91" s="11">
        <v>0</v>
      </c>
      <c r="D91" s="11">
        <v>0</v>
      </c>
      <c r="E91" s="11">
        <v>0</v>
      </c>
      <c r="F91" s="11">
        <f t="shared" si="10"/>
        <v>0</v>
      </c>
      <c r="G91" s="17">
        <f t="shared" si="13"/>
        <v>12.41</v>
      </c>
      <c r="H91" s="17">
        <f t="shared" si="14"/>
        <v>0</v>
      </c>
      <c r="I91" s="17">
        <f t="shared" si="15"/>
        <v>0</v>
      </c>
      <c r="J91" s="18">
        <f t="shared" si="16"/>
        <v>0</v>
      </c>
      <c r="K91" s="18">
        <f t="shared" si="17"/>
        <v>0</v>
      </c>
      <c r="L91" s="18">
        <f t="shared" si="11"/>
        <v>12.41</v>
      </c>
      <c r="M91" s="18">
        <f t="shared" si="18"/>
        <v>0</v>
      </c>
      <c r="N91" s="18">
        <f t="shared" si="12"/>
        <v>12.41</v>
      </c>
      <c r="O91" s="8"/>
    </row>
    <row r="92" spans="1:15">
      <c r="A92" s="1" t="s">
        <v>82</v>
      </c>
      <c r="B92" s="11"/>
      <c r="C92" s="11">
        <v>3274000</v>
      </c>
      <c r="D92" s="11">
        <v>3294000</v>
      </c>
      <c r="E92" s="11">
        <v>0</v>
      </c>
      <c r="F92" s="11">
        <f t="shared" si="10"/>
        <v>20000</v>
      </c>
      <c r="G92" s="17">
        <f t="shared" si="13"/>
        <v>42.19</v>
      </c>
      <c r="H92" s="17">
        <f t="shared" si="14"/>
        <v>23</v>
      </c>
      <c r="I92" s="17">
        <f t="shared" si="15"/>
        <v>0</v>
      </c>
      <c r="J92" s="18">
        <f t="shared" si="16"/>
        <v>0</v>
      </c>
      <c r="K92" s="18">
        <f t="shared" si="17"/>
        <v>0</v>
      </c>
      <c r="L92" s="18">
        <f t="shared" si="11"/>
        <v>65.19</v>
      </c>
      <c r="M92" s="18">
        <f t="shared" si="18"/>
        <v>0</v>
      </c>
      <c r="N92" s="18">
        <f t="shared" si="12"/>
        <v>65.19</v>
      </c>
      <c r="O92" s="8"/>
    </row>
    <row r="93" spans="1:15">
      <c r="A93" s="1" t="s">
        <v>83</v>
      </c>
      <c r="B93" s="11"/>
      <c r="C93" s="11">
        <v>7577000</v>
      </c>
      <c r="D93" s="11">
        <v>7608000</v>
      </c>
      <c r="E93" s="11">
        <v>0</v>
      </c>
      <c r="F93" s="11">
        <f t="shared" si="10"/>
        <v>31000</v>
      </c>
      <c r="G93" s="17">
        <f t="shared" si="13"/>
        <v>42.19</v>
      </c>
      <c r="H93" s="17">
        <f t="shared" si="14"/>
        <v>23</v>
      </c>
      <c r="I93" s="17">
        <f t="shared" si="15"/>
        <v>26.7</v>
      </c>
      <c r="J93" s="18">
        <f t="shared" si="16"/>
        <v>3.1</v>
      </c>
      <c r="K93" s="18">
        <f t="shared" si="17"/>
        <v>0</v>
      </c>
      <c r="L93" s="18">
        <f t="shared" si="11"/>
        <v>94.99</v>
      </c>
      <c r="M93" s="18">
        <f t="shared" si="18"/>
        <v>0</v>
      </c>
      <c r="N93" s="18">
        <f t="shared" si="12"/>
        <v>94.99</v>
      </c>
      <c r="O93" s="8"/>
    </row>
    <row r="94" spans="1:15" s="14" customFormat="1">
      <c r="A94" s="14" t="s">
        <v>84</v>
      </c>
      <c r="B94" s="15"/>
      <c r="C94" s="15">
        <v>3659000</v>
      </c>
      <c r="D94" s="15">
        <v>3800000</v>
      </c>
      <c r="E94" s="15">
        <v>0</v>
      </c>
      <c r="F94" s="15">
        <f t="shared" si="10"/>
        <v>141000</v>
      </c>
      <c r="G94" s="19">
        <f t="shared" si="13"/>
        <v>42.19</v>
      </c>
      <c r="H94" s="19">
        <f t="shared" si="14"/>
        <v>23</v>
      </c>
      <c r="I94" s="19">
        <f t="shared" si="15"/>
        <v>26.7</v>
      </c>
      <c r="J94" s="20">
        <f t="shared" si="16"/>
        <v>31</v>
      </c>
      <c r="K94" s="20">
        <f t="shared" si="17"/>
        <v>363.6</v>
      </c>
      <c r="L94" s="20">
        <f t="shared" si="11"/>
        <v>486.49</v>
      </c>
      <c r="M94" s="20">
        <f t="shared" si="18"/>
        <v>0</v>
      </c>
      <c r="N94" s="20">
        <f t="shared" si="12"/>
        <v>486.49</v>
      </c>
      <c r="O94" s="16"/>
    </row>
    <row r="95" spans="1:15">
      <c r="A95" s="1" t="s">
        <v>85</v>
      </c>
      <c r="B95" s="11"/>
      <c r="C95" s="11">
        <v>2031000</v>
      </c>
      <c r="D95" s="11">
        <v>2050000</v>
      </c>
      <c r="E95" s="11">
        <v>0</v>
      </c>
      <c r="F95" s="11">
        <f t="shared" si="10"/>
        <v>19000</v>
      </c>
      <c r="G95" s="17">
        <f t="shared" si="13"/>
        <v>42.19</v>
      </c>
      <c r="H95" s="17">
        <f t="shared" si="14"/>
        <v>20.7</v>
      </c>
      <c r="I95" s="17">
        <f t="shared" si="15"/>
        <v>0</v>
      </c>
      <c r="J95" s="18">
        <f t="shared" si="16"/>
        <v>0</v>
      </c>
      <c r="K95" s="18">
        <f t="shared" si="17"/>
        <v>0</v>
      </c>
      <c r="L95" s="18">
        <f t="shared" si="11"/>
        <v>62.89</v>
      </c>
      <c r="M95" s="18">
        <f t="shared" si="18"/>
        <v>0</v>
      </c>
      <c r="N95" s="18">
        <f t="shared" si="12"/>
        <v>62.89</v>
      </c>
      <c r="O95" s="8"/>
    </row>
    <row r="96" spans="1:15">
      <c r="A96" s="1" t="s">
        <v>86</v>
      </c>
      <c r="B96" s="11"/>
      <c r="C96" s="11">
        <v>1870000</v>
      </c>
      <c r="D96" s="11">
        <v>1873000</v>
      </c>
      <c r="E96" s="11">
        <v>0</v>
      </c>
      <c r="F96" s="11">
        <f t="shared" si="10"/>
        <v>3000</v>
      </c>
      <c r="G96" s="17">
        <f t="shared" si="13"/>
        <v>42.19</v>
      </c>
      <c r="H96" s="17">
        <f t="shared" si="14"/>
        <v>0</v>
      </c>
      <c r="I96" s="17">
        <f t="shared" si="15"/>
        <v>0</v>
      </c>
      <c r="J96" s="18">
        <f t="shared" si="16"/>
        <v>0</v>
      </c>
      <c r="K96" s="18">
        <f t="shared" si="17"/>
        <v>0</v>
      </c>
      <c r="L96" s="18">
        <f t="shared" si="11"/>
        <v>42.19</v>
      </c>
      <c r="M96" s="18">
        <f t="shared" si="18"/>
        <v>0</v>
      </c>
      <c r="N96" s="18">
        <f t="shared" si="12"/>
        <v>42.19</v>
      </c>
      <c r="O96" s="8"/>
    </row>
    <row r="97" spans="1:15">
      <c r="A97" s="1" t="s">
        <v>87</v>
      </c>
      <c r="B97" s="11" t="s">
        <v>138</v>
      </c>
      <c r="C97" s="11">
        <v>0</v>
      </c>
      <c r="D97" s="11">
        <v>0</v>
      </c>
      <c r="E97" s="11">
        <v>0</v>
      </c>
      <c r="F97" s="11">
        <f t="shared" si="10"/>
        <v>0</v>
      </c>
      <c r="G97" s="17">
        <f t="shared" si="13"/>
        <v>12.41</v>
      </c>
      <c r="H97" s="17">
        <f t="shared" si="14"/>
        <v>0</v>
      </c>
      <c r="I97" s="17">
        <f t="shared" si="15"/>
        <v>0</v>
      </c>
      <c r="J97" s="18">
        <f t="shared" si="16"/>
        <v>0</v>
      </c>
      <c r="K97" s="18">
        <f t="shared" si="17"/>
        <v>0</v>
      </c>
      <c r="L97" s="18">
        <f t="shared" si="11"/>
        <v>12.41</v>
      </c>
      <c r="M97" s="18">
        <f t="shared" si="18"/>
        <v>0</v>
      </c>
      <c r="N97" s="18">
        <f t="shared" si="12"/>
        <v>12.41</v>
      </c>
      <c r="O97" s="8"/>
    </row>
    <row r="98" spans="1:15">
      <c r="A98" s="1" t="s">
        <v>88</v>
      </c>
      <c r="B98" s="11"/>
      <c r="C98" s="11">
        <v>1233000</v>
      </c>
      <c r="D98" s="11">
        <v>1233000</v>
      </c>
      <c r="E98" s="11">
        <v>0</v>
      </c>
      <c r="F98" s="11">
        <f t="shared" si="10"/>
        <v>0</v>
      </c>
      <c r="G98" s="17">
        <f t="shared" si="13"/>
        <v>42.19</v>
      </c>
      <c r="H98" s="17">
        <f t="shared" si="14"/>
        <v>0</v>
      </c>
      <c r="I98" s="17">
        <f t="shared" si="15"/>
        <v>0</v>
      </c>
      <c r="J98" s="18">
        <f t="shared" si="16"/>
        <v>0</v>
      </c>
      <c r="K98" s="18">
        <f t="shared" si="17"/>
        <v>0</v>
      </c>
      <c r="L98" s="18">
        <f t="shared" si="11"/>
        <v>42.19</v>
      </c>
      <c r="M98" s="18">
        <f t="shared" si="18"/>
        <v>0</v>
      </c>
      <c r="N98" s="18">
        <f t="shared" si="12"/>
        <v>42.19</v>
      </c>
      <c r="O98" s="8"/>
    </row>
    <row r="99" spans="1:15">
      <c r="A99" s="1" t="s">
        <v>89</v>
      </c>
      <c r="B99" s="11"/>
      <c r="C99" s="11">
        <v>2286000</v>
      </c>
      <c r="D99" s="11">
        <v>2310000</v>
      </c>
      <c r="E99" s="11">
        <v>0</v>
      </c>
      <c r="F99" s="11">
        <f t="shared" si="10"/>
        <v>24000</v>
      </c>
      <c r="G99" s="17">
        <f t="shared" si="13"/>
        <v>42.19</v>
      </c>
      <c r="H99" s="17">
        <f t="shared" si="14"/>
        <v>23</v>
      </c>
      <c r="I99" s="17">
        <f t="shared" si="15"/>
        <v>10.68</v>
      </c>
      <c r="J99" s="18">
        <f t="shared" si="16"/>
        <v>0</v>
      </c>
      <c r="K99" s="18">
        <f t="shared" si="17"/>
        <v>0</v>
      </c>
      <c r="L99" s="18">
        <f t="shared" si="11"/>
        <v>75.87</v>
      </c>
      <c r="M99" s="18">
        <f t="shared" si="18"/>
        <v>0</v>
      </c>
      <c r="N99" s="18">
        <f t="shared" si="12"/>
        <v>75.87</v>
      </c>
      <c r="O99" s="8"/>
    </row>
    <row r="100" spans="1:15">
      <c r="A100" s="1" t="s">
        <v>90</v>
      </c>
      <c r="B100" s="11"/>
      <c r="C100" s="11">
        <v>1253000</v>
      </c>
      <c r="D100" s="11">
        <v>1255000</v>
      </c>
      <c r="E100" s="11">
        <v>0</v>
      </c>
      <c r="F100" s="11">
        <f t="shared" si="10"/>
        <v>2000</v>
      </c>
      <c r="G100" s="17">
        <f t="shared" si="13"/>
        <v>42.19</v>
      </c>
      <c r="H100" s="17">
        <f t="shared" si="14"/>
        <v>0</v>
      </c>
      <c r="I100" s="17">
        <f t="shared" si="15"/>
        <v>0</v>
      </c>
      <c r="J100" s="18">
        <f t="shared" si="16"/>
        <v>0</v>
      </c>
      <c r="K100" s="18">
        <f t="shared" si="17"/>
        <v>0</v>
      </c>
      <c r="L100" s="18">
        <f t="shared" si="11"/>
        <v>42.19</v>
      </c>
      <c r="M100" s="18">
        <f t="shared" si="18"/>
        <v>0</v>
      </c>
      <c r="N100" s="18">
        <f t="shared" si="12"/>
        <v>42.19</v>
      </c>
      <c r="O100" s="8"/>
    </row>
    <row r="101" spans="1:15">
      <c r="A101" s="1" t="s">
        <v>91</v>
      </c>
      <c r="B101" s="11"/>
      <c r="C101" s="11">
        <v>264000</v>
      </c>
      <c r="D101" s="11">
        <v>266700</v>
      </c>
      <c r="E101" s="11">
        <v>0</v>
      </c>
      <c r="F101" s="11">
        <f t="shared" si="10"/>
        <v>2700</v>
      </c>
      <c r="G101" s="17">
        <f t="shared" si="13"/>
        <v>42.19</v>
      </c>
      <c r="H101" s="17">
        <f t="shared" si="14"/>
        <v>0</v>
      </c>
      <c r="I101" s="17">
        <f t="shared" si="15"/>
        <v>0</v>
      </c>
      <c r="J101" s="18">
        <f t="shared" si="16"/>
        <v>0</v>
      </c>
      <c r="K101" s="18">
        <f t="shared" si="17"/>
        <v>0</v>
      </c>
      <c r="L101" s="18">
        <f t="shared" si="11"/>
        <v>42.19</v>
      </c>
      <c r="M101" s="18">
        <f t="shared" si="18"/>
        <v>0</v>
      </c>
      <c r="N101" s="18">
        <f t="shared" si="12"/>
        <v>42.19</v>
      </c>
      <c r="O101" s="8"/>
    </row>
    <row r="102" spans="1:15">
      <c r="A102" s="1" t="s">
        <v>92</v>
      </c>
      <c r="B102" s="11"/>
      <c r="C102" s="11">
        <v>2538000</v>
      </c>
      <c r="D102" s="11">
        <v>2543000</v>
      </c>
      <c r="E102" s="11">
        <v>0</v>
      </c>
      <c r="F102" s="11">
        <f t="shared" si="10"/>
        <v>5000</v>
      </c>
      <c r="G102" s="17">
        <f t="shared" si="13"/>
        <v>42.19</v>
      </c>
      <c r="H102" s="17">
        <f t="shared" si="14"/>
        <v>0</v>
      </c>
      <c r="I102" s="17">
        <f t="shared" si="15"/>
        <v>0</v>
      </c>
      <c r="J102" s="18">
        <f t="shared" si="16"/>
        <v>0</v>
      </c>
      <c r="K102" s="18">
        <f t="shared" si="17"/>
        <v>0</v>
      </c>
      <c r="L102" s="18">
        <f t="shared" si="11"/>
        <v>42.19</v>
      </c>
      <c r="M102" s="18">
        <f t="shared" si="18"/>
        <v>0</v>
      </c>
      <c r="N102" s="18">
        <f t="shared" si="12"/>
        <v>42.19</v>
      </c>
      <c r="O102" s="8"/>
    </row>
    <row r="103" spans="1:15">
      <c r="A103" s="1" t="s">
        <v>93</v>
      </c>
      <c r="B103" s="11" t="s">
        <v>138</v>
      </c>
      <c r="C103" s="11">
        <v>0</v>
      </c>
      <c r="D103" s="11">
        <v>0</v>
      </c>
      <c r="E103" s="11">
        <v>0</v>
      </c>
      <c r="F103" s="11">
        <f t="shared" si="10"/>
        <v>0</v>
      </c>
      <c r="G103" s="17">
        <f t="shared" si="13"/>
        <v>12.41</v>
      </c>
      <c r="H103" s="17">
        <f t="shared" si="14"/>
        <v>0</v>
      </c>
      <c r="I103" s="17">
        <f t="shared" si="15"/>
        <v>0</v>
      </c>
      <c r="J103" s="18">
        <f t="shared" si="16"/>
        <v>0</v>
      </c>
      <c r="K103" s="18">
        <f t="shared" si="17"/>
        <v>0</v>
      </c>
      <c r="L103" s="18">
        <f t="shared" si="11"/>
        <v>12.41</v>
      </c>
      <c r="M103" s="18">
        <f t="shared" si="18"/>
        <v>0</v>
      </c>
      <c r="N103" s="18">
        <f t="shared" si="12"/>
        <v>12.41</v>
      </c>
      <c r="O103" s="8"/>
    </row>
    <row r="104" spans="1:15">
      <c r="A104" s="1" t="s">
        <v>94</v>
      </c>
      <c r="B104" s="11" t="s">
        <v>138</v>
      </c>
      <c r="C104" s="11">
        <v>0</v>
      </c>
      <c r="D104" s="11">
        <v>0</v>
      </c>
      <c r="E104" s="11">
        <v>0</v>
      </c>
      <c r="F104" s="11">
        <f t="shared" si="10"/>
        <v>0</v>
      </c>
      <c r="G104" s="17">
        <f t="shared" si="13"/>
        <v>12.41</v>
      </c>
      <c r="H104" s="17">
        <f t="shared" si="14"/>
        <v>0</v>
      </c>
      <c r="I104" s="17">
        <f t="shared" si="15"/>
        <v>0</v>
      </c>
      <c r="J104" s="18">
        <f t="shared" si="16"/>
        <v>0</v>
      </c>
      <c r="K104" s="18">
        <f t="shared" si="17"/>
        <v>0</v>
      </c>
      <c r="L104" s="18">
        <f t="shared" si="11"/>
        <v>12.41</v>
      </c>
      <c r="M104" s="18">
        <f t="shared" si="18"/>
        <v>0</v>
      </c>
      <c r="N104" s="18">
        <f t="shared" si="12"/>
        <v>12.41</v>
      </c>
      <c r="O104" s="8"/>
    </row>
    <row r="105" spans="1:15">
      <c r="A105" s="1" t="s">
        <v>95</v>
      </c>
      <c r="B105" s="11" t="s">
        <v>138</v>
      </c>
      <c r="C105" s="11">
        <v>0</v>
      </c>
      <c r="D105" s="11">
        <v>0</v>
      </c>
      <c r="E105" s="11">
        <v>0</v>
      </c>
      <c r="F105" s="11">
        <f t="shared" si="10"/>
        <v>0</v>
      </c>
      <c r="G105" s="17">
        <f t="shared" si="13"/>
        <v>12.41</v>
      </c>
      <c r="H105" s="17">
        <f t="shared" si="14"/>
        <v>0</v>
      </c>
      <c r="I105" s="17">
        <f t="shared" si="15"/>
        <v>0</v>
      </c>
      <c r="J105" s="18">
        <f t="shared" si="16"/>
        <v>0</v>
      </c>
      <c r="K105" s="18">
        <f t="shared" si="17"/>
        <v>0</v>
      </c>
      <c r="L105" s="18">
        <f t="shared" si="11"/>
        <v>12.41</v>
      </c>
      <c r="M105" s="18">
        <f t="shared" si="18"/>
        <v>0</v>
      </c>
      <c r="N105" s="18">
        <f t="shared" si="12"/>
        <v>12.41</v>
      </c>
      <c r="O105" s="8"/>
    </row>
    <row r="106" spans="1:15" s="14" customFormat="1">
      <c r="A106" s="14" t="s">
        <v>96</v>
      </c>
      <c r="B106" s="15"/>
      <c r="C106" s="15">
        <v>1864000</v>
      </c>
      <c r="D106" s="15">
        <v>1874000</v>
      </c>
      <c r="E106" s="15">
        <v>0</v>
      </c>
      <c r="F106" s="15">
        <f t="shared" si="10"/>
        <v>10000</v>
      </c>
      <c r="G106" s="19">
        <f t="shared" si="13"/>
        <v>42.19</v>
      </c>
      <c r="H106" s="19">
        <f t="shared" si="14"/>
        <v>0</v>
      </c>
      <c r="I106" s="19">
        <f t="shared" si="15"/>
        <v>0</v>
      </c>
      <c r="J106" s="20">
        <f t="shared" si="16"/>
        <v>0</v>
      </c>
      <c r="K106" s="20">
        <f t="shared" si="17"/>
        <v>0</v>
      </c>
      <c r="L106" s="20">
        <f t="shared" si="11"/>
        <v>42.19</v>
      </c>
      <c r="M106" s="20">
        <f t="shared" si="18"/>
        <v>0</v>
      </c>
      <c r="N106" s="20">
        <f t="shared" si="12"/>
        <v>42.19</v>
      </c>
      <c r="O106" s="16"/>
    </row>
    <row r="107" spans="1:15">
      <c r="A107" s="1" t="s">
        <v>97</v>
      </c>
      <c r="B107" s="11" t="s">
        <v>138</v>
      </c>
      <c r="C107" s="11">
        <v>0</v>
      </c>
      <c r="D107" s="11">
        <v>0</v>
      </c>
      <c r="E107" s="11">
        <v>0</v>
      </c>
      <c r="F107" s="11">
        <f t="shared" si="10"/>
        <v>0</v>
      </c>
      <c r="G107" s="17">
        <f t="shared" si="13"/>
        <v>12.41</v>
      </c>
      <c r="H107" s="17">
        <f t="shared" si="14"/>
        <v>0</v>
      </c>
      <c r="I107" s="17">
        <f t="shared" si="15"/>
        <v>0</v>
      </c>
      <c r="J107" s="18">
        <f t="shared" si="16"/>
        <v>0</v>
      </c>
      <c r="K107" s="18">
        <f t="shared" si="17"/>
        <v>0</v>
      </c>
      <c r="L107" s="18">
        <f t="shared" si="11"/>
        <v>12.41</v>
      </c>
      <c r="M107" s="18">
        <f t="shared" si="18"/>
        <v>0</v>
      </c>
      <c r="N107" s="18">
        <f t="shared" si="12"/>
        <v>12.41</v>
      </c>
      <c r="O107" s="8"/>
    </row>
    <row r="108" spans="1:15">
      <c r="A108" s="1" t="s">
        <v>98</v>
      </c>
      <c r="B108" s="11" t="s">
        <v>138</v>
      </c>
      <c r="C108" s="11">
        <v>0</v>
      </c>
      <c r="D108" s="11">
        <v>0</v>
      </c>
      <c r="E108" s="11">
        <v>0</v>
      </c>
      <c r="F108" s="11">
        <f t="shared" si="10"/>
        <v>0</v>
      </c>
      <c r="G108" s="17">
        <f t="shared" si="13"/>
        <v>12.41</v>
      </c>
      <c r="H108" s="17">
        <f t="shared" si="14"/>
        <v>0</v>
      </c>
      <c r="I108" s="17">
        <f t="shared" si="15"/>
        <v>0</v>
      </c>
      <c r="J108" s="18">
        <f t="shared" si="16"/>
        <v>0</v>
      </c>
      <c r="K108" s="18">
        <f t="shared" si="17"/>
        <v>0</v>
      </c>
      <c r="L108" s="18">
        <f t="shared" si="11"/>
        <v>12.41</v>
      </c>
      <c r="M108" s="18">
        <f t="shared" si="18"/>
        <v>0</v>
      </c>
      <c r="N108" s="18">
        <f t="shared" si="12"/>
        <v>12.41</v>
      </c>
      <c r="O108" s="8"/>
    </row>
    <row r="109" spans="1:15">
      <c r="A109" s="1" t="s">
        <v>99</v>
      </c>
      <c r="B109" s="11"/>
      <c r="C109" s="11">
        <v>1680000</v>
      </c>
      <c r="D109" s="11">
        <v>1680000</v>
      </c>
      <c r="E109" s="11">
        <v>0</v>
      </c>
      <c r="F109" s="11">
        <f t="shared" si="10"/>
        <v>0</v>
      </c>
      <c r="G109" s="17">
        <f t="shared" si="13"/>
        <v>42.19</v>
      </c>
      <c r="H109" s="17">
        <f t="shared" si="14"/>
        <v>0</v>
      </c>
      <c r="I109" s="17">
        <f t="shared" si="15"/>
        <v>0</v>
      </c>
      <c r="J109" s="18">
        <f t="shared" si="16"/>
        <v>0</v>
      </c>
      <c r="K109" s="18">
        <f t="shared" si="17"/>
        <v>0</v>
      </c>
      <c r="L109" s="18">
        <f t="shared" si="11"/>
        <v>42.19</v>
      </c>
      <c r="M109" s="18">
        <f t="shared" si="18"/>
        <v>0</v>
      </c>
      <c r="N109" s="18">
        <f t="shared" si="12"/>
        <v>42.19</v>
      </c>
      <c r="O109" s="8"/>
    </row>
    <row r="110" spans="1:15">
      <c r="A110" s="1" t="s">
        <v>100</v>
      </c>
      <c r="B110" s="11"/>
      <c r="C110" s="11">
        <v>535000</v>
      </c>
      <c r="D110" s="11">
        <v>538000</v>
      </c>
      <c r="E110" s="11">
        <v>0</v>
      </c>
      <c r="F110" s="11">
        <f t="shared" si="10"/>
        <v>3000</v>
      </c>
      <c r="G110" s="17">
        <f t="shared" si="13"/>
        <v>42.19</v>
      </c>
      <c r="H110" s="17">
        <f t="shared" si="14"/>
        <v>0</v>
      </c>
      <c r="I110" s="17">
        <f t="shared" si="15"/>
        <v>0</v>
      </c>
      <c r="J110" s="18">
        <f t="shared" si="16"/>
        <v>0</v>
      </c>
      <c r="K110" s="18">
        <f t="shared" si="17"/>
        <v>0</v>
      </c>
      <c r="L110" s="18">
        <f t="shared" si="11"/>
        <v>42.19</v>
      </c>
      <c r="M110" s="18">
        <f t="shared" si="18"/>
        <v>0</v>
      </c>
      <c r="N110" s="18">
        <f t="shared" si="12"/>
        <v>42.19</v>
      </c>
      <c r="O110" s="8"/>
    </row>
    <row r="111" spans="1:15">
      <c r="A111" s="1" t="s">
        <v>101</v>
      </c>
      <c r="B111" s="11"/>
      <c r="C111" s="11">
        <v>4560000</v>
      </c>
      <c r="D111" s="11">
        <v>4571000</v>
      </c>
      <c r="E111" s="11">
        <v>0</v>
      </c>
      <c r="F111" s="11">
        <f t="shared" si="10"/>
        <v>11000</v>
      </c>
      <c r="G111" s="17">
        <f t="shared" si="13"/>
        <v>42.19</v>
      </c>
      <c r="H111" s="17">
        <f t="shared" si="14"/>
        <v>2.2999999999999998</v>
      </c>
      <c r="I111" s="17">
        <f t="shared" si="15"/>
        <v>0</v>
      </c>
      <c r="J111" s="18">
        <f t="shared" si="16"/>
        <v>0</v>
      </c>
      <c r="K111" s="18">
        <f t="shared" si="17"/>
        <v>0</v>
      </c>
      <c r="L111" s="18">
        <f t="shared" si="11"/>
        <v>44.489999999999995</v>
      </c>
      <c r="M111" s="18">
        <f t="shared" si="18"/>
        <v>0</v>
      </c>
      <c r="N111" s="18">
        <f t="shared" si="12"/>
        <v>44.489999999999995</v>
      </c>
      <c r="O111" s="8"/>
    </row>
    <row r="112" spans="1:15">
      <c r="A112" s="1" t="s">
        <v>102</v>
      </c>
      <c r="B112" s="11" t="s">
        <v>138</v>
      </c>
      <c r="C112" s="11">
        <v>0</v>
      </c>
      <c r="D112" s="11">
        <v>0</v>
      </c>
      <c r="E112" s="11">
        <v>0</v>
      </c>
      <c r="F112" s="11">
        <f t="shared" si="10"/>
        <v>0</v>
      </c>
      <c r="G112" s="17">
        <f t="shared" si="13"/>
        <v>12.41</v>
      </c>
      <c r="H112" s="17">
        <f t="shared" si="14"/>
        <v>0</v>
      </c>
      <c r="I112" s="17">
        <f t="shared" si="15"/>
        <v>0</v>
      </c>
      <c r="J112" s="18">
        <f t="shared" si="16"/>
        <v>0</v>
      </c>
      <c r="K112" s="18">
        <f t="shared" si="17"/>
        <v>0</v>
      </c>
      <c r="L112" s="18">
        <f t="shared" si="11"/>
        <v>12.41</v>
      </c>
      <c r="M112" s="18">
        <f t="shared" si="18"/>
        <v>0</v>
      </c>
      <c r="N112" s="18">
        <f t="shared" si="12"/>
        <v>12.41</v>
      </c>
      <c r="O112" s="8"/>
    </row>
    <row r="113" spans="1:15">
      <c r="A113" s="1" t="s">
        <v>103</v>
      </c>
      <c r="B113" s="11"/>
      <c r="C113" s="11">
        <v>1237000</v>
      </c>
      <c r="D113" s="11">
        <v>1261000</v>
      </c>
      <c r="E113" s="11">
        <v>0</v>
      </c>
      <c r="F113" s="11">
        <f t="shared" si="10"/>
        <v>24000</v>
      </c>
      <c r="G113" s="17">
        <f t="shared" si="13"/>
        <v>42.19</v>
      </c>
      <c r="H113" s="17">
        <f t="shared" si="14"/>
        <v>23</v>
      </c>
      <c r="I113" s="17">
        <f t="shared" si="15"/>
        <v>10.68</v>
      </c>
      <c r="J113" s="18">
        <f t="shared" si="16"/>
        <v>0</v>
      </c>
      <c r="K113" s="18">
        <f t="shared" si="17"/>
        <v>0</v>
      </c>
      <c r="L113" s="18">
        <f t="shared" si="11"/>
        <v>75.87</v>
      </c>
      <c r="M113" s="18">
        <f t="shared" ref="M113:M136" si="19">IF(   $H$5=1,    IF((F113-$H$6)&gt;0,((F113-$H$6)/$P$7)*$E$8,0),   IF(F113&gt;0,(F113/$P$4)*$E$8,0)    )</f>
        <v>0</v>
      </c>
      <c r="N113" s="18">
        <f t="shared" si="12"/>
        <v>75.87</v>
      </c>
      <c r="O113" s="8"/>
    </row>
    <row r="114" spans="1:15">
      <c r="A114" s="1" t="s">
        <v>104</v>
      </c>
      <c r="B114" s="11" t="s">
        <v>138</v>
      </c>
      <c r="C114" s="11">
        <v>0</v>
      </c>
      <c r="D114" s="11">
        <v>0</v>
      </c>
      <c r="E114" s="11">
        <v>0</v>
      </c>
      <c r="F114" s="11">
        <f t="shared" si="10"/>
        <v>0</v>
      </c>
      <c r="G114" s="17">
        <f t="shared" si="13"/>
        <v>12.41</v>
      </c>
      <c r="H114" s="17">
        <f t="shared" si="14"/>
        <v>0</v>
      </c>
      <c r="I114" s="17">
        <f t="shared" si="15"/>
        <v>0</v>
      </c>
      <c r="J114" s="18">
        <f t="shared" si="16"/>
        <v>0</v>
      </c>
      <c r="K114" s="18">
        <f t="shared" si="17"/>
        <v>0</v>
      </c>
      <c r="L114" s="18">
        <f t="shared" si="11"/>
        <v>12.41</v>
      </c>
      <c r="M114" s="18">
        <f t="shared" si="19"/>
        <v>0</v>
      </c>
      <c r="N114" s="18">
        <f t="shared" si="12"/>
        <v>12.41</v>
      </c>
      <c r="O114" s="8"/>
    </row>
    <row r="115" spans="1:15">
      <c r="A115" s="1" t="s">
        <v>105</v>
      </c>
      <c r="B115" s="11"/>
      <c r="C115" s="11">
        <v>1485000</v>
      </c>
      <c r="D115" s="11">
        <v>1502000</v>
      </c>
      <c r="E115" s="11">
        <v>0</v>
      </c>
      <c r="F115" s="11">
        <f t="shared" si="10"/>
        <v>17000</v>
      </c>
      <c r="G115" s="17">
        <f t="shared" si="13"/>
        <v>42.19</v>
      </c>
      <c r="H115" s="17">
        <f t="shared" si="14"/>
        <v>16.099999999999998</v>
      </c>
      <c r="I115" s="17">
        <f t="shared" si="15"/>
        <v>0</v>
      </c>
      <c r="J115" s="18">
        <f t="shared" si="16"/>
        <v>0</v>
      </c>
      <c r="K115" s="18">
        <f t="shared" si="17"/>
        <v>0</v>
      </c>
      <c r="L115" s="18">
        <f t="shared" si="11"/>
        <v>58.289999999999992</v>
      </c>
      <c r="M115" s="18">
        <f t="shared" si="19"/>
        <v>0</v>
      </c>
      <c r="N115" s="18">
        <f t="shared" si="12"/>
        <v>58.289999999999992</v>
      </c>
      <c r="O115" s="8"/>
    </row>
    <row r="116" spans="1:15">
      <c r="A116" s="1" t="s">
        <v>106</v>
      </c>
      <c r="B116" s="11"/>
      <c r="C116" s="11">
        <v>1796000</v>
      </c>
      <c r="D116" s="11">
        <v>1797000</v>
      </c>
      <c r="E116" s="11">
        <v>0</v>
      </c>
      <c r="F116" s="11">
        <f t="shared" si="10"/>
        <v>1000</v>
      </c>
      <c r="G116" s="17">
        <f t="shared" si="13"/>
        <v>42.19</v>
      </c>
      <c r="H116" s="17">
        <f t="shared" si="14"/>
        <v>0</v>
      </c>
      <c r="I116" s="17">
        <f t="shared" si="15"/>
        <v>0</v>
      </c>
      <c r="J116" s="18">
        <f t="shared" si="16"/>
        <v>0</v>
      </c>
      <c r="K116" s="18">
        <f t="shared" si="17"/>
        <v>0</v>
      </c>
      <c r="L116" s="18">
        <f t="shared" si="11"/>
        <v>42.19</v>
      </c>
      <c r="M116" s="18">
        <f t="shared" si="19"/>
        <v>0</v>
      </c>
      <c r="N116" s="18">
        <f t="shared" si="12"/>
        <v>42.19</v>
      </c>
      <c r="O116" s="8"/>
    </row>
    <row r="117" spans="1:15">
      <c r="A117" s="1" t="s">
        <v>107</v>
      </c>
      <c r="B117" s="11"/>
      <c r="C117" s="11">
        <v>331000</v>
      </c>
      <c r="D117" s="11">
        <v>333000</v>
      </c>
      <c r="E117" s="11">
        <v>0</v>
      </c>
      <c r="F117" s="11">
        <f t="shared" si="10"/>
        <v>2000</v>
      </c>
      <c r="G117" s="17">
        <f t="shared" si="13"/>
        <v>42.19</v>
      </c>
      <c r="H117" s="17">
        <f t="shared" si="14"/>
        <v>0</v>
      </c>
      <c r="I117" s="17">
        <f t="shared" si="15"/>
        <v>0</v>
      </c>
      <c r="J117" s="18">
        <f t="shared" si="16"/>
        <v>0</v>
      </c>
      <c r="K117" s="18">
        <f t="shared" si="17"/>
        <v>0</v>
      </c>
      <c r="L117" s="18">
        <f t="shared" si="11"/>
        <v>42.19</v>
      </c>
      <c r="M117" s="18">
        <f t="shared" si="19"/>
        <v>0</v>
      </c>
      <c r="N117" s="18">
        <f t="shared" si="12"/>
        <v>42.19</v>
      </c>
      <c r="O117" s="8"/>
    </row>
    <row r="118" spans="1:15">
      <c r="A118" s="1" t="s">
        <v>108</v>
      </c>
      <c r="B118" s="11"/>
      <c r="C118" s="11">
        <v>2629000</v>
      </c>
      <c r="D118" s="11">
        <v>2645000</v>
      </c>
      <c r="E118" s="11">
        <v>0</v>
      </c>
      <c r="F118" s="11">
        <f t="shared" si="10"/>
        <v>16000</v>
      </c>
      <c r="G118" s="17">
        <f t="shared" si="13"/>
        <v>42.19</v>
      </c>
      <c r="H118" s="17">
        <f t="shared" si="14"/>
        <v>13.799999999999999</v>
      </c>
      <c r="I118" s="17">
        <f t="shared" si="15"/>
        <v>0</v>
      </c>
      <c r="J118" s="18">
        <f t="shared" si="16"/>
        <v>0</v>
      </c>
      <c r="K118" s="18">
        <f t="shared" si="17"/>
        <v>0</v>
      </c>
      <c r="L118" s="18">
        <f t="shared" si="11"/>
        <v>55.989999999999995</v>
      </c>
      <c r="M118" s="18">
        <f t="shared" si="19"/>
        <v>0</v>
      </c>
      <c r="N118" s="18">
        <f t="shared" si="12"/>
        <v>55.989999999999995</v>
      </c>
      <c r="O118" s="8"/>
    </row>
    <row r="119" spans="1:15">
      <c r="A119" s="1" t="s">
        <v>109</v>
      </c>
      <c r="B119" s="11" t="s">
        <v>138</v>
      </c>
      <c r="C119" s="11">
        <v>0</v>
      </c>
      <c r="D119" s="11">
        <v>0</v>
      </c>
      <c r="E119" s="11">
        <v>0</v>
      </c>
      <c r="F119" s="11">
        <f t="shared" si="10"/>
        <v>0</v>
      </c>
      <c r="G119" s="17">
        <f t="shared" si="13"/>
        <v>12.41</v>
      </c>
      <c r="H119" s="17">
        <f t="shared" si="14"/>
        <v>0</v>
      </c>
      <c r="I119" s="17">
        <f t="shared" si="15"/>
        <v>0</v>
      </c>
      <c r="J119" s="18">
        <f t="shared" si="16"/>
        <v>0</v>
      </c>
      <c r="K119" s="18">
        <f t="shared" si="17"/>
        <v>0</v>
      </c>
      <c r="L119" s="18">
        <f t="shared" si="11"/>
        <v>12.41</v>
      </c>
      <c r="M119" s="18">
        <f t="shared" si="19"/>
        <v>0</v>
      </c>
      <c r="N119" s="18">
        <f t="shared" si="12"/>
        <v>12.41</v>
      </c>
      <c r="O119" s="8"/>
    </row>
    <row r="120" spans="1:15">
      <c r="A120" s="1" t="s">
        <v>110</v>
      </c>
      <c r="B120" s="11"/>
      <c r="C120" s="11">
        <v>3846000</v>
      </c>
      <c r="D120" s="11">
        <v>3851000</v>
      </c>
      <c r="E120" s="11">
        <v>0</v>
      </c>
      <c r="F120" s="11">
        <f t="shared" si="10"/>
        <v>5000</v>
      </c>
      <c r="G120" s="17">
        <f t="shared" si="13"/>
        <v>42.19</v>
      </c>
      <c r="H120" s="17">
        <f t="shared" si="14"/>
        <v>0</v>
      </c>
      <c r="I120" s="17">
        <f t="shared" si="15"/>
        <v>0</v>
      </c>
      <c r="J120" s="18">
        <f t="shared" si="16"/>
        <v>0</v>
      </c>
      <c r="K120" s="18">
        <f t="shared" si="17"/>
        <v>0</v>
      </c>
      <c r="L120" s="18">
        <f t="shared" si="11"/>
        <v>42.19</v>
      </c>
      <c r="M120" s="18">
        <f t="shared" si="19"/>
        <v>0</v>
      </c>
      <c r="N120" s="18">
        <f t="shared" si="12"/>
        <v>42.19</v>
      </c>
      <c r="O120" s="8"/>
    </row>
    <row r="121" spans="1:15">
      <c r="A121" s="1" t="s">
        <v>111</v>
      </c>
      <c r="B121" s="11"/>
      <c r="C121" s="11">
        <v>3537000</v>
      </c>
      <c r="D121" s="11">
        <v>3557000</v>
      </c>
      <c r="E121" s="11">
        <v>0</v>
      </c>
      <c r="F121" s="11">
        <f t="shared" si="10"/>
        <v>20000</v>
      </c>
      <c r="G121" s="17">
        <f t="shared" si="13"/>
        <v>42.19</v>
      </c>
      <c r="H121" s="17">
        <f t="shared" si="14"/>
        <v>23</v>
      </c>
      <c r="I121" s="17">
        <f t="shared" si="15"/>
        <v>0</v>
      </c>
      <c r="J121" s="18">
        <f t="shared" si="16"/>
        <v>0</v>
      </c>
      <c r="K121" s="18">
        <f t="shared" si="17"/>
        <v>0</v>
      </c>
      <c r="L121" s="18">
        <f t="shared" si="11"/>
        <v>65.19</v>
      </c>
      <c r="M121" s="18">
        <f t="shared" si="19"/>
        <v>0</v>
      </c>
      <c r="N121" s="18">
        <f t="shared" si="12"/>
        <v>65.19</v>
      </c>
      <c r="O121" s="8"/>
    </row>
    <row r="122" spans="1:15">
      <c r="A122" s="1" t="s">
        <v>112</v>
      </c>
      <c r="B122" s="11"/>
      <c r="C122" s="11">
        <v>351000</v>
      </c>
      <c r="D122" s="11">
        <v>352000</v>
      </c>
      <c r="E122" s="11">
        <v>0</v>
      </c>
      <c r="F122" s="11">
        <f t="shared" si="10"/>
        <v>1000</v>
      </c>
      <c r="G122" s="17">
        <f t="shared" si="13"/>
        <v>42.19</v>
      </c>
      <c r="H122" s="17">
        <f t="shared" si="14"/>
        <v>0</v>
      </c>
      <c r="I122" s="17">
        <f t="shared" si="15"/>
        <v>0</v>
      </c>
      <c r="J122" s="18">
        <f t="shared" si="16"/>
        <v>0</v>
      </c>
      <c r="K122" s="18">
        <f t="shared" si="17"/>
        <v>0</v>
      </c>
      <c r="L122" s="18">
        <f t="shared" si="11"/>
        <v>42.19</v>
      </c>
      <c r="M122" s="18">
        <f t="shared" si="19"/>
        <v>0</v>
      </c>
      <c r="N122" s="18">
        <f t="shared" si="12"/>
        <v>42.19</v>
      </c>
      <c r="O122" s="8"/>
    </row>
    <row r="123" spans="1:15">
      <c r="A123" s="1" t="s">
        <v>113</v>
      </c>
      <c r="B123" s="11"/>
      <c r="C123" s="11">
        <v>1472000</v>
      </c>
      <c r="D123" s="11">
        <v>1486000</v>
      </c>
      <c r="E123" s="11">
        <v>0</v>
      </c>
      <c r="F123" s="11">
        <f t="shared" si="10"/>
        <v>14000</v>
      </c>
      <c r="G123" s="17">
        <f t="shared" si="13"/>
        <v>42.19</v>
      </c>
      <c r="H123" s="17">
        <f t="shared" si="14"/>
        <v>9.1999999999999993</v>
      </c>
      <c r="I123" s="17">
        <f t="shared" si="15"/>
        <v>0</v>
      </c>
      <c r="J123" s="18">
        <f t="shared" si="16"/>
        <v>0</v>
      </c>
      <c r="K123" s="18">
        <f t="shared" si="17"/>
        <v>0</v>
      </c>
      <c r="L123" s="18">
        <f t="shared" si="11"/>
        <v>51.39</v>
      </c>
      <c r="M123" s="18">
        <f t="shared" si="19"/>
        <v>0</v>
      </c>
      <c r="N123" s="18">
        <f t="shared" si="12"/>
        <v>51.39</v>
      </c>
      <c r="O123" s="8"/>
    </row>
    <row r="124" spans="1:15">
      <c r="A124" s="1" t="s">
        <v>114</v>
      </c>
      <c r="B124" s="11"/>
      <c r="C124" s="11">
        <v>2587000</v>
      </c>
      <c r="D124" s="11">
        <v>2600000</v>
      </c>
      <c r="E124" s="11">
        <v>0</v>
      </c>
      <c r="F124" s="11">
        <f t="shared" si="10"/>
        <v>13000</v>
      </c>
      <c r="G124" s="17">
        <f t="shared" si="13"/>
        <v>42.19</v>
      </c>
      <c r="H124" s="17">
        <f t="shared" si="14"/>
        <v>6.8999999999999995</v>
      </c>
      <c r="I124" s="17">
        <f t="shared" si="15"/>
        <v>0</v>
      </c>
      <c r="J124" s="18">
        <f t="shared" si="16"/>
        <v>0</v>
      </c>
      <c r="K124" s="18">
        <f t="shared" si="17"/>
        <v>0</v>
      </c>
      <c r="L124" s="18">
        <f t="shared" si="11"/>
        <v>49.089999999999996</v>
      </c>
      <c r="M124" s="18">
        <f t="shared" si="19"/>
        <v>0</v>
      </c>
      <c r="N124" s="18">
        <f t="shared" si="12"/>
        <v>49.089999999999996</v>
      </c>
      <c r="O124" s="8"/>
    </row>
    <row r="125" spans="1:15">
      <c r="A125" s="1" t="s">
        <v>115</v>
      </c>
      <c r="B125" s="11"/>
      <c r="C125" s="11">
        <v>2513000</v>
      </c>
      <c r="D125" s="11">
        <v>2529000</v>
      </c>
      <c r="E125" s="11">
        <v>0</v>
      </c>
      <c r="F125" s="11">
        <f t="shared" si="10"/>
        <v>16000</v>
      </c>
      <c r="G125" s="17">
        <f t="shared" si="13"/>
        <v>42.19</v>
      </c>
      <c r="H125" s="17">
        <f t="shared" si="14"/>
        <v>13.799999999999999</v>
      </c>
      <c r="I125" s="17">
        <f t="shared" si="15"/>
        <v>0</v>
      </c>
      <c r="J125" s="18">
        <f t="shared" si="16"/>
        <v>0</v>
      </c>
      <c r="K125" s="18">
        <f t="shared" si="17"/>
        <v>0</v>
      </c>
      <c r="L125" s="18">
        <f t="shared" si="11"/>
        <v>55.989999999999995</v>
      </c>
      <c r="M125" s="18">
        <f t="shared" si="19"/>
        <v>0</v>
      </c>
      <c r="N125" s="18">
        <f t="shared" si="12"/>
        <v>55.989999999999995</v>
      </c>
      <c r="O125" s="8"/>
    </row>
    <row r="126" spans="1:15">
      <c r="A126" s="1" t="s">
        <v>116</v>
      </c>
      <c r="B126" s="11"/>
      <c r="C126" s="11">
        <v>4265000</v>
      </c>
      <c r="D126" s="11">
        <v>4266000</v>
      </c>
      <c r="E126" s="11">
        <v>0</v>
      </c>
      <c r="F126" s="11">
        <f t="shared" si="10"/>
        <v>1000</v>
      </c>
      <c r="G126" s="17">
        <f t="shared" si="13"/>
        <v>42.19</v>
      </c>
      <c r="H126" s="17">
        <f t="shared" si="14"/>
        <v>0</v>
      </c>
      <c r="I126" s="17">
        <f t="shared" si="15"/>
        <v>0</v>
      </c>
      <c r="J126" s="18">
        <f t="shared" si="16"/>
        <v>0</v>
      </c>
      <c r="K126" s="18">
        <f t="shared" si="17"/>
        <v>0</v>
      </c>
      <c r="L126" s="18">
        <f t="shared" si="11"/>
        <v>42.19</v>
      </c>
      <c r="M126" s="18">
        <f t="shared" si="19"/>
        <v>0</v>
      </c>
      <c r="N126" s="18">
        <f t="shared" si="12"/>
        <v>42.19</v>
      </c>
      <c r="O126" s="8"/>
    </row>
    <row r="127" spans="1:15">
      <c r="A127" s="1" t="s">
        <v>117</v>
      </c>
      <c r="B127" s="11"/>
      <c r="C127" s="11">
        <v>1913000</v>
      </c>
      <c r="D127" s="11">
        <v>1917000</v>
      </c>
      <c r="E127" s="11">
        <v>0</v>
      </c>
      <c r="F127" s="11">
        <f t="shared" si="10"/>
        <v>4000</v>
      </c>
      <c r="G127" s="17">
        <f t="shared" si="13"/>
        <v>42.19</v>
      </c>
      <c r="H127" s="17">
        <f t="shared" si="14"/>
        <v>0</v>
      </c>
      <c r="I127" s="17">
        <f t="shared" si="15"/>
        <v>0</v>
      </c>
      <c r="J127" s="18">
        <f t="shared" si="16"/>
        <v>0</v>
      </c>
      <c r="K127" s="18">
        <f t="shared" si="17"/>
        <v>0</v>
      </c>
      <c r="L127" s="18">
        <f t="shared" si="11"/>
        <v>42.19</v>
      </c>
      <c r="M127" s="18">
        <f t="shared" si="19"/>
        <v>0</v>
      </c>
      <c r="N127" s="18">
        <f t="shared" si="12"/>
        <v>42.19</v>
      </c>
      <c r="O127" s="8"/>
    </row>
    <row r="128" spans="1:15">
      <c r="A128" s="1" t="s">
        <v>118</v>
      </c>
      <c r="B128" s="11"/>
      <c r="C128" s="11">
        <v>30000</v>
      </c>
      <c r="D128" s="11">
        <v>35000</v>
      </c>
      <c r="E128" s="11">
        <v>0</v>
      </c>
      <c r="F128" s="11">
        <f t="shared" si="10"/>
        <v>5000</v>
      </c>
      <c r="G128" s="17">
        <f t="shared" si="13"/>
        <v>42.19</v>
      </c>
      <c r="H128" s="17">
        <f t="shared" si="14"/>
        <v>0</v>
      </c>
      <c r="I128" s="17">
        <f t="shared" si="15"/>
        <v>0</v>
      </c>
      <c r="J128" s="18">
        <f t="shared" si="16"/>
        <v>0</v>
      </c>
      <c r="K128" s="18">
        <f t="shared" si="17"/>
        <v>0</v>
      </c>
      <c r="L128" s="18">
        <f t="shared" si="11"/>
        <v>42.19</v>
      </c>
      <c r="M128" s="18">
        <f t="shared" si="19"/>
        <v>0</v>
      </c>
      <c r="N128" s="18">
        <f t="shared" si="12"/>
        <v>42.19</v>
      </c>
      <c r="O128" s="8" t="s">
        <v>174</v>
      </c>
    </row>
    <row r="129" spans="1:15">
      <c r="A129" s="1" t="s">
        <v>119</v>
      </c>
      <c r="B129" s="11"/>
      <c r="C129" s="11">
        <v>6861000</v>
      </c>
      <c r="D129" s="11">
        <v>6922000</v>
      </c>
      <c r="E129" s="11">
        <v>0</v>
      </c>
      <c r="F129" s="11">
        <f t="shared" si="10"/>
        <v>61000</v>
      </c>
      <c r="G129" s="17">
        <f t="shared" si="13"/>
        <v>42.19</v>
      </c>
      <c r="H129" s="17">
        <f t="shared" si="14"/>
        <v>23</v>
      </c>
      <c r="I129" s="17">
        <f t="shared" si="15"/>
        <v>26.7</v>
      </c>
      <c r="J129" s="18">
        <f t="shared" si="16"/>
        <v>31</v>
      </c>
      <c r="K129" s="18">
        <f t="shared" si="17"/>
        <v>75.600000000000009</v>
      </c>
      <c r="L129" s="18">
        <f t="shared" si="11"/>
        <v>198.49</v>
      </c>
      <c r="M129" s="18">
        <f t="shared" si="19"/>
        <v>0</v>
      </c>
      <c r="N129" s="18">
        <f t="shared" si="12"/>
        <v>198.49</v>
      </c>
      <c r="O129" s="8"/>
    </row>
    <row r="130" spans="1:15">
      <c r="A130" s="1" t="s">
        <v>120</v>
      </c>
      <c r="B130" s="11"/>
      <c r="C130" s="11">
        <v>3705000</v>
      </c>
      <c r="D130" s="11">
        <v>3714000</v>
      </c>
      <c r="E130" s="11">
        <v>0</v>
      </c>
      <c r="F130" s="11">
        <f t="shared" si="10"/>
        <v>9000</v>
      </c>
      <c r="G130" s="17">
        <f t="shared" si="13"/>
        <v>42.19</v>
      </c>
      <c r="H130" s="17">
        <f t="shared" si="14"/>
        <v>0</v>
      </c>
      <c r="I130" s="17">
        <f t="shared" si="15"/>
        <v>0</v>
      </c>
      <c r="J130" s="18">
        <f t="shared" si="16"/>
        <v>0</v>
      </c>
      <c r="K130" s="18">
        <f t="shared" si="17"/>
        <v>0</v>
      </c>
      <c r="L130" s="18">
        <f t="shared" si="11"/>
        <v>42.19</v>
      </c>
      <c r="M130" s="18">
        <f t="shared" si="19"/>
        <v>0</v>
      </c>
      <c r="N130" s="18">
        <f t="shared" si="12"/>
        <v>42.19</v>
      </c>
      <c r="O130" s="8"/>
    </row>
    <row r="131" spans="1:15">
      <c r="A131" s="1" t="s">
        <v>121</v>
      </c>
      <c r="B131" s="11" t="s">
        <v>138</v>
      </c>
      <c r="C131" s="11">
        <v>0</v>
      </c>
      <c r="D131" s="11">
        <v>0</v>
      </c>
      <c r="E131" s="11">
        <v>0</v>
      </c>
      <c r="F131" s="11">
        <f t="shared" si="10"/>
        <v>0</v>
      </c>
      <c r="G131" s="17">
        <f t="shared" si="13"/>
        <v>12.41</v>
      </c>
      <c r="H131" s="17">
        <f t="shared" si="14"/>
        <v>0</v>
      </c>
      <c r="I131" s="17">
        <f t="shared" si="15"/>
        <v>0</v>
      </c>
      <c r="J131" s="18">
        <f t="shared" si="16"/>
        <v>0</v>
      </c>
      <c r="K131" s="18">
        <f t="shared" si="17"/>
        <v>0</v>
      </c>
      <c r="L131" s="18">
        <f t="shared" si="11"/>
        <v>12.41</v>
      </c>
      <c r="M131" s="18">
        <f t="shared" si="19"/>
        <v>0</v>
      </c>
      <c r="N131" s="18">
        <f t="shared" si="12"/>
        <v>12.41</v>
      </c>
      <c r="O131" s="8"/>
    </row>
    <row r="132" spans="1:15">
      <c r="A132" s="1" t="s">
        <v>122</v>
      </c>
      <c r="B132" s="11"/>
      <c r="C132" s="11">
        <v>1345000</v>
      </c>
      <c r="D132" s="11">
        <v>1357000</v>
      </c>
      <c r="E132" s="11">
        <v>0</v>
      </c>
      <c r="F132" s="11">
        <f t="shared" si="10"/>
        <v>12000</v>
      </c>
      <c r="G132" s="17">
        <f t="shared" si="13"/>
        <v>42.19</v>
      </c>
      <c r="H132" s="17">
        <f t="shared" si="14"/>
        <v>4.5999999999999996</v>
      </c>
      <c r="I132" s="17">
        <f t="shared" si="15"/>
        <v>0</v>
      </c>
      <c r="J132" s="18">
        <f t="shared" si="16"/>
        <v>0</v>
      </c>
      <c r="K132" s="18">
        <f t="shared" si="17"/>
        <v>0</v>
      </c>
      <c r="L132" s="18">
        <f t="shared" si="11"/>
        <v>46.79</v>
      </c>
      <c r="M132" s="18">
        <f t="shared" si="19"/>
        <v>0</v>
      </c>
      <c r="N132" s="18">
        <f t="shared" si="12"/>
        <v>46.79</v>
      </c>
      <c r="O132" s="8"/>
    </row>
    <row r="133" spans="1:15">
      <c r="A133" s="1" t="s">
        <v>123</v>
      </c>
      <c r="B133" s="11" t="s">
        <v>138</v>
      </c>
      <c r="C133" s="11">
        <v>0</v>
      </c>
      <c r="D133" s="11">
        <v>0</v>
      </c>
      <c r="E133" s="11">
        <v>0</v>
      </c>
      <c r="F133" s="11">
        <f t="shared" si="10"/>
        <v>0</v>
      </c>
      <c r="G133" s="17">
        <f t="shared" si="13"/>
        <v>12.41</v>
      </c>
      <c r="H133" s="17">
        <f t="shared" si="14"/>
        <v>0</v>
      </c>
      <c r="I133" s="17">
        <f t="shared" si="15"/>
        <v>0</v>
      </c>
      <c r="J133" s="18">
        <f t="shared" si="16"/>
        <v>0</v>
      </c>
      <c r="K133" s="18">
        <f t="shared" si="17"/>
        <v>0</v>
      </c>
      <c r="L133" s="18">
        <f t="shared" si="11"/>
        <v>12.41</v>
      </c>
      <c r="M133" s="18">
        <f t="shared" si="19"/>
        <v>0</v>
      </c>
      <c r="N133" s="18">
        <f t="shared" si="12"/>
        <v>12.41</v>
      </c>
      <c r="O133" s="8"/>
    </row>
    <row r="134" spans="1:15">
      <c r="A134" s="1" t="s">
        <v>124</v>
      </c>
      <c r="B134" s="11" t="s">
        <v>138</v>
      </c>
      <c r="C134" s="11">
        <v>0</v>
      </c>
      <c r="D134" s="11">
        <v>0</v>
      </c>
      <c r="E134" s="11">
        <v>0</v>
      </c>
      <c r="F134" s="11">
        <f t="shared" si="10"/>
        <v>0</v>
      </c>
      <c r="G134" s="17">
        <f t="shared" si="13"/>
        <v>12.41</v>
      </c>
      <c r="H134" s="17">
        <f t="shared" si="14"/>
        <v>0</v>
      </c>
      <c r="I134" s="17">
        <f t="shared" si="15"/>
        <v>0</v>
      </c>
      <c r="J134" s="18">
        <f t="shared" si="16"/>
        <v>0</v>
      </c>
      <c r="K134" s="18">
        <f t="shared" si="17"/>
        <v>0</v>
      </c>
      <c r="L134" s="18">
        <f t="shared" si="11"/>
        <v>12.41</v>
      </c>
      <c r="M134" s="18">
        <f t="shared" si="19"/>
        <v>0</v>
      </c>
      <c r="N134" s="18">
        <f t="shared" si="12"/>
        <v>12.41</v>
      </c>
      <c r="O134" s="8"/>
    </row>
    <row r="135" spans="1:15">
      <c r="A135" s="1" t="s">
        <v>125</v>
      </c>
      <c r="B135" s="11" t="s">
        <v>138</v>
      </c>
      <c r="C135" s="11">
        <v>0</v>
      </c>
      <c r="D135" s="11">
        <v>0</v>
      </c>
      <c r="E135" s="11">
        <v>0</v>
      </c>
      <c r="F135" s="11">
        <f t="shared" si="10"/>
        <v>0</v>
      </c>
      <c r="G135" s="17">
        <f t="shared" si="13"/>
        <v>12.41</v>
      </c>
      <c r="H135" s="17">
        <f t="shared" si="14"/>
        <v>0</v>
      </c>
      <c r="I135" s="17">
        <f t="shared" si="15"/>
        <v>0</v>
      </c>
      <c r="J135" s="18">
        <f t="shared" si="16"/>
        <v>0</v>
      </c>
      <c r="K135" s="18">
        <f t="shared" si="17"/>
        <v>0</v>
      </c>
      <c r="L135" s="18">
        <f t="shared" si="11"/>
        <v>12.41</v>
      </c>
      <c r="M135" s="18">
        <f t="shared" si="19"/>
        <v>0</v>
      </c>
      <c r="N135" s="18">
        <f t="shared" si="12"/>
        <v>12.41</v>
      </c>
      <c r="O135" s="8"/>
    </row>
    <row r="136" spans="1:15">
      <c r="A136" s="1" t="s">
        <v>126</v>
      </c>
      <c r="B136" s="11"/>
      <c r="C136" s="11">
        <v>1057000</v>
      </c>
      <c r="D136" s="11">
        <v>1104000</v>
      </c>
      <c r="E136" s="11">
        <v>0</v>
      </c>
      <c r="F136" s="11">
        <f t="shared" si="10"/>
        <v>47000</v>
      </c>
      <c r="G136" s="17">
        <f t="shared" si="13"/>
        <v>42.19</v>
      </c>
      <c r="H136" s="17">
        <f t="shared" si="14"/>
        <v>23</v>
      </c>
      <c r="I136" s="17">
        <f t="shared" si="15"/>
        <v>26.7</v>
      </c>
      <c r="J136" s="18">
        <f t="shared" si="16"/>
        <v>31</v>
      </c>
      <c r="K136" s="18">
        <f t="shared" si="17"/>
        <v>25.2</v>
      </c>
      <c r="L136" s="18">
        <f t="shared" si="11"/>
        <v>148.09</v>
      </c>
      <c r="M136" s="18">
        <f t="shared" si="19"/>
        <v>0</v>
      </c>
      <c r="N136" s="18">
        <f t="shared" si="12"/>
        <v>148.09</v>
      </c>
      <c r="O136" s="8"/>
    </row>
    <row r="137" spans="1:15">
      <c r="B137" s="11"/>
      <c r="C137" s="11"/>
      <c r="D137" s="11"/>
      <c r="E137" s="11"/>
      <c r="F137" s="11"/>
      <c r="G137" s="17"/>
      <c r="H137" s="17"/>
      <c r="I137" s="17"/>
      <c r="J137" s="18"/>
      <c r="K137" s="18"/>
      <c r="L137" s="18"/>
      <c r="M137" s="18"/>
      <c r="N137" s="18"/>
      <c r="O137" s="8"/>
    </row>
    <row r="138" spans="1:15">
      <c r="J138" s="1" t="s">
        <v>136</v>
      </c>
      <c r="M138" s="27">
        <f>SUM(M11:M136)</f>
        <v>0</v>
      </c>
      <c r="N138" s="5">
        <f>SUM(N11:N136)</f>
        <v>8154.0199999999841</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2066700</v>
      </c>
      <c r="G140" s="75">
        <f t="shared" si="20"/>
        <v>4416.4499999999989</v>
      </c>
      <c r="H140" s="75">
        <f t="shared" si="20"/>
        <v>1064.5999999999999</v>
      </c>
      <c r="I140" s="75">
        <f t="shared" si="20"/>
        <v>643.47</v>
      </c>
      <c r="J140" s="75">
        <f t="shared" si="20"/>
        <v>474.3</v>
      </c>
      <c r="K140" s="75">
        <f t="shared" si="20"/>
        <v>1555.2</v>
      </c>
      <c r="L140" s="75">
        <f t="shared" si="20"/>
        <v>8154.0199999999841</v>
      </c>
    </row>
    <row r="141" spans="1:15" customFormat="1">
      <c r="A141" t="s">
        <v>250</v>
      </c>
    </row>
    <row r="142" spans="1:15" customFormat="1">
      <c r="D142" t="s">
        <v>248</v>
      </c>
      <c r="E142" t="s">
        <v>148</v>
      </c>
      <c r="F142" s="1"/>
      <c r="G142" t="s">
        <v>258</v>
      </c>
      <c r="H142" t="s">
        <v>166</v>
      </c>
      <c r="I142" t="s">
        <v>167</v>
      </c>
      <c r="J142" t="s">
        <v>169</v>
      </c>
      <c r="K142" t="s">
        <v>252</v>
      </c>
      <c r="L142" t="s">
        <v>251</v>
      </c>
    </row>
    <row r="143" spans="1:15" customFormat="1">
      <c r="A143" t="s">
        <v>254</v>
      </c>
      <c r="D143">
        <v>82</v>
      </c>
      <c r="E143" s="25">
        <f>SUM(M18:M130)</f>
        <v>0</v>
      </c>
      <c r="F143" s="1"/>
      <c r="G143" s="25">
        <f>SUM(G18:G130)-G145</f>
        <v>3459.5800000000027</v>
      </c>
      <c r="H143" s="80">
        <f>SUM(H18:H130)-H145</f>
        <v>763.6</v>
      </c>
      <c r="I143" s="25">
        <f>SUM(I18:I130)-I145</f>
        <v>509.96999999999991</v>
      </c>
      <c r="J143" s="25">
        <f>SUM(J18:J130)-J145</f>
        <v>319.3</v>
      </c>
      <c r="K143" s="25">
        <f>SUM(K18:K130)-K145</f>
        <v>766.80000000000007</v>
      </c>
      <c r="L143" s="25">
        <f>SUM(F143:K143)</f>
        <v>5819.2500000000036</v>
      </c>
    </row>
    <row r="144" spans="1:15" customFormat="1">
      <c r="A144" t="s">
        <v>255</v>
      </c>
      <c r="D144">
        <v>8</v>
      </c>
      <c r="E144" s="25">
        <f>SUM(M11:M15)+M17+SUM(M131:M136)</f>
        <v>0</v>
      </c>
      <c r="F144" s="1"/>
      <c r="G144" s="34">
        <f>SUM(G11:G15)+G17+G132+G136</f>
        <v>337.52</v>
      </c>
      <c r="H144" s="34">
        <f>SUM(H11:H15)+H17+H132+H136</f>
        <v>121.89999999999999</v>
      </c>
      <c r="I144" s="34">
        <f>SUM(I11:I15)+I17+I132+I136</f>
        <v>133.5</v>
      </c>
      <c r="J144" s="34">
        <f>SUM(J11:J15)+J17+J132+J136</f>
        <v>155</v>
      </c>
      <c r="K144" s="34">
        <f>SUM(K11:K15)+K17+K132+K136</f>
        <v>788.4000000000002</v>
      </c>
      <c r="L144" s="25">
        <f t="shared" ref="L144:L147" si="21">SUM(F144:K144)</f>
        <v>1536.3200000000002</v>
      </c>
    </row>
    <row r="145" spans="1:14" customFormat="1">
      <c r="A145" t="s">
        <v>260</v>
      </c>
      <c r="D145">
        <v>31</v>
      </c>
      <c r="E145" s="25">
        <v>0</v>
      </c>
      <c r="F145" s="1"/>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384.71000000000021</v>
      </c>
      <c r="M145" s="25"/>
    </row>
    <row r="146" spans="1:14" customFormat="1">
      <c r="A146" t="s">
        <v>261</v>
      </c>
      <c r="D146">
        <v>4</v>
      </c>
      <c r="E146" s="25">
        <v>0</v>
      </c>
      <c r="F146" s="1"/>
      <c r="G146" s="25">
        <f>G135+G134+G133+G131</f>
        <v>49.64</v>
      </c>
      <c r="H146" s="25">
        <f>H135+H134+H133+H131</f>
        <v>0</v>
      </c>
      <c r="I146" s="25">
        <f>I135+I134+I133+I131</f>
        <v>0</v>
      </c>
      <c r="J146" s="25">
        <f>J135+J134+J133+J131</f>
        <v>0</v>
      </c>
      <c r="K146" s="25">
        <f>K135+K134+K133+K131</f>
        <v>0</v>
      </c>
      <c r="L146" s="25">
        <f t="shared" si="21"/>
        <v>49.64</v>
      </c>
    </row>
    <row r="147" spans="1:14" customFormat="1">
      <c r="A147" t="s">
        <v>253</v>
      </c>
      <c r="D147">
        <v>1</v>
      </c>
      <c r="E147" s="25">
        <f>M16</f>
        <v>0</v>
      </c>
      <c r="G147" s="25">
        <f>G16</f>
        <v>185</v>
      </c>
      <c r="H147" s="25">
        <f>H16</f>
        <v>179.1</v>
      </c>
      <c r="I147" s="25">
        <f>I16</f>
        <v>0</v>
      </c>
      <c r="J147" s="25">
        <f>J16</f>
        <v>0</v>
      </c>
      <c r="K147" s="25">
        <f>K16</f>
        <v>0</v>
      </c>
      <c r="L147" s="25">
        <f t="shared" si="21"/>
        <v>364.1</v>
      </c>
    </row>
    <row r="148" spans="1:14" customFormat="1" ht="15.75" thickBot="1">
      <c r="B148" t="s">
        <v>257</v>
      </c>
      <c r="D148" s="73">
        <f>SUM(D143:D147)</f>
        <v>126</v>
      </c>
      <c r="E148" s="74">
        <f>SUM(E143:E147)</f>
        <v>0</v>
      </c>
      <c r="F148" s="73"/>
      <c r="G148" s="74">
        <f t="shared" ref="G148:L148" si="22">SUM(G143:G147)</f>
        <v>4416.4500000000035</v>
      </c>
      <c r="H148" s="74">
        <f t="shared" si="22"/>
        <v>1064.5999999999999</v>
      </c>
      <c r="I148" s="74">
        <f t="shared" si="22"/>
        <v>643.46999999999991</v>
      </c>
      <c r="J148" s="74">
        <f t="shared" si="22"/>
        <v>474.3</v>
      </c>
      <c r="K148" s="74">
        <f t="shared" si="22"/>
        <v>1555.2000000000003</v>
      </c>
      <c r="L148" s="74">
        <f t="shared" si="22"/>
        <v>8154.0200000000041</v>
      </c>
      <c r="N148" s="1"/>
    </row>
    <row r="149" spans="1:14" customFormat="1" ht="15.75" thickTop="1">
      <c r="D149" s="78"/>
      <c r="E149" s="78"/>
      <c r="F149" s="78"/>
      <c r="G149" s="79"/>
      <c r="H149" s="79"/>
      <c r="I149" s="79"/>
      <c r="J149" s="79"/>
      <c r="K149" s="79"/>
      <c r="L149" s="79"/>
      <c r="N149" s="1"/>
    </row>
    <row r="150" spans="1:14" customFormat="1">
      <c r="A150" t="s">
        <v>262</v>
      </c>
      <c r="D150" s="75"/>
      <c r="E150" s="81">
        <v>0</v>
      </c>
      <c r="F150" s="75"/>
      <c r="G150" s="81">
        <f>F140-G151-G152-(SUM(H153:K153))</f>
        <v>595700</v>
      </c>
      <c r="H150" s="81">
        <f>H143/2.3*1000</f>
        <v>332000.00000000006</v>
      </c>
      <c r="I150" s="81">
        <f>I143/2.67*1000</f>
        <v>190999.99999999997</v>
      </c>
      <c r="J150" s="81">
        <f>J143/3.1*1000</f>
        <v>103000</v>
      </c>
      <c r="K150" s="81">
        <f>K143/3.6*1000</f>
        <v>213000</v>
      </c>
      <c r="L150" s="81">
        <f>SUM(G150:K150)</f>
        <v>1434700</v>
      </c>
      <c r="N150" s="1"/>
    </row>
    <row r="151" spans="1:14" customFormat="1">
      <c r="A151" t="s">
        <v>263</v>
      </c>
      <c r="D151" s="75"/>
      <c r="E151" s="81">
        <v>0</v>
      </c>
      <c r="F151" s="75"/>
      <c r="G151" s="81">
        <f>(SUM(F11:F15)+F17+SUM(F131:F136)-H151-I151-J151-K151)</f>
        <v>69999.999999999942</v>
      </c>
      <c r="H151" s="81">
        <f>H144/2.3*1000</f>
        <v>53000</v>
      </c>
      <c r="I151" s="81">
        <f>I144/2.67*1000</f>
        <v>50000</v>
      </c>
      <c r="J151" s="81">
        <f>J144/3.1*1000</f>
        <v>50000</v>
      </c>
      <c r="K151" s="81">
        <f>K144/3.6*1000</f>
        <v>219000.00000000006</v>
      </c>
      <c r="L151" s="81">
        <f>SUM(G151:K151)</f>
        <v>442000</v>
      </c>
      <c r="N151" s="1"/>
    </row>
    <row r="152" spans="1:14" customFormat="1">
      <c r="A152" t="s">
        <v>264</v>
      </c>
      <c r="D152" s="75"/>
      <c r="E152" s="81">
        <v>0</v>
      </c>
      <c r="F152" s="75"/>
      <c r="G152" s="81">
        <f>IF(F16&gt;100000,100000,F16)</f>
        <v>100000</v>
      </c>
      <c r="H152" s="81">
        <f>H147/1.99*1000</f>
        <v>90000</v>
      </c>
      <c r="I152" s="81" t="s">
        <v>259</v>
      </c>
      <c r="J152" s="81" t="s">
        <v>259</v>
      </c>
      <c r="K152" s="81" t="s">
        <v>259</v>
      </c>
      <c r="L152" s="81">
        <f>SUM(G152:K152)</f>
        <v>190000</v>
      </c>
      <c r="N152" s="1"/>
    </row>
    <row r="153" spans="1:14" customFormat="1" ht="15.75" thickBot="1">
      <c r="B153" t="s">
        <v>265</v>
      </c>
      <c r="D153" s="77"/>
      <c r="E153" s="82">
        <f>SUM(E150:E152)</f>
        <v>0</v>
      </c>
      <c r="F153" s="77"/>
      <c r="G153" s="82">
        <f>G150+G151+G152</f>
        <v>765700</v>
      </c>
      <c r="H153" s="82">
        <f>SUM(H150:H152)</f>
        <v>475000.00000000006</v>
      </c>
      <c r="I153" s="82">
        <f>SUM(I150:I152)</f>
        <v>240999.99999999997</v>
      </c>
      <c r="J153" s="82">
        <f>SUM(J150:J152)</f>
        <v>153000</v>
      </c>
      <c r="K153" s="82">
        <f>SUM(K150:K152)</f>
        <v>432000.00000000006</v>
      </c>
      <c r="L153" s="82">
        <f>SUM(L150:L152)</f>
        <v>2066700</v>
      </c>
      <c r="N153" s="1"/>
    </row>
    <row r="154" spans="1:14" ht="15.75" thickTop="1">
      <c r="E154" s="1" t="s">
        <v>274</v>
      </c>
    </row>
    <row r="155" spans="1:14">
      <c r="E155" s="75" t="s">
        <v>275</v>
      </c>
    </row>
    <row r="156" spans="1:14">
      <c r="E156" s="75" t="s">
        <v>273</v>
      </c>
    </row>
    <row r="157" spans="1:14">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sheetPr>
    <pageSetUpPr fitToPage="1"/>
  </sheetPr>
  <dimension ref="A1:P157"/>
  <sheetViews>
    <sheetView zoomScale="55" zoomScaleNormal="55"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6" ht="46.5">
      <c r="A1" s="2" t="s">
        <v>141</v>
      </c>
    </row>
    <row r="2" spans="1:16" ht="28.5">
      <c r="A2" s="3" t="s">
        <v>142</v>
      </c>
    </row>
    <row r="4" spans="1:16">
      <c r="A4" s="1" t="s">
        <v>143</v>
      </c>
      <c r="B4" s="23">
        <v>41000</v>
      </c>
      <c r="D4" s="1" t="s">
        <v>146</v>
      </c>
      <c r="G4" s="1" t="s">
        <v>156</v>
      </c>
      <c r="J4" s="1" t="s">
        <v>163</v>
      </c>
      <c r="K4" s="5">
        <v>42.19</v>
      </c>
      <c r="M4" s="1" t="s">
        <v>164</v>
      </c>
      <c r="N4" s="5">
        <v>12.41</v>
      </c>
      <c r="O4" s="1" t="s">
        <v>149</v>
      </c>
      <c r="P4" s="1">
        <f>SUM(F11:F136)</f>
        <v>2037000</v>
      </c>
    </row>
    <row r="5" spans="1:16">
      <c r="A5" s="1" t="s">
        <v>165</v>
      </c>
      <c r="B5" s="24">
        <v>41032</v>
      </c>
      <c r="D5" s="1" t="s">
        <v>144</v>
      </c>
      <c r="G5" s="1" t="s">
        <v>155</v>
      </c>
      <c r="H5" s="1">
        <v>0</v>
      </c>
      <c r="J5" s="1" t="s">
        <v>166</v>
      </c>
      <c r="K5" s="5">
        <v>2.2999999999999998</v>
      </c>
      <c r="M5" s="1" t="s">
        <v>6</v>
      </c>
      <c r="N5" s="5">
        <v>185</v>
      </c>
      <c r="O5" s="1" t="s">
        <v>154</v>
      </c>
      <c r="P5" s="1">
        <f>P4-F16</f>
        <v>1835000</v>
      </c>
    </row>
    <row r="6" spans="1:16">
      <c r="B6" s="4"/>
      <c r="D6" s="1" t="s">
        <v>145</v>
      </c>
      <c r="G6" s="1" t="s">
        <v>158</v>
      </c>
      <c r="H6" s="1">
        <v>35000</v>
      </c>
      <c r="J6" s="1" t="s">
        <v>167</v>
      </c>
      <c r="K6" s="5">
        <v>2.67</v>
      </c>
      <c r="M6" s="1" t="s">
        <v>168</v>
      </c>
      <c r="N6" s="5">
        <v>1.99</v>
      </c>
      <c r="O6" s="1" t="s">
        <v>160</v>
      </c>
      <c r="P6" s="1">
        <f>SUMIF(F11:F15,"&gt;" &amp; $H$6)+SUMIF(F17:F136,"&gt;" &amp; $H$6)+SUMIF(F16,"&gt;" &amp; $H$7)</f>
        <v>1290000</v>
      </c>
    </row>
    <row r="7" spans="1:16">
      <c r="B7" s="4"/>
      <c r="D7" s="1" t="s">
        <v>150</v>
      </c>
      <c r="E7" s="12">
        <f>E6-E5</f>
        <v>0</v>
      </c>
      <c r="G7" s="1" t="s">
        <v>159</v>
      </c>
      <c r="H7" s="12">
        <v>100000</v>
      </c>
      <c r="J7" s="1" t="s">
        <v>169</v>
      </c>
      <c r="K7" s="5">
        <v>3.1</v>
      </c>
      <c r="M7" s="1" t="s">
        <v>170</v>
      </c>
      <c r="N7" s="5">
        <v>1755</v>
      </c>
      <c r="O7" s="1" t="s">
        <v>161</v>
      </c>
      <c r="P7" s="1">
        <f>(SUMIF(F11:F15,"&gt;" &amp; $H$6)-(COUNTIF(F11:F15,"&gt;" &amp; $H$6)*$H$6))+(SUMIF(F17:F136,"&gt;" &amp; $H$6)-(COUNTIF(F17:F136,"&gt;" &amp; $H$6)*$H$6))+(SUMIF(F16,"&gt;" &amp; $H$7)-(COUNTIF(F16,"&gt;" &amp; $H$7)*$H$7))</f>
        <v>910000</v>
      </c>
    </row>
    <row r="8" spans="1:16">
      <c r="D8" s="1" t="s">
        <v>147</v>
      </c>
      <c r="E8" s="25">
        <v>0</v>
      </c>
      <c r="H8" s="6"/>
      <c r="J8" s="1" t="s">
        <v>171</v>
      </c>
      <c r="K8" s="5">
        <v>3.6</v>
      </c>
    </row>
    <row r="10" spans="1:16">
      <c r="A10" s="7" t="s">
        <v>0</v>
      </c>
      <c r="B10" s="10" t="s">
        <v>137</v>
      </c>
      <c r="C10" s="13" t="s">
        <v>172</v>
      </c>
      <c r="D10" s="26" t="s">
        <v>173</v>
      </c>
      <c r="E10" s="10" t="s">
        <v>140</v>
      </c>
      <c r="F10" s="10" t="s">
        <v>157</v>
      </c>
      <c r="G10" s="21" t="s">
        <v>132</v>
      </c>
      <c r="H10" s="21" t="s">
        <v>128</v>
      </c>
      <c r="I10" s="21" t="s">
        <v>129</v>
      </c>
      <c r="J10" s="22" t="s">
        <v>130</v>
      </c>
      <c r="K10" s="22" t="s">
        <v>131</v>
      </c>
      <c r="L10" s="22" t="s">
        <v>162</v>
      </c>
      <c r="M10" s="22" t="s">
        <v>148</v>
      </c>
      <c r="N10" s="22" t="s">
        <v>135</v>
      </c>
      <c r="O10" s="9" t="s">
        <v>127</v>
      </c>
    </row>
    <row r="11" spans="1:16">
      <c r="A11" s="1" t="s">
        <v>1</v>
      </c>
      <c r="B11" s="11"/>
      <c r="C11" s="11">
        <v>7992000</v>
      </c>
      <c r="D11" s="11">
        <v>8102000</v>
      </c>
      <c r="E11" s="11">
        <v>0</v>
      </c>
      <c r="F11" s="11">
        <f t="shared" ref="F11:F74" si="0">($D11-$C11)+$E11</f>
        <v>110000</v>
      </c>
      <c r="G11" s="17">
        <f>IF(OR($F11&gt;0,$B11=""),$K$4,$N$4)</f>
        <v>42.19</v>
      </c>
      <c r="H11" s="17">
        <f>IF(AND((($F11-10000)&gt;=0),(($F11-10000)&lt;= 10000)),($F11-10000)/1000*$K$5,IF(($F11-10000)&gt;=10000,$K$5*10,0))</f>
        <v>23</v>
      </c>
      <c r="I11" s="17">
        <f>IF(AND((($F11-20000)&gt;=0),(($F11-20000)&lt;=10000)),($F11-20000)/1000*$K$6,IF(($F11-20000)&gt;=10000,$K$6*10,0))</f>
        <v>26.7</v>
      </c>
      <c r="J11" s="18">
        <f>IF(AND((($F11-30000)&gt;=0),(($F11-30000)&lt;=10000)),($F11-30000)/1000*$K$7,IF(($F11-30000)&gt;=10000,$K$7*10,0))</f>
        <v>31</v>
      </c>
      <c r="K11" s="18">
        <f>IF((($F11-40000)&gt;=0),($F11-40000)/1000*$K$8,0)</f>
        <v>252</v>
      </c>
      <c r="L11" s="18">
        <f>SUM(G11:K11)</f>
        <v>374.89</v>
      </c>
      <c r="M11" s="18">
        <f>IF(   $H$5=1,    IF((F11-$H$6)&gt;0,((F11-$H$6)/$P$7)*$E$8,0),   IF(F11&gt;0,(F11/$P$4)*$E$8,0)    )</f>
        <v>0</v>
      </c>
      <c r="N11" s="18">
        <f>SUM(L11:M11)</f>
        <v>374.89</v>
      </c>
      <c r="O11" s="8"/>
    </row>
    <row r="12" spans="1:16">
      <c r="A12" s="1" t="s">
        <v>2</v>
      </c>
      <c r="B12" s="11"/>
      <c r="C12" s="11">
        <v>6836000</v>
      </c>
      <c r="D12" s="11">
        <v>6917000</v>
      </c>
      <c r="E12" s="11">
        <v>0</v>
      </c>
      <c r="F12" s="11">
        <f t="shared" si="0"/>
        <v>81000</v>
      </c>
      <c r="G12" s="17">
        <f>IF(OR($F12&gt;0,$B12=""),$K$4,$N$4)</f>
        <v>42.19</v>
      </c>
      <c r="H12" s="17">
        <f>IF(AND((($F12-10000)&gt;=0),(($F12-10000)&lt;= 10000)),($F12-10000)/1000*$K$5,IF(($F12-10000)&gt;=10000,$K$5*10,0))</f>
        <v>23</v>
      </c>
      <c r="I12" s="17">
        <f>IF(AND((($F12-20000)&gt;=0),(($F12-20000)&lt;=10000)),($F12-20000)/1000*$K$6,IF(($F12-20000)&gt;=10000,$K$6*10,0))</f>
        <v>26.7</v>
      </c>
      <c r="J12" s="18">
        <f>IF(AND((($F12-30000)&gt;=0),(($F12-30000)&lt;=10000)),($F12-30000)/1000*$K$7,IF(($F12-30000)&gt;=10000,$K$7*10,0))</f>
        <v>31</v>
      </c>
      <c r="K12" s="18">
        <f>IF((($F12-40000)&gt;=0),($F12-40000)/1000*$K$8,0)</f>
        <v>147.6</v>
      </c>
      <c r="L12" s="18">
        <f t="shared" ref="L12:L75" si="1">SUM(G12:K12)</f>
        <v>270.49</v>
      </c>
      <c r="M12" s="18">
        <f>IF(   $H$5=1,    IF((F12-$H$6)&gt;0,((F12-$H$6)/$P$7)*$E$8,0),   IF(F12&gt;0,(F12/$P$4)*$E$8,0)    )</f>
        <v>0</v>
      </c>
      <c r="N12" s="18">
        <f t="shared" ref="N12:N75" si="2">SUM(L12:M12)</f>
        <v>270.49</v>
      </c>
      <c r="O12" s="8"/>
    </row>
    <row r="13" spans="1:16">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IF((F13-$H$6)&gt;0,((F13-$H$6)/$P$7)*$E$8,0),   IF(F13&gt;0,(F13/$P$4)*$E$8,0)    )</f>
        <v>0</v>
      </c>
      <c r="N13" s="18">
        <f t="shared" si="2"/>
        <v>42.19</v>
      </c>
      <c r="O13" s="8" t="s">
        <v>134</v>
      </c>
    </row>
    <row r="14" spans="1:16">
      <c r="A14" s="1" t="s">
        <v>4</v>
      </c>
      <c r="B14" s="11"/>
      <c r="C14" s="11">
        <v>3485000</v>
      </c>
      <c r="D14" s="11">
        <v>3576000</v>
      </c>
      <c r="E14" s="11">
        <v>0</v>
      </c>
      <c r="F14" s="11">
        <f t="shared" si="0"/>
        <v>91000</v>
      </c>
      <c r="G14" s="17">
        <f>IF(OR($F14&gt;0,$B14=""),$K$4,$N$4)</f>
        <v>42.19</v>
      </c>
      <c r="H14" s="17">
        <f>IF(AND((($F14-10000)&gt;=0),(($F14-10000)&lt;= 10000)),($F14-10000)/1000*$K$5,IF(($F14-10000)&gt;=10000,$K$5*10,0))</f>
        <v>23</v>
      </c>
      <c r="I14" s="17">
        <f>IF(AND((($F14-20000)&gt;=0),(($F14-20000)&lt;=10000)),($F14-20000)/1000*$K$6,IF(($F14-20000)&gt;=10000,$K$6*10,0))</f>
        <v>26.7</v>
      </c>
      <c r="J14" s="18">
        <f>IF(AND((($F14-30000)&gt;=0),(($F14-30000)&lt;=10000)),($F14-30000)/1000*$K$7,IF(($F14-30000)&gt;=10000,$K$7*10,0))</f>
        <v>31</v>
      </c>
      <c r="K14" s="18">
        <f>IF((($F14-40000)&gt;=0),($F14-40000)/1000*$K$8,0)</f>
        <v>183.6</v>
      </c>
      <c r="L14" s="18">
        <f t="shared" si="1"/>
        <v>306.49</v>
      </c>
      <c r="M14" s="18">
        <f>IF(   $H$5=1,    IF((F14-$H$6)&gt;0,((F14-$H$6)/$P$7)*$E$8,0),   IF(F14&gt;0,(F14/$P$4)*$E$8,0)    )</f>
        <v>0</v>
      </c>
      <c r="N14" s="18">
        <f t="shared" si="2"/>
        <v>306.49</v>
      </c>
      <c r="O14" s="8"/>
    </row>
    <row r="15" spans="1:16">
      <c r="A15" s="1" t="s">
        <v>5</v>
      </c>
      <c r="B15" s="11"/>
      <c r="C15" s="11">
        <v>2424000</v>
      </c>
      <c r="D15" s="11">
        <v>2495000</v>
      </c>
      <c r="E15" s="11">
        <v>0</v>
      </c>
      <c r="F15" s="11">
        <f t="shared" si="0"/>
        <v>71000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111.60000000000001</v>
      </c>
      <c r="L15" s="18">
        <f t="shared" si="1"/>
        <v>234.49</v>
      </c>
      <c r="M15" s="18">
        <f>IF(   $H$5=1,    IF((F15-$H$6)&gt;0,((F15-$H$6)/$P$7)*$E$8,0),   IF(F15&gt;0,(F15/$P$4)*$E$8,0)    )</f>
        <v>0</v>
      </c>
      <c r="N15" s="18">
        <f t="shared" si="2"/>
        <v>234.49</v>
      </c>
      <c r="O15" s="8"/>
    </row>
    <row r="16" spans="1:16">
      <c r="A16" s="1" t="s">
        <v>6</v>
      </c>
      <c r="B16" s="11"/>
      <c r="C16" s="11">
        <v>25670000</v>
      </c>
      <c r="D16" s="11">
        <v>25872000</v>
      </c>
      <c r="E16" s="11">
        <v>0</v>
      </c>
      <c r="F16" s="11">
        <f t="shared" si="0"/>
        <v>202000</v>
      </c>
      <c r="G16" s="17">
        <f>$N$5</f>
        <v>185</v>
      </c>
      <c r="H16" s="17">
        <f>IF(($F16-100000)&gt;=0,($F16-100000)/1000*$N$6,0)</f>
        <v>202.98</v>
      </c>
      <c r="I16" s="17"/>
      <c r="J16" s="18"/>
      <c r="K16" s="18"/>
      <c r="L16" s="18">
        <f t="shared" si="1"/>
        <v>387.98</v>
      </c>
      <c r="M16" s="18">
        <f>IF(   $H$5=1,     IF((F16-$H$7)&gt;0,((F16-$H$7)/$P$7)*$E$8,0),   IF(F16&gt;0,(F16/$P$4)*$E$8,0)    )</f>
        <v>0</v>
      </c>
      <c r="N16" s="18">
        <f t="shared" si="2"/>
        <v>387.98</v>
      </c>
      <c r="O16" s="8" t="s">
        <v>133</v>
      </c>
    </row>
    <row r="17" spans="1:15">
      <c r="A17" s="1" t="s">
        <v>7</v>
      </c>
      <c r="B17" s="11"/>
      <c r="C17" s="11">
        <v>589000</v>
      </c>
      <c r="D17" s="11">
        <v>604000</v>
      </c>
      <c r="E17" s="11">
        <v>0</v>
      </c>
      <c r="F17" s="11">
        <f t="shared" si="0"/>
        <v>15000</v>
      </c>
      <c r="G17" s="17">
        <f t="shared" ref="G17:G80" si="3">IF(OR($F17&gt;0,$B17=""),$K$4,$N$4)</f>
        <v>42.19</v>
      </c>
      <c r="H17" s="17">
        <f t="shared" ref="H17:H80" si="4">IF(AND((($F17-10000)&gt;=0),(($F17-10000)&lt;= 10000)),($F17-10000)/1000*$K$5,IF(($F17-10000)&gt;=10000,$K$5*10,0))</f>
        <v>11.5</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53.69</v>
      </c>
      <c r="M17" s="18">
        <f t="shared" ref="M17:M48" si="8">IF(   $H$5=1,    IF((F17-$H$6)&gt;0,((F17-$H$6)/$P$7)*$E$8,0),   IF(F17&gt;0,(F17/$P$4)*$E$8,0)    )</f>
        <v>0</v>
      </c>
      <c r="N17" s="18">
        <f t="shared" si="2"/>
        <v>53.69</v>
      </c>
      <c r="O17" s="8"/>
    </row>
    <row r="18" spans="1:15">
      <c r="A18" s="1" t="s">
        <v>8</v>
      </c>
      <c r="B18" s="11"/>
      <c r="C18" s="11">
        <v>32000</v>
      </c>
      <c r="D18" s="11">
        <v>50000</v>
      </c>
      <c r="E18" s="11">
        <v>0</v>
      </c>
      <c r="F18" s="11">
        <f t="shared" si="0"/>
        <v>18000</v>
      </c>
      <c r="G18" s="17">
        <f t="shared" si="3"/>
        <v>42.19</v>
      </c>
      <c r="H18" s="17">
        <f t="shared" si="4"/>
        <v>18.399999999999999</v>
      </c>
      <c r="I18" s="17">
        <f t="shared" si="5"/>
        <v>0</v>
      </c>
      <c r="J18" s="18">
        <f t="shared" si="6"/>
        <v>0</v>
      </c>
      <c r="K18" s="18">
        <f t="shared" si="7"/>
        <v>0</v>
      </c>
      <c r="L18" s="18">
        <f t="shared" si="1"/>
        <v>60.589999999999996</v>
      </c>
      <c r="M18" s="18">
        <f t="shared" si="8"/>
        <v>0</v>
      </c>
      <c r="N18" s="18">
        <f t="shared" si="2"/>
        <v>60.589999999999996</v>
      </c>
      <c r="O18" s="8" t="s">
        <v>174</v>
      </c>
    </row>
    <row r="19" spans="1:15">
      <c r="A19" s="1" t="s">
        <v>9</v>
      </c>
      <c r="B19" s="11"/>
      <c r="C19" s="11">
        <v>280000</v>
      </c>
      <c r="D19" s="11">
        <v>306000</v>
      </c>
      <c r="E19" s="11">
        <v>0</v>
      </c>
      <c r="F19" s="11">
        <f t="shared" si="0"/>
        <v>26000</v>
      </c>
      <c r="G19" s="17">
        <f t="shared" si="3"/>
        <v>42.19</v>
      </c>
      <c r="H19" s="17">
        <f t="shared" si="4"/>
        <v>23</v>
      </c>
      <c r="I19" s="17">
        <f t="shared" si="5"/>
        <v>16.02</v>
      </c>
      <c r="J19" s="18">
        <f t="shared" si="6"/>
        <v>0</v>
      </c>
      <c r="K19" s="18">
        <f t="shared" si="7"/>
        <v>0</v>
      </c>
      <c r="L19" s="18">
        <f t="shared" si="1"/>
        <v>81.209999999999994</v>
      </c>
      <c r="M19" s="18">
        <f t="shared" si="8"/>
        <v>0</v>
      </c>
      <c r="N19" s="18">
        <f t="shared" si="2"/>
        <v>81.209999999999994</v>
      </c>
      <c r="O19" s="8"/>
    </row>
    <row r="20" spans="1:15">
      <c r="A20" s="1" t="s">
        <v>10</v>
      </c>
      <c r="B20" s="11"/>
      <c r="C20" s="11">
        <v>1559000</v>
      </c>
      <c r="D20" s="11">
        <v>1569000</v>
      </c>
      <c r="E20" s="11">
        <v>0</v>
      </c>
      <c r="F20" s="11">
        <f t="shared" si="0"/>
        <v>10000</v>
      </c>
      <c r="G20" s="17">
        <f t="shared" si="3"/>
        <v>42.19</v>
      </c>
      <c r="H20" s="17">
        <f t="shared" si="4"/>
        <v>0</v>
      </c>
      <c r="I20" s="17">
        <f t="shared" si="5"/>
        <v>0</v>
      </c>
      <c r="J20" s="18">
        <f t="shared" si="6"/>
        <v>0</v>
      </c>
      <c r="K20" s="18">
        <f t="shared" si="7"/>
        <v>0</v>
      </c>
      <c r="L20" s="18">
        <f t="shared" si="1"/>
        <v>42.19</v>
      </c>
      <c r="M20" s="18">
        <f t="shared" si="8"/>
        <v>0</v>
      </c>
      <c r="N20" s="18">
        <f t="shared" si="2"/>
        <v>42.19</v>
      </c>
      <c r="O20" s="8"/>
    </row>
    <row r="21" spans="1:15">
      <c r="A21" s="1" t="s">
        <v>11</v>
      </c>
      <c r="B21" s="11"/>
      <c r="C21" s="11">
        <v>2012000</v>
      </c>
      <c r="D21" s="11">
        <v>2037000</v>
      </c>
      <c r="E21" s="11">
        <v>0</v>
      </c>
      <c r="F21" s="11">
        <f t="shared" si="0"/>
        <v>25000</v>
      </c>
      <c r="G21" s="17">
        <f t="shared" si="3"/>
        <v>42.19</v>
      </c>
      <c r="H21" s="17">
        <f t="shared" si="4"/>
        <v>23</v>
      </c>
      <c r="I21" s="17">
        <f t="shared" si="5"/>
        <v>13.35</v>
      </c>
      <c r="J21" s="18">
        <f t="shared" si="6"/>
        <v>0</v>
      </c>
      <c r="K21" s="18">
        <f t="shared" si="7"/>
        <v>0</v>
      </c>
      <c r="L21" s="18">
        <f t="shared" si="1"/>
        <v>78.539999999999992</v>
      </c>
      <c r="M21" s="18">
        <f t="shared" si="8"/>
        <v>0</v>
      </c>
      <c r="N21" s="18">
        <f t="shared" si="2"/>
        <v>78.539999999999992</v>
      </c>
      <c r="O21" s="8"/>
    </row>
    <row r="22" spans="1:15">
      <c r="A22" s="1" t="s">
        <v>12</v>
      </c>
      <c r="B22" s="11"/>
      <c r="C22" s="11">
        <v>2257000</v>
      </c>
      <c r="D22" s="11">
        <v>2265000</v>
      </c>
      <c r="E22" s="11">
        <v>0</v>
      </c>
      <c r="F22" s="11">
        <f t="shared" si="0"/>
        <v>8000</v>
      </c>
      <c r="G22" s="17">
        <f t="shared" si="3"/>
        <v>42.19</v>
      </c>
      <c r="H22" s="17">
        <f t="shared" si="4"/>
        <v>0</v>
      </c>
      <c r="I22" s="17">
        <f t="shared" si="5"/>
        <v>0</v>
      </c>
      <c r="J22" s="18">
        <f t="shared" si="6"/>
        <v>0</v>
      </c>
      <c r="K22" s="18">
        <f t="shared" si="7"/>
        <v>0</v>
      </c>
      <c r="L22" s="18">
        <f t="shared" si="1"/>
        <v>42.19</v>
      </c>
      <c r="M22" s="18">
        <f t="shared" si="8"/>
        <v>0</v>
      </c>
      <c r="N22" s="18">
        <f t="shared" si="2"/>
        <v>42.19</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6425000</v>
      </c>
      <c r="D24" s="11">
        <v>6464000</v>
      </c>
      <c r="E24" s="11">
        <v>0</v>
      </c>
      <c r="F24" s="11">
        <f t="shared" si="0"/>
        <v>39000</v>
      </c>
      <c r="G24" s="17">
        <f t="shared" si="3"/>
        <v>42.19</v>
      </c>
      <c r="H24" s="17">
        <f t="shared" si="4"/>
        <v>23</v>
      </c>
      <c r="I24" s="17">
        <f t="shared" si="5"/>
        <v>26.7</v>
      </c>
      <c r="J24" s="18">
        <f t="shared" si="6"/>
        <v>27.900000000000002</v>
      </c>
      <c r="K24" s="18">
        <f t="shared" si="7"/>
        <v>0</v>
      </c>
      <c r="L24" s="18">
        <f t="shared" si="1"/>
        <v>119.79</v>
      </c>
      <c r="M24" s="18">
        <f t="shared" si="8"/>
        <v>0</v>
      </c>
      <c r="N24" s="18">
        <f t="shared" si="2"/>
        <v>119.79</v>
      </c>
      <c r="O24" s="8"/>
    </row>
    <row r="25" spans="1:15">
      <c r="A25" s="1" t="s">
        <v>15</v>
      </c>
      <c r="B25" s="11"/>
      <c r="C25" s="11">
        <v>2675000</v>
      </c>
      <c r="D25" s="11">
        <v>2679000</v>
      </c>
      <c r="E25" s="11">
        <v>0</v>
      </c>
      <c r="F25" s="11">
        <f t="shared" si="0"/>
        <v>4000</v>
      </c>
      <c r="G25" s="17">
        <f t="shared" si="3"/>
        <v>42.19</v>
      </c>
      <c r="H25" s="17">
        <f t="shared" si="4"/>
        <v>0</v>
      </c>
      <c r="I25" s="17">
        <f t="shared" si="5"/>
        <v>0</v>
      </c>
      <c r="J25" s="18">
        <f t="shared" si="6"/>
        <v>0</v>
      </c>
      <c r="K25" s="18">
        <f t="shared" si="7"/>
        <v>0</v>
      </c>
      <c r="L25" s="18">
        <f t="shared" si="1"/>
        <v>42.19</v>
      </c>
      <c r="M25" s="18">
        <f t="shared" si="8"/>
        <v>0</v>
      </c>
      <c r="N25" s="18">
        <f t="shared" si="2"/>
        <v>42.19</v>
      </c>
      <c r="O25" s="8"/>
    </row>
    <row r="26" spans="1:15">
      <c r="A26" s="1" t="s">
        <v>16</v>
      </c>
      <c r="B26" s="11"/>
      <c r="C26" s="11">
        <v>1593000</v>
      </c>
      <c r="D26" s="11">
        <v>1612000</v>
      </c>
      <c r="E26" s="11">
        <v>0</v>
      </c>
      <c r="F26" s="11">
        <f t="shared" si="0"/>
        <v>19000</v>
      </c>
      <c r="G26" s="17">
        <f t="shared" si="3"/>
        <v>42.19</v>
      </c>
      <c r="H26" s="17">
        <f t="shared" si="4"/>
        <v>20.7</v>
      </c>
      <c r="I26" s="17">
        <f t="shared" si="5"/>
        <v>0</v>
      </c>
      <c r="J26" s="18">
        <f t="shared" si="6"/>
        <v>0</v>
      </c>
      <c r="K26" s="18">
        <f t="shared" si="7"/>
        <v>0</v>
      </c>
      <c r="L26" s="18">
        <f t="shared" si="1"/>
        <v>62.89</v>
      </c>
      <c r="M26" s="18">
        <f t="shared" si="8"/>
        <v>0</v>
      </c>
      <c r="N26" s="18">
        <f t="shared" si="2"/>
        <v>62.89</v>
      </c>
      <c r="O26" s="8"/>
    </row>
    <row r="27" spans="1:15">
      <c r="A27" s="1" t="s">
        <v>17</v>
      </c>
      <c r="B27" s="11"/>
      <c r="C27" s="11">
        <v>1193000</v>
      </c>
      <c r="D27" s="11">
        <v>1200000</v>
      </c>
      <c r="E27" s="11">
        <v>0</v>
      </c>
      <c r="F27" s="11">
        <f t="shared" si="0"/>
        <v>7000</v>
      </c>
      <c r="G27" s="17">
        <f t="shared" si="3"/>
        <v>42.19</v>
      </c>
      <c r="H27" s="17">
        <f t="shared" si="4"/>
        <v>0</v>
      </c>
      <c r="I27" s="17">
        <f t="shared" si="5"/>
        <v>0</v>
      </c>
      <c r="J27" s="18">
        <f t="shared" si="6"/>
        <v>0</v>
      </c>
      <c r="K27" s="18">
        <f t="shared" si="7"/>
        <v>0</v>
      </c>
      <c r="L27" s="18">
        <f t="shared" si="1"/>
        <v>42.19</v>
      </c>
      <c r="M27" s="18">
        <f t="shared" si="8"/>
        <v>0</v>
      </c>
      <c r="N27" s="18">
        <f t="shared" si="2"/>
        <v>42.19</v>
      </c>
      <c r="O27" s="8"/>
    </row>
    <row r="28" spans="1:15">
      <c r="A28" s="1" t="s">
        <v>18</v>
      </c>
      <c r="B28" s="11"/>
      <c r="C28" s="11">
        <v>4058000</v>
      </c>
      <c r="D28" s="11">
        <v>4070000</v>
      </c>
      <c r="E28" s="11">
        <v>0</v>
      </c>
      <c r="F28" s="11">
        <f t="shared" si="0"/>
        <v>12000</v>
      </c>
      <c r="G28" s="17">
        <f t="shared" si="3"/>
        <v>42.19</v>
      </c>
      <c r="H28" s="17">
        <f t="shared" si="4"/>
        <v>4.5999999999999996</v>
      </c>
      <c r="I28" s="17">
        <f t="shared" si="5"/>
        <v>0</v>
      </c>
      <c r="J28" s="18">
        <f t="shared" si="6"/>
        <v>0</v>
      </c>
      <c r="K28" s="18">
        <f t="shared" si="7"/>
        <v>0</v>
      </c>
      <c r="L28" s="18">
        <f t="shared" si="1"/>
        <v>46.79</v>
      </c>
      <c r="M28" s="18">
        <f t="shared" si="8"/>
        <v>0</v>
      </c>
      <c r="N28" s="18">
        <f t="shared" si="2"/>
        <v>46.79</v>
      </c>
      <c r="O28" s="8"/>
    </row>
    <row r="29" spans="1:15">
      <c r="A29" s="1" t="s">
        <v>19</v>
      </c>
      <c r="B29" s="11"/>
      <c r="C29" s="11">
        <v>1182000</v>
      </c>
      <c r="D29" s="11">
        <v>1198000</v>
      </c>
      <c r="E29" s="11">
        <v>0</v>
      </c>
      <c r="F29" s="11">
        <f t="shared" si="0"/>
        <v>16000</v>
      </c>
      <c r="G29" s="17">
        <f t="shared" si="3"/>
        <v>42.19</v>
      </c>
      <c r="H29" s="17">
        <f t="shared" si="4"/>
        <v>13.799999999999999</v>
      </c>
      <c r="I29" s="17">
        <f t="shared" si="5"/>
        <v>0</v>
      </c>
      <c r="J29" s="18">
        <f t="shared" si="6"/>
        <v>0</v>
      </c>
      <c r="K29" s="18">
        <f t="shared" si="7"/>
        <v>0</v>
      </c>
      <c r="L29" s="18">
        <f t="shared" si="1"/>
        <v>55.989999999999995</v>
      </c>
      <c r="M29" s="18">
        <f t="shared" si="8"/>
        <v>0</v>
      </c>
      <c r="N29" s="18">
        <f t="shared" si="2"/>
        <v>55.989999999999995</v>
      </c>
      <c r="O29" s="8"/>
    </row>
    <row r="30" spans="1:15">
      <c r="A30" s="1" t="s">
        <v>20</v>
      </c>
      <c r="B30" s="11"/>
      <c r="C30" s="11">
        <v>2228000</v>
      </c>
      <c r="D30" s="11">
        <v>2232000</v>
      </c>
      <c r="E30" s="11">
        <v>0</v>
      </c>
      <c r="F30" s="11">
        <f t="shared" si="0"/>
        <v>4000</v>
      </c>
      <c r="G30" s="17">
        <f t="shared" si="3"/>
        <v>42.19</v>
      </c>
      <c r="H30" s="17">
        <f t="shared" si="4"/>
        <v>0</v>
      </c>
      <c r="I30" s="17">
        <f t="shared" si="5"/>
        <v>0</v>
      </c>
      <c r="J30" s="18">
        <f t="shared" si="6"/>
        <v>0</v>
      </c>
      <c r="K30" s="18">
        <f t="shared" si="7"/>
        <v>0</v>
      </c>
      <c r="L30" s="18">
        <f t="shared" si="1"/>
        <v>42.19</v>
      </c>
      <c r="M30" s="18">
        <f t="shared" si="8"/>
        <v>0</v>
      </c>
      <c r="N30" s="18">
        <f t="shared" si="2"/>
        <v>42.19</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667000</v>
      </c>
      <c r="D32" s="11">
        <v>679000</v>
      </c>
      <c r="E32" s="11">
        <v>0</v>
      </c>
      <c r="F32" s="11">
        <f t="shared" si="0"/>
        <v>12000</v>
      </c>
      <c r="G32" s="17">
        <f t="shared" si="3"/>
        <v>42.19</v>
      </c>
      <c r="H32" s="17">
        <f t="shared" si="4"/>
        <v>4.5999999999999996</v>
      </c>
      <c r="I32" s="17">
        <f t="shared" si="5"/>
        <v>0</v>
      </c>
      <c r="J32" s="18">
        <f t="shared" si="6"/>
        <v>0</v>
      </c>
      <c r="K32" s="18">
        <f t="shared" si="7"/>
        <v>0</v>
      </c>
      <c r="L32" s="18">
        <f t="shared" si="1"/>
        <v>46.79</v>
      </c>
      <c r="M32" s="18">
        <f t="shared" si="8"/>
        <v>0</v>
      </c>
      <c r="N32" s="18">
        <f t="shared" si="2"/>
        <v>46.79</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2444000</v>
      </c>
      <c r="D35" s="11">
        <v>2465000</v>
      </c>
      <c r="E35" s="11">
        <v>0</v>
      </c>
      <c r="F35" s="11">
        <f t="shared" si="0"/>
        <v>21000</v>
      </c>
      <c r="G35" s="17">
        <f t="shared" si="3"/>
        <v>42.19</v>
      </c>
      <c r="H35" s="17">
        <f t="shared" si="4"/>
        <v>23</v>
      </c>
      <c r="I35" s="17">
        <f t="shared" si="5"/>
        <v>2.67</v>
      </c>
      <c r="J35" s="18">
        <f t="shared" si="6"/>
        <v>0</v>
      </c>
      <c r="K35" s="18">
        <f t="shared" si="7"/>
        <v>0</v>
      </c>
      <c r="L35" s="18">
        <f t="shared" si="1"/>
        <v>67.86</v>
      </c>
      <c r="M35" s="18">
        <f t="shared" si="8"/>
        <v>0</v>
      </c>
      <c r="N35" s="18">
        <f t="shared" si="2"/>
        <v>67.86</v>
      </c>
      <c r="O35" s="8"/>
    </row>
    <row r="36" spans="1:15">
      <c r="A36" s="1" t="s">
        <v>26</v>
      </c>
      <c r="B36" s="11"/>
      <c r="C36" s="11">
        <v>391000</v>
      </c>
      <c r="D36" s="11">
        <v>403000</v>
      </c>
      <c r="E36" s="11">
        <v>0</v>
      </c>
      <c r="F36" s="11">
        <f t="shared" si="0"/>
        <v>12000</v>
      </c>
      <c r="G36" s="17">
        <f t="shared" si="3"/>
        <v>42.19</v>
      </c>
      <c r="H36" s="17">
        <f t="shared" si="4"/>
        <v>4.5999999999999996</v>
      </c>
      <c r="I36" s="17">
        <f t="shared" si="5"/>
        <v>0</v>
      </c>
      <c r="J36" s="18">
        <f t="shared" si="6"/>
        <v>0</v>
      </c>
      <c r="K36" s="18">
        <f t="shared" si="7"/>
        <v>0</v>
      </c>
      <c r="L36" s="18">
        <f t="shared" si="1"/>
        <v>46.79</v>
      </c>
      <c r="M36" s="18">
        <f t="shared" si="8"/>
        <v>0</v>
      </c>
      <c r="N36" s="18">
        <f t="shared" si="2"/>
        <v>46.79</v>
      </c>
      <c r="O36" s="8"/>
    </row>
    <row r="37" spans="1:15">
      <c r="A37" s="1" t="s">
        <v>27</v>
      </c>
      <c r="B37" s="11"/>
      <c r="C37" s="11">
        <v>2148000</v>
      </c>
      <c r="D37" s="11">
        <v>2151000</v>
      </c>
      <c r="E37" s="11">
        <v>0</v>
      </c>
      <c r="F37" s="11">
        <f t="shared" si="0"/>
        <v>3000</v>
      </c>
      <c r="G37" s="17">
        <f t="shared" si="3"/>
        <v>42.19</v>
      </c>
      <c r="H37" s="17">
        <f t="shared" si="4"/>
        <v>0</v>
      </c>
      <c r="I37" s="17">
        <f t="shared" si="5"/>
        <v>0</v>
      </c>
      <c r="J37" s="18">
        <f t="shared" si="6"/>
        <v>0</v>
      </c>
      <c r="K37" s="18">
        <f t="shared" si="7"/>
        <v>0</v>
      </c>
      <c r="L37" s="18">
        <f t="shared" si="1"/>
        <v>42.19</v>
      </c>
      <c r="M37" s="18">
        <f t="shared" si="8"/>
        <v>0</v>
      </c>
      <c r="N37" s="18">
        <f t="shared" si="2"/>
        <v>42.19</v>
      </c>
      <c r="O37" s="8"/>
    </row>
    <row r="38" spans="1:15">
      <c r="A38" s="1" t="s">
        <v>28</v>
      </c>
      <c r="B38" s="11"/>
      <c r="C38" s="11">
        <v>1376000</v>
      </c>
      <c r="D38" s="11">
        <v>1384000</v>
      </c>
      <c r="E38" s="11">
        <v>0</v>
      </c>
      <c r="F38" s="11">
        <f t="shared" si="0"/>
        <v>8000</v>
      </c>
      <c r="G38" s="17">
        <f t="shared" si="3"/>
        <v>42.19</v>
      </c>
      <c r="H38" s="17">
        <f t="shared" si="4"/>
        <v>0</v>
      </c>
      <c r="I38" s="17">
        <f t="shared" si="5"/>
        <v>0</v>
      </c>
      <c r="J38" s="18">
        <f t="shared" si="6"/>
        <v>0</v>
      </c>
      <c r="K38" s="18">
        <f t="shared" si="7"/>
        <v>0</v>
      </c>
      <c r="L38" s="18">
        <f t="shared" si="1"/>
        <v>42.19</v>
      </c>
      <c r="M38" s="18">
        <f t="shared" si="8"/>
        <v>0</v>
      </c>
      <c r="N38" s="18">
        <f t="shared" si="2"/>
        <v>42.19</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529000</v>
      </c>
      <c r="D41" s="11">
        <v>533000</v>
      </c>
      <c r="E41" s="11">
        <v>0</v>
      </c>
      <c r="F41" s="11">
        <f t="shared" si="0"/>
        <v>4000</v>
      </c>
      <c r="G41" s="17">
        <f t="shared" si="3"/>
        <v>42.19</v>
      </c>
      <c r="H41" s="17">
        <f t="shared" si="4"/>
        <v>0</v>
      </c>
      <c r="I41" s="17">
        <f t="shared" si="5"/>
        <v>0</v>
      </c>
      <c r="J41" s="18">
        <f t="shared" si="6"/>
        <v>0</v>
      </c>
      <c r="K41" s="18">
        <f t="shared" si="7"/>
        <v>0</v>
      </c>
      <c r="L41" s="18">
        <f t="shared" si="1"/>
        <v>42.19</v>
      </c>
      <c r="M41" s="18">
        <f t="shared" si="8"/>
        <v>0</v>
      </c>
      <c r="N41" s="18">
        <f t="shared" si="2"/>
        <v>42.19</v>
      </c>
      <c r="O41" s="8"/>
    </row>
    <row r="42" spans="1:15">
      <c r="A42" s="1" t="s">
        <v>32</v>
      </c>
      <c r="B42" s="11"/>
      <c r="C42" s="11">
        <v>3890000</v>
      </c>
      <c r="D42" s="11">
        <v>3895000</v>
      </c>
      <c r="E42" s="11">
        <v>0</v>
      </c>
      <c r="F42" s="11">
        <f t="shared" si="0"/>
        <v>5000</v>
      </c>
      <c r="G42" s="17">
        <f t="shared" si="3"/>
        <v>42.19</v>
      </c>
      <c r="H42" s="17">
        <f t="shared" si="4"/>
        <v>0</v>
      </c>
      <c r="I42" s="17">
        <f t="shared" si="5"/>
        <v>0</v>
      </c>
      <c r="J42" s="18">
        <f t="shared" si="6"/>
        <v>0</v>
      </c>
      <c r="K42" s="18">
        <f t="shared" si="7"/>
        <v>0</v>
      </c>
      <c r="L42" s="18">
        <f t="shared" si="1"/>
        <v>42.19</v>
      </c>
      <c r="M42" s="18">
        <f t="shared" si="8"/>
        <v>0</v>
      </c>
      <c r="N42" s="18">
        <f t="shared" si="2"/>
        <v>42.19</v>
      </c>
      <c r="O42" s="8"/>
    </row>
    <row r="43" spans="1:15">
      <c r="A43" s="1" t="s">
        <v>33</v>
      </c>
      <c r="B43" s="11"/>
      <c r="C43" s="11">
        <v>1197000</v>
      </c>
      <c r="D43" s="11">
        <v>1202000</v>
      </c>
      <c r="E43" s="11">
        <v>0</v>
      </c>
      <c r="F43" s="11">
        <f t="shared" si="0"/>
        <v>5000</v>
      </c>
      <c r="G43" s="17">
        <f t="shared" si="3"/>
        <v>42.19</v>
      </c>
      <c r="H43" s="17">
        <f t="shared" si="4"/>
        <v>0</v>
      </c>
      <c r="I43" s="17">
        <f t="shared" si="5"/>
        <v>0</v>
      </c>
      <c r="J43" s="18">
        <f t="shared" si="6"/>
        <v>0</v>
      </c>
      <c r="K43" s="18">
        <f t="shared" si="7"/>
        <v>0</v>
      </c>
      <c r="L43" s="18">
        <f t="shared" si="1"/>
        <v>42.19</v>
      </c>
      <c r="M43" s="18">
        <f t="shared" si="8"/>
        <v>0</v>
      </c>
      <c r="N43" s="18">
        <f t="shared" si="2"/>
        <v>42.19</v>
      </c>
      <c r="O43" s="8"/>
    </row>
    <row r="44" spans="1:15">
      <c r="A44" s="1" t="s">
        <v>34</v>
      </c>
      <c r="B44" s="11"/>
      <c r="C44" s="11">
        <v>257000</v>
      </c>
      <c r="D44" s="11">
        <v>270000</v>
      </c>
      <c r="E44" s="11">
        <v>0</v>
      </c>
      <c r="F44" s="11">
        <f t="shared" si="0"/>
        <v>13000</v>
      </c>
      <c r="G44" s="17">
        <f t="shared" si="3"/>
        <v>42.19</v>
      </c>
      <c r="H44" s="17">
        <f t="shared" si="4"/>
        <v>6.8999999999999995</v>
      </c>
      <c r="I44" s="17">
        <f t="shared" si="5"/>
        <v>0</v>
      </c>
      <c r="J44" s="18">
        <f t="shared" si="6"/>
        <v>0</v>
      </c>
      <c r="K44" s="18">
        <f t="shared" si="7"/>
        <v>0</v>
      </c>
      <c r="L44" s="18">
        <f t="shared" si="1"/>
        <v>49.089999999999996</v>
      </c>
      <c r="M44" s="18">
        <f t="shared" si="8"/>
        <v>0</v>
      </c>
      <c r="N44" s="18">
        <f t="shared" si="2"/>
        <v>49.089999999999996</v>
      </c>
      <c r="O44" s="8" t="s">
        <v>175</v>
      </c>
    </row>
    <row r="45" spans="1:15">
      <c r="A45" s="1" t="s">
        <v>35</v>
      </c>
      <c r="B45" s="11"/>
      <c r="C45" s="11">
        <v>1592000</v>
      </c>
      <c r="D45" s="11">
        <v>1624000</v>
      </c>
      <c r="E45" s="11">
        <v>0</v>
      </c>
      <c r="F45" s="11">
        <f t="shared" si="0"/>
        <v>32000</v>
      </c>
      <c r="G45" s="17">
        <f t="shared" si="3"/>
        <v>42.19</v>
      </c>
      <c r="H45" s="17">
        <f t="shared" si="4"/>
        <v>23</v>
      </c>
      <c r="I45" s="17">
        <f t="shared" si="5"/>
        <v>26.7</v>
      </c>
      <c r="J45" s="18">
        <f t="shared" si="6"/>
        <v>6.2</v>
      </c>
      <c r="K45" s="18">
        <f t="shared" si="7"/>
        <v>0</v>
      </c>
      <c r="L45" s="18">
        <f t="shared" si="1"/>
        <v>98.09</v>
      </c>
      <c r="M45" s="18">
        <f t="shared" si="8"/>
        <v>0</v>
      </c>
      <c r="N45" s="18">
        <f t="shared" si="2"/>
        <v>98.09</v>
      </c>
      <c r="O45" s="8"/>
    </row>
    <row r="46" spans="1:15">
      <c r="A46" s="1" t="s">
        <v>36</v>
      </c>
      <c r="B46" s="11"/>
      <c r="C46" s="11">
        <v>1603000</v>
      </c>
      <c r="D46" s="11">
        <v>1606000</v>
      </c>
      <c r="E46" s="11">
        <v>0</v>
      </c>
      <c r="F46" s="11">
        <f t="shared" si="0"/>
        <v>3000</v>
      </c>
      <c r="G46" s="17">
        <f t="shared" si="3"/>
        <v>42.19</v>
      </c>
      <c r="H46" s="17">
        <f t="shared" si="4"/>
        <v>0</v>
      </c>
      <c r="I46" s="17">
        <f t="shared" si="5"/>
        <v>0</v>
      </c>
      <c r="J46" s="18">
        <f t="shared" si="6"/>
        <v>0</v>
      </c>
      <c r="K46" s="18">
        <f t="shared" si="7"/>
        <v>0</v>
      </c>
      <c r="L46" s="18">
        <f t="shared" si="1"/>
        <v>42.19</v>
      </c>
      <c r="M46" s="18">
        <f t="shared" si="8"/>
        <v>0</v>
      </c>
      <c r="N46" s="18">
        <f t="shared" si="2"/>
        <v>42.19</v>
      </c>
      <c r="O46" s="8"/>
    </row>
    <row r="47" spans="1:15">
      <c r="A47" s="1" t="s">
        <v>37</v>
      </c>
      <c r="B47" s="11"/>
      <c r="C47" s="11">
        <v>1918000</v>
      </c>
      <c r="D47" s="11">
        <v>1944000</v>
      </c>
      <c r="E47" s="11">
        <v>0</v>
      </c>
      <c r="F47" s="11">
        <f t="shared" si="0"/>
        <v>26000</v>
      </c>
      <c r="G47" s="17">
        <f t="shared" si="3"/>
        <v>42.19</v>
      </c>
      <c r="H47" s="17">
        <f t="shared" si="4"/>
        <v>23</v>
      </c>
      <c r="I47" s="17">
        <f t="shared" si="5"/>
        <v>16.02</v>
      </c>
      <c r="J47" s="18">
        <f t="shared" si="6"/>
        <v>0</v>
      </c>
      <c r="K47" s="18">
        <f t="shared" si="7"/>
        <v>0</v>
      </c>
      <c r="L47" s="18">
        <f t="shared" si="1"/>
        <v>81.209999999999994</v>
      </c>
      <c r="M47" s="18">
        <f t="shared" si="8"/>
        <v>0</v>
      </c>
      <c r="N47" s="18">
        <f t="shared" si="2"/>
        <v>81.209999999999994</v>
      </c>
      <c r="O47" s="8"/>
    </row>
    <row r="48" spans="1:15">
      <c r="A48" s="1" t="s">
        <v>38</v>
      </c>
      <c r="B48" s="11"/>
      <c r="C48" s="11">
        <v>1731000</v>
      </c>
      <c r="D48" s="11">
        <v>1800000</v>
      </c>
      <c r="E48" s="11">
        <v>0</v>
      </c>
      <c r="F48" s="11">
        <f t="shared" si="0"/>
        <v>69000</v>
      </c>
      <c r="G48" s="17">
        <f t="shared" si="3"/>
        <v>42.19</v>
      </c>
      <c r="H48" s="17">
        <f t="shared" si="4"/>
        <v>23</v>
      </c>
      <c r="I48" s="17">
        <f t="shared" si="5"/>
        <v>26.7</v>
      </c>
      <c r="J48" s="18">
        <f t="shared" si="6"/>
        <v>31</v>
      </c>
      <c r="K48" s="18">
        <f t="shared" si="7"/>
        <v>104.4</v>
      </c>
      <c r="L48" s="18">
        <f t="shared" si="1"/>
        <v>227.29000000000002</v>
      </c>
      <c r="M48" s="18">
        <f t="shared" si="8"/>
        <v>0</v>
      </c>
      <c r="N48" s="18">
        <f t="shared" si="2"/>
        <v>227.29000000000002</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ref="M49:M80" si="9">IF(   $H$5=1,    IF((F49-$H$6)&gt;0,((F49-$H$6)/$P$7)*$E$8,0),   IF(F49&gt;0,(F49/$P$4)*$E$8,0)    )</f>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9"/>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9"/>
        <v>0</v>
      </c>
      <c r="N51" s="18">
        <f t="shared" si="2"/>
        <v>12.41</v>
      </c>
      <c r="O51" s="8"/>
    </row>
    <row r="52" spans="1:15">
      <c r="A52" s="1" t="s">
        <v>42</v>
      </c>
      <c r="B52" s="11"/>
      <c r="C52" s="11">
        <v>3071000</v>
      </c>
      <c r="D52" s="11">
        <v>3072000</v>
      </c>
      <c r="E52" s="11">
        <v>0</v>
      </c>
      <c r="F52" s="11">
        <f t="shared" si="0"/>
        <v>1000</v>
      </c>
      <c r="G52" s="17">
        <f t="shared" si="3"/>
        <v>42.19</v>
      </c>
      <c r="H52" s="17">
        <f t="shared" si="4"/>
        <v>0</v>
      </c>
      <c r="I52" s="17">
        <f t="shared" si="5"/>
        <v>0</v>
      </c>
      <c r="J52" s="18">
        <f t="shared" si="6"/>
        <v>0</v>
      </c>
      <c r="K52" s="18">
        <f t="shared" si="7"/>
        <v>0</v>
      </c>
      <c r="L52" s="18">
        <f t="shared" si="1"/>
        <v>42.19</v>
      </c>
      <c r="M52" s="18">
        <f t="shared" si="9"/>
        <v>0</v>
      </c>
      <c r="N52" s="18">
        <f t="shared" si="2"/>
        <v>42.19</v>
      </c>
      <c r="O52" s="8"/>
    </row>
    <row r="53" spans="1:15">
      <c r="A53" s="1" t="s">
        <v>43</v>
      </c>
      <c r="B53" s="11"/>
      <c r="C53" s="11">
        <v>3273000</v>
      </c>
      <c r="D53" s="11">
        <v>3279000</v>
      </c>
      <c r="E53" s="11">
        <v>0</v>
      </c>
      <c r="F53" s="11">
        <f t="shared" si="0"/>
        <v>6000</v>
      </c>
      <c r="G53" s="17">
        <f t="shared" si="3"/>
        <v>42.19</v>
      </c>
      <c r="H53" s="17">
        <f t="shared" si="4"/>
        <v>0</v>
      </c>
      <c r="I53" s="17">
        <f t="shared" si="5"/>
        <v>0</v>
      </c>
      <c r="J53" s="18">
        <f t="shared" si="6"/>
        <v>0</v>
      </c>
      <c r="K53" s="18">
        <f t="shared" si="7"/>
        <v>0</v>
      </c>
      <c r="L53" s="18">
        <f t="shared" si="1"/>
        <v>42.19</v>
      </c>
      <c r="M53" s="18">
        <f t="shared" si="9"/>
        <v>0</v>
      </c>
      <c r="N53" s="18">
        <f t="shared" si="2"/>
        <v>42.19</v>
      </c>
      <c r="O53" s="8"/>
    </row>
    <row r="54" spans="1:15">
      <c r="A54" s="1" t="s">
        <v>44</v>
      </c>
      <c r="B54" s="11"/>
      <c r="C54" s="11">
        <v>4078000</v>
      </c>
      <c r="D54" s="11">
        <v>4139000</v>
      </c>
      <c r="E54" s="11">
        <v>0</v>
      </c>
      <c r="F54" s="11">
        <f t="shared" si="0"/>
        <v>61000</v>
      </c>
      <c r="G54" s="17">
        <f t="shared" si="3"/>
        <v>42.19</v>
      </c>
      <c r="H54" s="17">
        <f t="shared" si="4"/>
        <v>23</v>
      </c>
      <c r="I54" s="17">
        <f t="shared" si="5"/>
        <v>26.7</v>
      </c>
      <c r="J54" s="18">
        <f t="shared" si="6"/>
        <v>31</v>
      </c>
      <c r="K54" s="18">
        <f t="shared" si="7"/>
        <v>75.600000000000009</v>
      </c>
      <c r="L54" s="18">
        <f t="shared" si="1"/>
        <v>198.49</v>
      </c>
      <c r="M54" s="18">
        <f t="shared" si="9"/>
        <v>0</v>
      </c>
      <c r="N54" s="18">
        <f t="shared" si="2"/>
        <v>198.49</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9"/>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9"/>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9"/>
        <v>0</v>
      </c>
      <c r="N57" s="18">
        <f t="shared" si="2"/>
        <v>12.41</v>
      </c>
      <c r="O57" s="8"/>
    </row>
    <row r="58" spans="1:15">
      <c r="A58" s="1" t="s">
        <v>48</v>
      </c>
      <c r="B58" s="11"/>
      <c r="C58" s="11">
        <v>1130000</v>
      </c>
      <c r="D58" s="11">
        <v>1132000</v>
      </c>
      <c r="E58" s="11">
        <v>0</v>
      </c>
      <c r="F58" s="11">
        <f t="shared" si="0"/>
        <v>2000</v>
      </c>
      <c r="G58" s="17">
        <f t="shared" si="3"/>
        <v>42.19</v>
      </c>
      <c r="H58" s="17">
        <f t="shared" si="4"/>
        <v>0</v>
      </c>
      <c r="I58" s="17">
        <f t="shared" si="5"/>
        <v>0</v>
      </c>
      <c r="J58" s="18">
        <f t="shared" si="6"/>
        <v>0</v>
      </c>
      <c r="K58" s="18">
        <f t="shared" si="7"/>
        <v>0</v>
      </c>
      <c r="L58" s="18">
        <f t="shared" si="1"/>
        <v>42.19</v>
      </c>
      <c r="M58" s="18">
        <f t="shared" si="9"/>
        <v>0</v>
      </c>
      <c r="N58" s="18">
        <f t="shared" si="2"/>
        <v>42.19</v>
      </c>
      <c r="O58" s="8"/>
    </row>
    <row r="59" spans="1:15">
      <c r="A59" s="1" t="s">
        <v>49</v>
      </c>
      <c r="B59" s="11"/>
      <c r="C59" s="11">
        <v>929000</v>
      </c>
      <c r="D59" s="11">
        <v>942000</v>
      </c>
      <c r="E59" s="11">
        <v>0</v>
      </c>
      <c r="F59" s="11">
        <f t="shared" si="0"/>
        <v>13000</v>
      </c>
      <c r="G59" s="17">
        <f t="shared" si="3"/>
        <v>42.19</v>
      </c>
      <c r="H59" s="17">
        <f t="shared" si="4"/>
        <v>6.8999999999999995</v>
      </c>
      <c r="I59" s="17">
        <f t="shared" si="5"/>
        <v>0</v>
      </c>
      <c r="J59" s="18">
        <f t="shared" si="6"/>
        <v>0</v>
      </c>
      <c r="K59" s="18">
        <f t="shared" si="7"/>
        <v>0</v>
      </c>
      <c r="L59" s="18">
        <f t="shared" si="1"/>
        <v>49.089999999999996</v>
      </c>
      <c r="M59" s="18">
        <f t="shared" si="9"/>
        <v>0</v>
      </c>
      <c r="N59" s="18">
        <f t="shared" si="2"/>
        <v>49.089999999999996</v>
      </c>
      <c r="O59" s="8"/>
    </row>
    <row r="60" spans="1:15">
      <c r="A60" s="1" t="s">
        <v>50</v>
      </c>
      <c r="B60" s="11"/>
      <c r="C60" s="11">
        <v>3498000</v>
      </c>
      <c r="D60" s="11">
        <v>3502000</v>
      </c>
      <c r="E60" s="11">
        <v>0</v>
      </c>
      <c r="F60" s="11">
        <f t="shared" si="0"/>
        <v>4000</v>
      </c>
      <c r="G60" s="17">
        <f t="shared" si="3"/>
        <v>42.19</v>
      </c>
      <c r="H60" s="17">
        <f t="shared" si="4"/>
        <v>0</v>
      </c>
      <c r="I60" s="17">
        <f t="shared" si="5"/>
        <v>0</v>
      </c>
      <c r="J60" s="18">
        <f t="shared" si="6"/>
        <v>0</v>
      </c>
      <c r="K60" s="18">
        <f t="shared" si="7"/>
        <v>0</v>
      </c>
      <c r="L60" s="18">
        <f t="shared" si="1"/>
        <v>42.19</v>
      </c>
      <c r="M60" s="18">
        <f t="shared" si="9"/>
        <v>0</v>
      </c>
      <c r="N60" s="18">
        <f t="shared" si="2"/>
        <v>42.19</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9"/>
        <v>0</v>
      </c>
      <c r="N61" s="18">
        <f t="shared" si="2"/>
        <v>12.41</v>
      </c>
      <c r="O61" s="8"/>
    </row>
    <row r="62" spans="1:15">
      <c r="A62" s="1" t="s">
        <v>52</v>
      </c>
      <c r="B62" s="11"/>
      <c r="C62" s="11">
        <v>1719000</v>
      </c>
      <c r="D62" s="11">
        <v>1726000</v>
      </c>
      <c r="E62" s="11">
        <v>0</v>
      </c>
      <c r="F62" s="11">
        <f t="shared" si="0"/>
        <v>7000</v>
      </c>
      <c r="G62" s="17">
        <f t="shared" si="3"/>
        <v>42.19</v>
      </c>
      <c r="H62" s="17">
        <f t="shared" si="4"/>
        <v>0</v>
      </c>
      <c r="I62" s="17">
        <f t="shared" si="5"/>
        <v>0</v>
      </c>
      <c r="J62" s="18">
        <f t="shared" si="6"/>
        <v>0</v>
      </c>
      <c r="K62" s="18">
        <f t="shared" si="7"/>
        <v>0</v>
      </c>
      <c r="L62" s="18">
        <f t="shared" si="1"/>
        <v>42.19</v>
      </c>
      <c r="M62" s="18">
        <f t="shared" si="9"/>
        <v>0</v>
      </c>
      <c r="N62" s="18">
        <f t="shared" si="2"/>
        <v>42.19</v>
      </c>
      <c r="O62" s="8"/>
    </row>
    <row r="63" spans="1:15">
      <c r="A63" s="1" t="s">
        <v>53</v>
      </c>
      <c r="B63" s="11"/>
      <c r="C63" s="11">
        <v>2357000</v>
      </c>
      <c r="D63" s="11">
        <v>2373000</v>
      </c>
      <c r="E63" s="11">
        <v>0</v>
      </c>
      <c r="F63" s="11">
        <f t="shared" si="0"/>
        <v>16000</v>
      </c>
      <c r="G63" s="17">
        <f t="shared" si="3"/>
        <v>42.19</v>
      </c>
      <c r="H63" s="17">
        <f t="shared" si="4"/>
        <v>13.799999999999999</v>
      </c>
      <c r="I63" s="17">
        <f t="shared" si="5"/>
        <v>0</v>
      </c>
      <c r="J63" s="18">
        <f t="shared" si="6"/>
        <v>0</v>
      </c>
      <c r="K63" s="18">
        <f t="shared" si="7"/>
        <v>0</v>
      </c>
      <c r="L63" s="18">
        <f t="shared" si="1"/>
        <v>55.989999999999995</v>
      </c>
      <c r="M63" s="18">
        <f t="shared" si="9"/>
        <v>0</v>
      </c>
      <c r="N63" s="18">
        <f t="shared" si="2"/>
        <v>55.989999999999995</v>
      </c>
      <c r="O63" s="8"/>
    </row>
    <row r="64" spans="1:15">
      <c r="A64" s="1" t="s">
        <v>54</v>
      </c>
      <c r="B64" s="11"/>
      <c r="C64" s="11">
        <v>3353000</v>
      </c>
      <c r="D64" s="11">
        <v>3362000</v>
      </c>
      <c r="E64" s="11">
        <v>0</v>
      </c>
      <c r="F64" s="11">
        <f t="shared" si="0"/>
        <v>9000</v>
      </c>
      <c r="G64" s="17">
        <f t="shared" si="3"/>
        <v>42.19</v>
      </c>
      <c r="H64" s="17">
        <f t="shared" si="4"/>
        <v>0</v>
      </c>
      <c r="I64" s="17">
        <f t="shared" si="5"/>
        <v>0</v>
      </c>
      <c r="J64" s="18">
        <f t="shared" si="6"/>
        <v>0</v>
      </c>
      <c r="K64" s="18">
        <f t="shared" si="7"/>
        <v>0</v>
      </c>
      <c r="L64" s="18">
        <f t="shared" si="1"/>
        <v>42.19</v>
      </c>
      <c r="M64" s="18">
        <f t="shared" si="9"/>
        <v>0</v>
      </c>
      <c r="N64" s="18">
        <f t="shared" si="2"/>
        <v>42.19</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9"/>
        <v>0</v>
      </c>
      <c r="N65" s="18">
        <f t="shared" si="2"/>
        <v>12.41</v>
      </c>
      <c r="O65" s="8"/>
    </row>
    <row r="66" spans="1:15">
      <c r="A66" s="1" t="s">
        <v>56</v>
      </c>
      <c r="B66" s="11"/>
      <c r="C66" s="11">
        <v>1534000</v>
      </c>
      <c r="D66" s="11">
        <v>1541000</v>
      </c>
      <c r="E66" s="11">
        <v>0</v>
      </c>
      <c r="F66" s="11">
        <f t="shared" si="0"/>
        <v>7000</v>
      </c>
      <c r="G66" s="17">
        <f t="shared" si="3"/>
        <v>42.19</v>
      </c>
      <c r="H66" s="17">
        <f t="shared" si="4"/>
        <v>0</v>
      </c>
      <c r="I66" s="17">
        <f t="shared" si="5"/>
        <v>0</v>
      </c>
      <c r="J66" s="18">
        <f t="shared" si="6"/>
        <v>0</v>
      </c>
      <c r="K66" s="18">
        <f t="shared" si="7"/>
        <v>0</v>
      </c>
      <c r="L66" s="18">
        <f t="shared" si="1"/>
        <v>42.19</v>
      </c>
      <c r="M66" s="18">
        <f t="shared" si="9"/>
        <v>0</v>
      </c>
      <c r="N66" s="18">
        <f t="shared" si="2"/>
        <v>42.19</v>
      </c>
      <c r="O66" s="8"/>
    </row>
    <row r="67" spans="1:15">
      <c r="A67" s="1" t="s">
        <v>57</v>
      </c>
      <c r="B67" s="11"/>
      <c r="C67" s="11">
        <v>1617000</v>
      </c>
      <c r="D67" s="11">
        <v>1618000</v>
      </c>
      <c r="E67" s="11">
        <v>0</v>
      </c>
      <c r="F67" s="11">
        <f t="shared" si="0"/>
        <v>1000</v>
      </c>
      <c r="G67" s="17">
        <f t="shared" si="3"/>
        <v>42.19</v>
      </c>
      <c r="H67" s="17">
        <f t="shared" si="4"/>
        <v>0</v>
      </c>
      <c r="I67" s="17">
        <f t="shared" si="5"/>
        <v>0</v>
      </c>
      <c r="J67" s="18">
        <f t="shared" si="6"/>
        <v>0</v>
      </c>
      <c r="K67" s="18">
        <f t="shared" si="7"/>
        <v>0</v>
      </c>
      <c r="L67" s="18">
        <f t="shared" si="1"/>
        <v>42.19</v>
      </c>
      <c r="M67" s="18">
        <f t="shared" si="9"/>
        <v>0</v>
      </c>
      <c r="N67" s="18">
        <f t="shared" si="2"/>
        <v>42.19</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9"/>
        <v>0</v>
      </c>
      <c r="N68" s="18">
        <f t="shared" si="2"/>
        <v>12.41</v>
      </c>
      <c r="O68" s="8"/>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9"/>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9"/>
        <v>0</v>
      </c>
      <c r="N70" s="18">
        <f t="shared" si="2"/>
        <v>12.41</v>
      </c>
      <c r="O70" s="8"/>
    </row>
    <row r="71" spans="1:15">
      <c r="A71" s="1" t="s">
        <v>61</v>
      </c>
      <c r="B71" s="11"/>
      <c r="C71" s="11">
        <v>1361000</v>
      </c>
      <c r="D71" s="11">
        <v>1366000</v>
      </c>
      <c r="E71" s="11">
        <v>0</v>
      </c>
      <c r="F71" s="11">
        <f t="shared" si="0"/>
        <v>5000</v>
      </c>
      <c r="G71" s="17">
        <f t="shared" si="3"/>
        <v>42.19</v>
      </c>
      <c r="H71" s="17">
        <f t="shared" si="4"/>
        <v>0</v>
      </c>
      <c r="I71" s="17">
        <f t="shared" si="5"/>
        <v>0</v>
      </c>
      <c r="J71" s="18">
        <f t="shared" si="6"/>
        <v>0</v>
      </c>
      <c r="K71" s="18">
        <f t="shared" si="7"/>
        <v>0</v>
      </c>
      <c r="L71" s="18">
        <f t="shared" si="1"/>
        <v>42.19</v>
      </c>
      <c r="M71" s="18">
        <f t="shared" si="9"/>
        <v>0</v>
      </c>
      <c r="N71" s="18">
        <f t="shared" si="2"/>
        <v>42.19</v>
      </c>
      <c r="O71" s="8"/>
    </row>
    <row r="72" spans="1:15">
      <c r="A72" s="1" t="s">
        <v>62</v>
      </c>
      <c r="B72" s="11"/>
      <c r="C72" s="11">
        <v>1921000</v>
      </c>
      <c r="D72" s="11">
        <v>1924000</v>
      </c>
      <c r="E72" s="11">
        <v>0</v>
      </c>
      <c r="F72" s="11">
        <f t="shared" si="0"/>
        <v>3000</v>
      </c>
      <c r="G72" s="17">
        <f t="shared" si="3"/>
        <v>42.19</v>
      </c>
      <c r="H72" s="17">
        <f t="shared" si="4"/>
        <v>0</v>
      </c>
      <c r="I72" s="17">
        <f t="shared" si="5"/>
        <v>0</v>
      </c>
      <c r="J72" s="18">
        <f t="shared" si="6"/>
        <v>0</v>
      </c>
      <c r="K72" s="18">
        <f t="shared" si="7"/>
        <v>0</v>
      </c>
      <c r="L72" s="18">
        <f t="shared" si="1"/>
        <v>42.19</v>
      </c>
      <c r="M72" s="18">
        <f t="shared" si="9"/>
        <v>0</v>
      </c>
      <c r="N72" s="18">
        <f t="shared" si="2"/>
        <v>42.19</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9"/>
        <v>0</v>
      </c>
      <c r="N73" s="18">
        <f t="shared" si="2"/>
        <v>12.41</v>
      </c>
      <c r="O73" s="8"/>
    </row>
    <row r="74" spans="1:15">
      <c r="A74" s="1" t="s">
        <v>64</v>
      </c>
      <c r="B74" s="11"/>
      <c r="C74" s="11">
        <v>4930000</v>
      </c>
      <c r="D74" s="11">
        <v>4941000</v>
      </c>
      <c r="E74" s="11">
        <v>0</v>
      </c>
      <c r="F74" s="11">
        <f t="shared" si="0"/>
        <v>11000</v>
      </c>
      <c r="G74" s="17">
        <f t="shared" si="3"/>
        <v>42.19</v>
      </c>
      <c r="H74" s="17">
        <f t="shared" si="4"/>
        <v>2.2999999999999998</v>
      </c>
      <c r="I74" s="17">
        <f t="shared" si="5"/>
        <v>0</v>
      </c>
      <c r="J74" s="18">
        <f t="shared" si="6"/>
        <v>0</v>
      </c>
      <c r="K74" s="18">
        <f t="shared" si="7"/>
        <v>0</v>
      </c>
      <c r="L74" s="18">
        <f t="shared" si="1"/>
        <v>44.489999999999995</v>
      </c>
      <c r="M74" s="18">
        <f t="shared" si="9"/>
        <v>0</v>
      </c>
      <c r="N74" s="18">
        <f t="shared" si="2"/>
        <v>44.489999999999995</v>
      </c>
      <c r="O74" s="8"/>
    </row>
    <row r="75" spans="1:15">
      <c r="A75" s="1" t="s">
        <v>65</v>
      </c>
      <c r="B75" s="11"/>
      <c r="C75" s="11">
        <v>6647000</v>
      </c>
      <c r="D75" s="11">
        <v>6648000</v>
      </c>
      <c r="E75" s="11">
        <v>0</v>
      </c>
      <c r="F75" s="11">
        <f t="shared" ref="F75:F136" si="10">($D75-$C75)+$E75</f>
        <v>1000</v>
      </c>
      <c r="G75" s="17">
        <f t="shared" si="3"/>
        <v>42.19</v>
      </c>
      <c r="H75" s="17">
        <f t="shared" si="4"/>
        <v>0</v>
      </c>
      <c r="I75" s="17">
        <f t="shared" si="5"/>
        <v>0</v>
      </c>
      <c r="J75" s="18">
        <f t="shared" si="6"/>
        <v>0</v>
      </c>
      <c r="K75" s="18">
        <f t="shared" si="7"/>
        <v>0</v>
      </c>
      <c r="L75" s="18">
        <f t="shared" si="1"/>
        <v>42.19</v>
      </c>
      <c r="M75" s="18">
        <f t="shared" si="9"/>
        <v>0</v>
      </c>
      <c r="N75" s="18">
        <f t="shared" si="2"/>
        <v>42.19</v>
      </c>
      <c r="O75" s="8"/>
    </row>
    <row r="76" spans="1:15">
      <c r="A76" s="1" t="s">
        <v>66</v>
      </c>
      <c r="B76" s="11"/>
      <c r="C76" s="11">
        <v>9241000</v>
      </c>
      <c r="D76" s="11">
        <v>9245000</v>
      </c>
      <c r="E76" s="11">
        <v>0</v>
      </c>
      <c r="F76" s="11">
        <f t="shared" si="10"/>
        <v>4000</v>
      </c>
      <c r="G76" s="17">
        <f t="shared" si="3"/>
        <v>42.19</v>
      </c>
      <c r="H76" s="17">
        <f t="shared" si="4"/>
        <v>0</v>
      </c>
      <c r="I76" s="17">
        <f t="shared" si="5"/>
        <v>0</v>
      </c>
      <c r="J76" s="18">
        <f t="shared" si="6"/>
        <v>0</v>
      </c>
      <c r="K76" s="18">
        <f t="shared" si="7"/>
        <v>0</v>
      </c>
      <c r="L76" s="18">
        <f t="shared" ref="L76:L136" si="11">SUM(G76:K76)</f>
        <v>42.19</v>
      </c>
      <c r="M76" s="18">
        <f t="shared" si="9"/>
        <v>0</v>
      </c>
      <c r="N76" s="18">
        <f t="shared" ref="N76:N136" si="12">SUM(L76:M76)</f>
        <v>42.19</v>
      </c>
      <c r="O76" s="8"/>
    </row>
    <row r="77" spans="1:15">
      <c r="A77" s="1" t="s">
        <v>67</v>
      </c>
      <c r="B77" s="11" t="s">
        <v>138</v>
      </c>
      <c r="C77" s="11">
        <v>0</v>
      </c>
      <c r="D77" s="11">
        <v>0</v>
      </c>
      <c r="E77" s="11">
        <v>0</v>
      </c>
      <c r="F77" s="11">
        <f t="shared" si="10"/>
        <v>0</v>
      </c>
      <c r="G77" s="17">
        <f t="shared" si="3"/>
        <v>12.41</v>
      </c>
      <c r="H77" s="17">
        <f t="shared" si="4"/>
        <v>0</v>
      </c>
      <c r="I77" s="17">
        <f t="shared" si="5"/>
        <v>0</v>
      </c>
      <c r="J77" s="18">
        <f t="shared" si="6"/>
        <v>0</v>
      </c>
      <c r="K77" s="18">
        <f t="shared" si="7"/>
        <v>0</v>
      </c>
      <c r="L77" s="18">
        <f t="shared" si="11"/>
        <v>12.41</v>
      </c>
      <c r="M77" s="18">
        <f t="shared" si="9"/>
        <v>0</v>
      </c>
      <c r="N77" s="18">
        <f t="shared" si="12"/>
        <v>12.41</v>
      </c>
      <c r="O77" s="8"/>
    </row>
    <row r="78" spans="1:15">
      <c r="A78" s="1" t="s">
        <v>68</v>
      </c>
      <c r="B78" s="11"/>
      <c r="C78" s="11">
        <v>3608000</v>
      </c>
      <c r="D78" s="11">
        <v>3617000</v>
      </c>
      <c r="E78" s="11">
        <v>0</v>
      </c>
      <c r="F78" s="11">
        <f t="shared" si="10"/>
        <v>9000</v>
      </c>
      <c r="G78" s="17">
        <f t="shared" si="3"/>
        <v>42.19</v>
      </c>
      <c r="H78" s="17">
        <f t="shared" si="4"/>
        <v>0</v>
      </c>
      <c r="I78" s="17">
        <f t="shared" si="5"/>
        <v>0</v>
      </c>
      <c r="J78" s="18">
        <f t="shared" si="6"/>
        <v>0</v>
      </c>
      <c r="K78" s="18">
        <f t="shared" si="7"/>
        <v>0</v>
      </c>
      <c r="L78" s="18">
        <f t="shared" si="11"/>
        <v>42.19</v>
      </c>
      <c r="M78" s="18">
        <f t="shared" si="9"/>
        <v>0</v>
      </c>
      <c r="N78" s="18">
        <f t="shared" si="12"/>
        <v>42.19</v>
      </c>
      <c r="O78" s="8"/>
    </row>
    <row r="79" spans="1:15">
      <c r="A79" s="1" t="s">
        <v>69</v>
      </c>
      <c r="B79" s="11"/>
      <c r="C79" s="11">
        <v>2358000</v>
      </c>
      <c r="D79" s="11">
        <v>2375000</v>
      </c>
      <c r="E79" s="11">
        <v>0</v>
      </c>
      <c r="F79" s="11">
        <f t="shared" si="10"/>
        <v>17000</v>
      </c>
      <c r="G79" s="17">
        <f t="shared" si="3"/>
        <v>42.19</v>
      </c>
      <c r="H79" s="17">
        <f t="shared" si="4"/>
        <v>16.099999999999998</v>
      </c>
      <c r="I79" s="17">
        <f t="shared" si="5"/>
        <v>0</v>
      </c>
      <c r="J79" s="18">
        <f t="shared" si="6"/>
        <v>0</v>
      </c>
      <c r="K79" s="18">
        <f t="shared" si="7"/>
        <v>0</v>
      </c>
      <c r="L79" s="18">
        <f t="shared" si="11"/>
        <v>58.289999999999992</v>
      </c>
      <c r="M79" s="18">
        <f t="shared" si="9"/>
        <v>0</v>
      </c>
      <c r="N79" s="18">
        <f t="shared" si="12"/>
        <v>58.289999999999992</v>
      </c>
      <c r="O79" s="8"/>
    </row>
    <row r="80" spans="1:15">
      <c r="A80" s="1" t="s">
        <v>70</v>
      </c>
      <c r="B80" s="11"/>
      <c r="C80" s="11">
        <v>1455000</v>
      </c>
      <c r="D80" s="11">
        <v>1467000</v>
      </c>
      <c r="E80" s="11">
        <v>0</v>
      </c>
      <c r="F80" s="11">
        <f t="shared" si="10"/>
        <v>12000</v>
      </c>
      <c r="G80" s="17">
        <f t="shared" si="3"/>
        <v>42.19</v>
      </c>
      <c r="H80" s="17">
        <f t="shared" si="4"/>
        <v>4.5999999999999996</v>
      </c>
      <c r="I80" s="17">
        <f t="shared" si="5"/>
        <v>0</v>
      </c>
      <c r="J80" s="18">
        <f t="shared" si="6"/>
        <v>0</v>
      </c>
      <c r="K80" s="18">
        <f t="shared" si="7"/>
        <v>0</v>
      </c>
      <c r="L80" s="18">
        <f t="shared" si="11"/>
        <v>46.79</v>
      </c>
      <c r="M80" s="18">
        <f t="shared" si="9"/>
        <v>0</v>
      </c>
      <c r="N80" s="18">
        <f t="shared" si="12"/>
        <v>46.79</v>
      </c>
      <c r="O80" s="8"/>
    </row>
    <row r="81" spans="1:15">
      <c r="A81" s="1" t="s">
        <v>71</v>
      </c>
      <c r="B81" s="11" t="s">
        <v>138</v>
      </c>
      <c r="C81" s="11">
        <v>0</v>
      </c>
      <c r="D81" s="11">
        <v>0</v>
      </c>
      <c r="E81" s="11">
        <v>0</v>
      </c>
      <c r="F81" s="11">
        <f t="shared" si="10"/>
        <v>0</v>
      </c>
      <c r="G81" s="17">
        <f t="shared" ref="G81:G136" si="13">IF(OR($F81&gt;0,$B81=""),$K$4,$N$4)</f>
        <v>12.41</v>
      </c>
      <c r="H81" s="17">
        <f t="shared" ref="H81:H136" si="14">IF(AND((($F81-10000)&gt;=0),(($F81-10000)&lt;= 10000)),($F81-10000)/1000*$K$5,IF(($F81-10000)&gt;=10000,$K$5*10,0))</f>
        <v>0</v>
      </c>
      <c r="I81" s="17">
        <f t="shared" ref="I81:I136" si="15">IF(AND((($F81-20000)&gt;=0),(($F81-20000)&lt;=10000)),($F81-20000)/1000*$K$6,IF(($F81-20000)&gt;=10000,$K$6*10,0))</f>
        <v>0</v>
      </c>
      <c r="J81" s="18">
        <f t="shared" ref="J81:J136" si="16">IF(AND((($F81-30000)&gt;=0),(($F81-30000)&lt;=10000)),($F81-30000)/1000*$K$7,IF(($F81-30000)&gt;=10000,$K$7*10,0))</f>
        <v>0</v>
      </c>
      <c r="K81" s="18">
        <f t="shared" ref="K81:K136" si="17">IF((($F81-40000)&gt;=0),($F81-40000)/1000*$K$8,0)</f>
        <v>0</v>
      </c>
      <c r="L81" s="18">
        <f t="shared" si="11"/>
        <v>12.41</v>
      </c>
      <c r="M81" s="18">
        <f t="shared" ref="M81:M112" si="18">IF(   $H$5=1,    IF((F81-$H$6)&gt;0,((F81-$H$6)/$P$7)*$E$8,0),   IF(F81&gt;0,(F81/$P$4)*$E$8,0)    )</f>
        <v>0</v>
      </c>
      <c r="N81" s="18">
        <f t="shared" si="12"/>
        <v>12.41</v>
      </c>
      <c r="O81" s="8"/>
    </row>
    <row r="82" spans="1:15">
      <c r="A82" s="1" t="s">
        <v>72</v>
      </c>
      <c r="B82" s="11"/>
      <c r="C82" s="11">
        <v>166000</v>
      </c>
      <c r="D82" s="11">
        <v>191000</v>
      </c>
      <c r="E82" s="11">
        <v>0</v>
      </c>
      <c r="F82" s="11">
        <f t="shared" si="10"/>
        <v>25000</v>
      </c>
      <c r="G82" s="17">
        <f t="shared" si="13"/>
        <v>42.19</v>
      </c>
      <c r="H82" s="17">
        <f t="shared" si="14"/>
        <v>23</v>
      </c>
      <c r="I82" s="17">
        <f t="shared" si="15"/>
        <v>13.35</v>
      </c>
      <c r="J82" s="18">
        <f t="shared" si="16"/>
        <v>0</v>
      </c>
      <c r="K82" s="18">
        <f t="shared" si="17"/>
        <v>0</v>
      </c>
      <c r="L82" s="18">
        <f t="shared" si="11"/>
        <v>78.539999999999992</v>
      </c>
      <c r="M82" s="18">
        <f t="shared" si="18"/>
        <v>0</v>
      </c>
      <c r="N82" s="18">
        <f t="shared" si="12"/>
        <v>78.539999999999992</v>
      </c>
      <c r="O82" s="8" t="s">
        <v>139</v>
      </c>
    </row>
    <row r="83" spans="1:15">
      <c r="A83" s="1" t="s">
        <v>73</v>
      </c>
      <c r="B83" s="11"/>
      <c r="C83" s="11">
        <v>1978000</v>
      </c>
      <c r="D83" s="11">
        <v>1984000</v>
      </c>
      <c r="E83" s="11">
        <v>0</v>
      </c>
      <c r="F83" s="11">
        <f t="shared" si="10"/>
        <v>6000</v>
      </c>
      <c r="G83" s="17">
        <f t="shared" si="13"/>
        <v>42.19</v>
      </c>
      <c r="H83" s="17">
        <f t="shared" si="14"/>
        <v>0</v>
      </c>
      <c r="I83" s="17">
        <f t="shared" si="15"/>
        <v>0</v>
      </c>
      <c r="J83" s="18">
        <f t="shared" si="16"/>
        <v>0</v>
      </c>
      <c r="K83" s="18">
        <f t="shared" si="17"/>
        <v>0</v>
      </c>
      <c r="L83" s="18">
        <f t="shared" si="11"/>
        <v>42.19</v>
      </c>
      <c r="M83" s="18">
        <f t="shared" si="18"/>
        <v>0</v>
      </c>
      <c r="N83" s="18">
        <f t="shared" si="12"/>
        <v>42.19</v>
      </c>
      <c r="O83" s="8"/>
    </row>
    <row r="84" spans="1:15">
      <c r="A84" s="1" t="s">
        <v>74</v>
      </c>
      <c r="B84" s="11" t="s">
        <v>138</v>
      </c>
      <c r="C84" s="11">
        <v>0</v>
      </c>
      <c r="D84" s="11">
        <v>0</v>
      </c>
      <c r="E84" s="11">
        <v>0</v>
      </c>
      <c r="F84" s="11">
        <f t="shared" si="10"/>
        <v>0</v>
      </c>
      <c r="G84" s="17">
        <f t="shared" si="13"/>
        <v>12.41</v>
      </c>
      <c r="H84" s="17">
        <f t="shared" si="14"/>
        <v>0</v>
      </c>
      <c r="I84" s="17">
        <f t="shared" si="15"/>
        <v>0</v>
      </c>
      <c r="J84" s="18">
        <f t="shared" si="16"/>
        <v>0</v>
      </c>
      <c r="K84" s="18">
        <f t="shared" si="17"/>
        <v>0</v>
      </c>
      <c r="L84" s="18">
        <f t="shared" si="11"/>
        <v>12.41</v>
      </c>
      <c r="M84" s="18">
        <f t="shared" si="18"/>
        <v>0</v>
      </c>
      <c r="N84" s="18">
        <f t="shared" si="12"/>
        <v>12.41</v>
      </c>
      <c r="O84" s="8"/>
    </row>
    <row r="85" spans="1:15">
      <c r="A85" s="1" t="s">
        <v>75</v>
      </c>
      <c r="B85" s="11"/>
      <c r="C85" s="11">
        <v>739000</v>
      </c>
      <c r="D85" s="11">
        <v>744000</v>
      </c>
      <c r="E85" s="11">
        <v>0</v>
      </c>
      <c r="F85" s="11">
        <f t="shared" si="10"/>
        <v>5000</v>
      </c>
      <c r="G85" s="17">
        <f t="shared" si="13"/>
        <v>42.19</v>
      </c>
      <c r="H85" s="17">
        <f t="shared" si="14"/>
        <v>0</v>
      </c>
      <c r="I85" s="17">
        <f t="shared" si="15"/>
        <v>0</v>
      </c>
      <c r="J85" s="18">
        <f t="shared" si="16"/>
        <v>0</v>
      </c>
      <c r="K85" s="18">
        <f t="shared" si="17"/>
        <v>0</v>
      </c>
      <c r="L85" s="18">
        <f t="shared" si="11"/>
        <v>42.19</v>
      </c>
      <c r="M85" s="18">
        <f t="shared" si="18"/>
        <v>0</v>
      </c>
      <c r="N85" s="18">
        <f t="shared" si="12"/>
        <v>42.19</v>
      </c>
      <c r="O85" s="8"/>
    </row>
    <row r="86" spans="1:15">
      <c r="A86" s="1" t="s">
        <v>76</v>
      </c>
      <c r="B86" s="11"/>
      <c r="C86" s="11">
        <v>165000</v>
      </c>
      <c r="D86" s="11">
        <v>174000</v>
      </c>
      <c r="E86" s="11">
        <v>0</v>
      </c>
      <c r="F86" s="11">
        <f t="shared" si="10"/>
        <v>9000</v>
      </c>
      <c r="G86" s="17">
        <f t="shared" si="13"/>
        <v>42.19</v>
      </c>
      <c r="H86" s="17">
        <f t="shared" si="14"/>
        <v>0</v>
      </c>
      <c r="I86" s="17">
        <f t="shared" si="15"/>
        <v>0</v>
      </c>
      <c r="J86" s="18">
        <f t="shared" si="16"/>
        <v>0</v>
      </c>
      <c r="K86" s="18">
        <f t="shared" si="17"/>
        <v>0</v>
      </c>
      <c r="L86" s="18">
        <f t="shared" si="11"/>
        <v>42.19</v>
      </c>
      <c r="M86" s="18">
        <f t="shared" si="18"/>
        <v>0</v>
      </c>
      <c r="N86" s="18">
        <f t="shared" si="12"/>
        <v>42.19</v>
      </c>
      <c r="O86" s="8" t="s">
        <v>139</v>
      </c>
    </row>
    <row r="87" spans="1:15">
      <c r="A87" s="1" t="s">
        <v>77</v>
      </c>
      <c r="B87" s="11"/>
      <c r="C87" s="11">
        <v>118000</v>
      </c>
      <c r="D87" s="11">
        <v>123000</v>
      </c>
      <c r="E87" s="11">
        <v>0</v>
      </c>
      <c r="F87" s="11">
        <f t="shared" si="10"/>
        <v>5000</v>
      </c>
      <c r="G87" s="17">
        <f t="shared" si="13"/>
        <v>42.19</v>
      </c>
      <c r="H87" s="17">
        <f t="shared" si="14"/>
        <v>0</v>
      </c>
      <c r="I87" s="17">
        <f t="shared" si="15"/>
        <v>0</v>
      </c>
      <c r="J87" s="18">
        <f t="shared" si="16"/>
        <v>0</v>
      </c>
      <c r="K87" s="18">
        <f t="shared" si="17"/>
        <v>0</v>
      </c>
      <c r="L87" s="18">
        <f t="shared" si="11"/>
        <v>42.19</v>
      </c>
      <c r="M87" s="18">
        <f t="shared" si="18"/>
        <v>0</v>
      </c>
      <c r="N87" s="18">
        <f t="shared" si="12"/>
        <v>42.19</v>
      </c>
      <c r="O87" s="8"/>
    </row>
    <row r="88" spans="1:15">
      <c r="A88" s="1" t="s">
        <v>78</v>
      </c>
      <c r="B88" s="11"/>
      <c r="C88" s="11">
        <v>1255000</v>
      </c>
      <c r="D88" s="11">
        <v>1258000</v>
      </c>
      <c r="E88" s="11">
        <v>0</v>
      </c>
      <c r="F88" s="11">
        <f t="shared" si="10"/>
        <v>3000</v>
      </c>
      <c r="G88" s="17">
        <f t="shared" si="13"/>
        <v>42.19</v>
      </c>
      <c r="H88" s="17">
        <f t="shared" si="14"/>
        <v>0</v>
      </c>
      <c r="I88" s="17">
        <f t="shared" si="15"/>
        <v>0</v>
      </c>
      <c r="J88" s="18">
        <f t="shared" si="16"/>
        <v>0</v>
      </c>
      <c r="K88" s="18">
        <f t="shared" si="17"/>
        <v>0</v>
      </c>
      <c r="L88" s="18">
        <f t="shared" si="11"/>
        <v>42.19</v>
      </c>
      <c r="M88" s="18">
        <f t="shared" si="18"/>
        <v>0</v>
      </c>
      <c r="N88" s="18">
        <f t="shared" si="12"/>
        <v>42.19</v>
      </c>
      <c r="O88" s="8"/>
    </row>
    <row r="89" spans="1:15">
      <c r="A89" s="1" t="s">
        <v>79</v>
      </c>
      <c r="B89" s="11"/>
      <c r="C89" s="11">
        <v>3457000</v>
      </c>
      <c r="D89" s="11">
        <v>3464000</v>
      </c>
      <c r="E89" s="11">
        <v>0</v>
      </c>
      <c r="F89" s="11">
        <f t="shared" si="10"/>
        <v>7000</v>
      </c>
      <c r="G89" s="17">
        <f t="shared" si="13"/>
        <v>42.19</v>
      </c>
      <c r="H89" s="17">
        <f t="shared" si="14"/>
        <v>0</v>
      </c>
      <c r="I89" s="17">
        <f t="shared" si="15"/>
        <v>0</v>
      </c>
      <c r="J89" s="18">
        <f t="shared" si="16"/>
        <v>0</v>
      </c>
      <c r="K89" s="18">
        <f t="shared" si="17"/>
        <v>0</v>
      </c>
      <c r="L89" s="18">
        <f t="shared" si="11"/>
        <v>42.19</v>
      </c>
      <c r="M89" s="18">
        <f t="shared" si="18"/>
        <v>0</v>
      </c>
      <c r="N89" s="18">
        <f t="shared" si="12"/>
        <v>42.19</v>
      </c>
      <c r="O89" s="8"/>
    </row>
    <row r="90" spans="1:15">
      <c r="A90" s="1" t="s">
        <v>80</v>
      </c>
      <c r="B90" s="11"/>
      <c r="C90" s="11">
        <v>3032000</v>
      </c>
      <c r="D90" s="11">
        <v>3037000</v>
      </c>
      <c r="E90" s="11">
        <v>0</v>
      </c>
      <c r="F90" s="11">
        <f t="shared" si="10"/>
        <v>5000</v>
      </c>
      <c r="G90" s="17">
        <f t="shared" si="13"/>
        <v>42.19</v>
      </c>
      <c r="H90" s="17">
        <f t="shared" si="14"/>
        <v>0</v>
      </c>
      <c r="I90" s="17">
        <f t="shared" si="15"/>
        <v>0</v>
      </c>
      <c r="J90" s="18">
        <f t="shared" si="16"/>
        <v>0</v>
      </c>
      <c r="K90" s="18">
        <f t="shared" si="17"/>
        <v>0</v>
      </c>
      <c r="L90" s="18">
        <f t="shared" si="11"/>
        <v>42.19</v>
      </c>
      <c r="M90" s="18">
        <f t="shared" si="18"/>
        <v>0</v>
      </c>
      <c r="N90" s="18">
        <f t="shared" si="12"/>
        <v>42.19</v>
      </c>
      <c r="O90" s="8"/>
    </row>
    <row r="91" spans="1:15">
      <c r="A91" s="1" t="s">
        <v>81</v>
      </c>
      <c r="B91" s="11" t="s">
        <v>138</v>
      </c>
      <c r="C91" s="11">
        <v>0</v>
      </c>
      <c r="D91" s="11">
        <v>0</v>
      </c>
      <c r="E91" s="11">
        <v>0</v>
      </c>
      <c r="F91" s="11">
        <f t="shared" si="10"/>
        <v>0</v>
      </c>
      <c r="G91" s="17">
        <f t="shared" si="13"/>
        <v>12.41</v>
      </c>
      <c r="H91" s="17">
        <f t="shared" si="14"/>
        <v>0</v>
      </c>
      <c r="I91" s="17">
        <f t="shared" si="15"/>
        <v>0</v>
      </c>
      <c r="J91" s="18">
        <f t="shared" si="16"/>
        <v>0</v>
      </c>
      <c r="K91" s="18">
        <f t="shared" si="17"/>
        <v>0</v>
      </c>
      <c r="L91" s="18">
        <f t="shared" si="11"/>
        <v>12.41</v>
      </c>
      <c r="M91" s="18">
        <f t="shared" si="18"/>
        <v>0</v>
      </c>
      <c r="N91" s="18">
        <f t="shared" si="12"/>
        <v>12.41</v>
      </c>
      <c r="O91" s="8"/>
    </row>
    <row r="92" spans="1:15">
      <c r="A92" s="1" t="s">
        <v>82</v>
      </c>
      <c r="B92" s="11"/>
      <c r="C92" s="11">
        <v>3267000</v>
      </c>
      <c r="D92" s="11">
        <v>3274000</v>
      </c>
      <c r="E92" s="11">
        <v>0</v>
      </c>
      <c r="F92" s="11">
        <f t="shared" si="10"/>
        <v>7000</v>
      </c>
      <c r="G92" s="17">
        <f t="shared" si="13"/>
        <v>42.19</v>
      </c>
      <c r="H92" s="17">
        <f t="shared" si="14"/>
        <v>0</v>
      </c>
      <c r="I92" s="17">
        <f t="shared" si="15"/>
        <v>0</v>
      </c>
      <c r="J92" s="18">
        <f t="shared" si="16"/>
        <v>0</v>
      </c>
      <c r="K92" s="18">
        <f t="shared" si="17"/>
        <v>0</v>
      </c>
      <c r="L92" s="18">
        <f t="shared" si="11"/>
        <v>42.19</v>
      </c>
      <c r="M92" s="18">
        <f t="shared" si="18"/>
        <v>0</v>
      </c>
      <c r="N92" s="18">
        <f t="shared" si="12"/>
        <v>42.19</v>
      </c>
      <c r="O92" s="8"/>
    </row>
    <row r="93" spans="1:15">
      <c r="A93" s="1" t="s">
        <v>83</v>
      </c>
      <c r="B93" s="11"/>
      <c r="C93" s="11">
        <v>7564000</v>
      </c>
      <c r="D93" s="11">
        <v>7577000</v>
      </c>
      <c r="E93" s="11">
        <v>0</v>
      </c>
      <c r="F93" s="11">
        <f t="shared" si="10"/>
        <v>13000</v>
      </c>
      <c r="G93" s="17">
        <f t="shared" si="13"/>
        <v>42.19</v>
      </c>
      <c r="H93" s="17">
        <f t="shared" si="14"/>
        <v>6.8999999999999995</v>
      </c>
      <c r="I93" s="17">
        <f t="shared" si="15"/>
        <v>0</v>
      </c>
      <c r="J93" s="18">
        <f t="shared" si="16"/>
        <v>0</v>
      </c>
      <c r="K93" s="18">
        <f t="shared" si="17"/>
        <v>0</v>
      </c>
      <c r="L93" s="18">
        <f t="shared" si="11"/>
        <v>49.089999999999996</v>
      </c>
      <c r="M93" s="18">
        <f t="shared" si="18"/>
        <v>0</v>
      </c>
      <c r="N93" s="18">
        <f t="shared" si="12"/>
        <v>49.089999999999996</v>
      </c>
      <c r="O93" s="8"/>
    </row>
    <row r="94" spans="1:15" s="14" customFormat="1">
      <c r="A94" s="14" t="s">
        <v>84</v>
      </c>
      <c r="B94" s="15"/>
      <c r="C94" s="15">
        <v>3093000</v>
      </c>
      <c r="D94" s="15">
        <v>3659000</v>
      </c>
      <c r="E94" s="15">
        <v>0</v>
      </c>
      <c r="F94" s="15">
        <f t="shared" si="10"/>
        <v>566000</v>
      </c>
      <c r="G94" s="19">
        <f t="shared" si="13"/>
        <v>42.19</v>
      </c>
      <c r="H94" s="19">
        <f t="shared" si="14"/>
        <v>23</v>
      </c>
      <c r="I94" s="19">
        <f t="shared" si="15"/>
        <v>26.7</v>
      </c>
      <c r="J94" s="20">
        <f t="shared" si="16"/>
        <v>31</v>
      </c>
      <c r="K94" s="20">
        <f t="shared" si="17"/>
        <v>1893.6000000000001</v>
      </c>
      <c r="L94" s="20">
        <f t="shared" si="11"/>
        <v>2016.4900000000002</v>
      </c>
      <c r="M94" s="20">
        <f t="shared" si="18"/>
        <v>0</v>
      </c>
      <c r="N94" s="20">
        <f t="shared" si="12"/>
        <v>2016.4900000000002</v>
      </c>
      <c r="O94" s="16"/>
    </row>
    <row r="95" spans="1:15">
      <c r="A95" s="1" t="s">
        <v>85</v>
      </c>
      <c r="B95" s="11"/>
      <c r="C95" s="11">
        <v>2024000</v>
      </c>
      <c r="D95" s="11">
        <v>2031000</v>
      </c>
      <c r="E95" s="11">
        <v>0</v>
      </c>
      <c r="F95" s="11">
        <f t="shared" si="10"/>
        <v>7000</v>
      </c>
      <c r="G95" s="17">
        <f t="shared" si="13"/>
        <v>42.19</v>
      </c>
      <c r="H95" s="17">
        <f t="shared" si="14"/>
        <v>0</v>
      </c>
      <c r="I95" s="17">
        <f t="shared" si="15"/>
        <v>0</v>
      </c>
      <c r="J95" s="18">
        <f t="shared" si="16"/>
        <v>0</v>
      </c>
      <c r="K95" s="18">
        <f t="shared" si="17"/>
        <v>0</v>
      </c>
      <c r="L95" s="18">
        <f t="shared" si="11"/>
        <v>42.19</v>
      </c>
      <c r="M95" s="18">
        <f t="shared" si="18"/>
        <v>0</v>
      </c>
      <c r="N95" s="18">
        <f t="shared" si="12"/>
        <v>42.19</v>
      </c>
      <c r="O95" s="8"/>
    </row>
    <row r="96" spans="1:15">
      <c r="A96" s="1" t="s">
        <v>86</v>
      </c>
      <c r="B96" s="11"/>
      <c r="C96" s="11">
        <v>1865000</v>
      </c>
      <c r="D96" s="11">
        <v>1870000</v>
      </c>
      <c r="E96" s="11">
        <v>0</v>
      </c>
      <c r="F96" s="11">
        <f t="shared" si="10"/>
        <v>5000</v>
      </c>
      <c r="G96" s="17">
        <f t="shared" si="13"/>
        <v>42.19</v>
      </c>
      <c r="H96" s="17">
        <f t="shared" si="14"/>
        <v>0</v>
      </c>
      <c r="I96" s="17">
        <f t="shared" si="15"/>
        <v>0</v>
      </c>
      <c r="J96" s="18">
        <f t="shared" si="16"/>
        <v>0</v>
      </c>
      <c r="K96" s="18">
        <f t="shared" si="17"/>
        <v>0</v>
      </c>
      <c r="L96" s="18">
        <f t="shared" si="11"/>
        <v>42.19</v>
      </c>
      <c r="M96" s="18">
        <f t="shared" si="18"/>
        <v>0</v>
      </c>
      <c r="N96" s="18">
        <f t="shared" si="12"/>
        <v>42.19</v>
      </c>
      <c r="O96" s="8"/>
    </row>
    <row r="97" spans="1:15">
      <c r="A97" s="1" t="s">
        <v>87</v>
      </c>
      <c r="B97" s="11" t="s">
        <v>138</v>
      </c>
      <c r="C97" s="11">
        <v>0</v>
      </c>
      <c r="D97" s="11">
        <v>0</v>
      </c>
      <c r="E97" s="11">
        <v>0</v>
      </c>
      <c r="F97" s="11">
        <f t="shared" si="10"/>
        <v>0</v>
      </c>
      <c r="G97" s="17">
        <f t="shared" si="13"/>
        <v>12.41</v>
      </c>
      <c r="H97" s="17">
        <f t="shared" si="14"/>
        <v>0</v>
      </c>
      <c r="I97" s="17">
        <f t="shared" si="15"/>
        <v>0</v>
      </c>
      <c r="J97" s="18">
        <f t="shared" si="16"/>
        <v>0</v>
      </c>
      <c r="K97" s="18">
        <f t="shared" si="17"/>
        <v>0</v>
      </c>
      <c r="L97" s="18">
        <f t="shared" si="11"/>
        <v>12.41</v>
      </c>
      <c r="M97" s="18">
        <f t="shared" si="18"/>
        <v>0</v>
      </c>
      <c r="N97" s="18">
        <f t="shared" si="12"/>
        <v>12.41</v>
      </c>
      <c r="O97" s="8"/>
    </row>
    <row r="98" spans="1:15">
      <c r="A98" s="1" t="s">
        <v>88</v>
      </c>
      <c r="B98" s="11"/>
      <c r="C98" s="11">
        <v>1231000</v>
      </c>
      <c r="D98" s="11">
        <v>1233000</v>
      </c>
      <c r="E98" s="11">
        <v>0</v>
      </c>
      <c r="F98" s="11">
        <f t="shared" si="10"/>
        <v>2000</v>
      </c>
      <c r="G98" s="17">
        <f t="shared" si="13"/>
        <v>42.19</v>
      </c>
      <c r="H98" s="17">
        <f t="shared" si="14"/>
        <v>0</v>
      </c>
      <c r="I98" s="17">
        <f t="shared" si="15"/>
        <v>0</v>
      </c>
      <c r="J98" s="18">
        <f t="shared" si="16"/>
        <v>0</v>
      </c>
      <c r="K98" s="18">
        <f t="shared" si="17"/>
        <v>0</v>
      </c>
      <c r="L98" s="18">
        <f t="shared" si="11"/>
        <v>42.19</v>
      </c>
      <c r="M98" s="18">
        <f t="shared" si="18"/>
        <v>0</v>
      </c>
      <c r="N98" s="18">
        <f t="shared" si="12"/>
        <v>42.19</v>
      </c>
      <c r="O98" s="8"/>
    </row>
    <row r="99" spans="1:15">
      <c r="A99" s="1" t="s">
        <v>89</v>
      </c>
      <c r="B99" s="11"/>
      <c r="C99" s="11">
        <v>2274000</v>
      </c>
      <c r="D99" s="11">
        <v>2286000</v>
      </c>
      <c r="E99" s="11">
        <v>0</v>
      </c>
      <c r="F99" s="11">
        <f t="shared" si="10"/>
        <v>12000</v>
      </c>
      <c r="G99" s="17">
        <f t="shared" si="13"/>
        <v>42.19</v>
      </c>
      <c r="H99" s="17">
        <f t="shared" si="14"/>
        <v>4.5999999999999996</v>
      </c>
      <c r="I99" s="17">
        <f t="shared" si="15"/>
        <v>0</v>
      </c>
      <c r="J99" s="18">
        <f t="shared" si="16"/>
        <v>0</v>
      </c>
      <c r="K99" s="18">
        <f t="shared" si="17"/>
        <v>0</v>
      </c>
      <c r="L99" s="18">
        <f t="shared" si="11"/>
        <v>46.79</v>
      </c>
      <c r="M99" s="18">
        <f t="shared" si="18"/>
        <v>0</v>
      </c>
      <c r="N99" s="18">
        <f t="shared" si="12"/>
        <v>46.79</v>
      </c>
      <c r="O99" s="8"/>
    </row>
    <row r="100" spans="1:15">
      <c r="A100" s="1" t="s">
        <v>90</v>
      </c>
      <c r="B100" s="11"/>
      <c r="C100" s="11">
        <v>1249000</v>
      </c>
      <c r="D100" s="11">
        <v>1253000</v>
      </c>
      <c r="E100" s="11">
        <v>0</v>
      </c>
      <c r="F100" s="11">
        <f t="shared" si="10"/>
        <v>4000</v>
      </c>
      <c r="G100" s="17">
        <f t="shared" si="13"/>
        <v>42.19</v>
      </c>
      <c r="H100" s="17">
        <f t="shared" si="14"/>
        <v>0</v>
      </c>
      <c r="I100" s="17">
        <f t="shared" si="15"/>
        <v>0</v>
      </c>
      <c r="J100" s="18">
        <f t="shared" si="16"/>
        <v>0</v>
      </c>
      <c r="K100" s="18">
        <f t="shared" si="17"/>
        <v>0</v>
      </c>
      <c r="L100" s="18">
        <f t="shared" si="11"/>
        <v>42.19</v>
      </c>
      <c r="M100" s="18">
        <f t="shared" si="18"/>
        <v>0</v>
      </c>
      <c r="N100" s="18">
        <f t="shared" si="12"/>
        <v>42.19</v>
      </c>
      <c r="O100" s="8"/>
    </row>
    <row r="101" spans="1:15">
      <c r="A101" s="1" t="s">
        <v>91</v>
      </c>
      <c r="B101" s="11"/>
      <c r="C101" s="11">
        <v>261000</v>
      </c>
      <c r="D101" s="11">
        <v>264000</v>
      </c>
      <c r="E101" s="11">
        <v>0</v>
      </c>
      <c r="F101" s="11">
        <f t="shared" si="10"/>
        <v>3000</v>
      </c>
      <c r="G101" s="17">
        <f t="shared" si="13"/>
        <v>42.19</v>
      </c>
      <c r="H101" s="17">
        <f t="shared" si="14"/>
        <v>0</v>
      </c>
      <c r="I101" s="17">
        <f t="shared" si="15"/>
        <v>0</v>
      </c>
      <c r="J101" s="18">
        <f t="shared" si="16"/>
        <v>0</v>
      </c>
      <c r="K101" s="18">
        <f t="shared" si="17"/>
        <v>0</v>
      </c>
      <c r="L101" s="18">
        <f t="shared" si="11"/>
        <v>42.19</v>
      </c>
      <c r="M101" s="18">
        <f t="shared" si="18"/>
        <v>0</v>
      </c>
      <c r="N101" s="18">
        <f t="shared" si="12"/>
        <v>42.19</v>
      </c>
      <c r="O101" s="8"/>
    </row>
    <row r="102" spans="1:15">
      <c r="A102" s="1" t="s">
        <v>92</v>
      </c>
      <c r="B102" s="11"/>
      <c r="C102" s="11">
        <v>2532000</v>
      </c>
      <c r="D102" s="11">
        <v>2538000</v>
      </c>
      <c r="E102" s="11">
        <v>0</v>
      </c>
      <c r="F102" s="11">
        <f t="shared" si="10"/>
        <v>6000</v>
      </c>
      <c r="G102" s="17">
        <f t="shared" si="13"/>
        <v>42.19</v>
      </c>
      <c r="H102" s="17">
        <f t="shared" si="14"/>
        <v>0</v>
      </c>
      <c r="I102" s="17">
        <f t="shared" si="15"/>
        <v>0</v>
      </c>
      <c r="J102" s="18">
        <f t="shared" si="16"/>
        <v>0</v>
      </c>
      <c r="K102" s="18">
        <f t="shared" si="17"/>
        <v>0</v>
      </c>
      <c r="L102" s="18">
        <f t="shared" si="11"/>
        <v>42.19</v>
      </c>
      <c r="M102" s="18">
        <f t="shared" si="18"/>
        <v>0</v>
      </c>
      <c r="N102" s="18">
        <f t="shared" si="12"/>
        <v>42.19</v>
      </c>
      <c r="O102" s="8"/>
    </row>
    <row r="103" spans="1:15">
      <c r="A103" s="1" t="s">
        <v>93</v>
      </c>
      <c r="B103" s="11" t="s">
        <v>138</v>
      </c>
      <c r="C103" s="11">
        <v>0</v>
      </c>
      <c r="D103" s="11">
        <v>0</v>
      </c>
      <c r="E103" s="11">
        <v>0</v>
      </c>
      <c r="F103" s="11">
        <f t="shared" si="10"/>
        <v>0</v>
      </c>
      <c r="G103" s="17">
        <f t="shared" si="13"/>
        <v>12.41</v>
      </c>
      <c r="H103" s="17">
        <f t="shared" si="14"/>
        <v>0</v>
      </c>
      <c r="I103" s="17">
        <f t="shared" si="15"/>
        <v>0</v>
      </c>
      <c r="J103" s="18">
        <f t="shared" si="16"/>
        <v>0</v>
      </c>
      <c r="K103" s="18">
        <f t="shared" si="17"/>
        <v>0</v>
      </c>
      <c r="L103" s="18">
        <f t="shared" si="11"/>
        <v>12.41</v>
      </c>
      <c r="M103" s="18">
        <f t="shared" si="18"/>
        <v>0</v>
      </c>
      <c r="N103" s="18">
        <f t="shared" si="12"/>
        <v>12.41</v>
      </c>
      <c r="O103" s="8"/>
    </row>
    <row r="104" spans="1:15">
      <c r="A104" s="1" t="s">
        <v>94</v>
      </c>
      <c r="B104" s="11" t="s">
        <v>138</v>
      </c>
      <c r="C104" s="11">
        <v>0</v>
      </c>
      <c r="D104" s="11">
        <v>0</v>
      </c>
      <c r="E104" s="11">
        <v>0</v>
      </c>
      <c r="F104" s="11">
        <f t="shared" si="10"/>
        <v>0</v>
      </c>
      <c r="G104" s="17">
        <f t="shared" si="13"/>
        <v>12.41</v>
      </c>
      <c r="H104" s="17">
        <f t="shared" si="14"/>
        <v>0</v>
      </c>
      <c r="I104" s="17">
        <f t="shared" si="15"/>
        <v>0</v>
      </c>
      <c r="J104" s="18">
        <f t="shared" si="16"/>
        <v>0</v>
      </c>
      <c r="K104" s="18">
        <f t="shared" si="17"/>
        <v>0</v>
      </c>
      <c r="L104" s="18">
        <f t="shared" si="11"/>
        <v>12.41</v>
      </c>
      <c r="M104" s="18">
        <f t="shared" si="18"/>
        <v>0</v>
      </c>
      <c r="N104" s="18">
        <f t="shared" si="12"/>
        <v>12.41</v>
      </c>
      <c r="O104" s="8"/>
    </row>
    <row r="105" spans="1:15">
      <c r="A105" s="1" t="s">
        <v>95</v>
      </c>
      <c r="B105" s="11" t="s">
        <v>138</v>
      </c>
      <c r="C105" s="11">
        <v>0</v>
      </c>
      <c r="D105" s="11">
        <v>0</v>
      </c>
      <c r="E105" s="11">
        <v>0</v>
      </c>
      <c r="F105" s="11">
        <f t="shared" si="10"/>
        <v>0</v>
      </c>
      <c r="G105" s="17">
        <f t="shared" si="13"/>
        <v>12.41</v>
      </c>
      <c r="H105" s="17">
        <f t="shared" si="14"/>
        <v>0</v>
      </c>
      <c r="I105" s="17">
        <f t="shared" si="15"/>
        <v>0</v>
      </c>
      <c r="J105" s="18">
        <f t="shared" si="16"/>
        <v>0</v>
      </c>
      <c r="K105" s="18">
        <f t="shared" si="17"/>
        <v>0</v>
      </c>
      <c r="L105" s="18">
        <f t="shared" si="11"/>
        <v>12.41</v>
      </c>
      <c r="M105" s="18">
        <f t="shared" si="18"/>
        <v>0</v>
      </c>
      <c r="N105" s="18">
        <f t="shared" si="12"/>
        <v>12.41</v>
      </c>
      <c r="O105" s="8"/>
    </row>
    <row r="106" spans="1:15" s="14" customFormat="1">
      <c r="A106" s="14" t="s">
        <v>96</v>
      </c>
      <c r="B106" s="15"/>
      <c r="C106" s="15">
        <v>1856000</v>
      </c>
      <c r="D106" s="15">
        <v>1864000</v>
      </c>
      <c r="E106" s="15">
        <v>0</v>
      </c>
      <c r="F106" s="15">
        <f t="shared" si="10"/>
        <v>8000</v>
      </c>
      <c r="G106" s="19">
        <f t="shared" si="13"/>
        <v>42.19</v>
      </c>
      <c r="H106" s="19">
        <f t="shared" si="14"/>
        <v>0</v>
      </c>
      <c r="I106" s="19">
        <f t="shared" si="15"/>
        <v>0</v>
      </c>
      <c r="J106" s="20">
        <f t="shared" si="16"/>
        <v>0</v>
      </c>
      <c r="K106" s="20">
        <f t="shared" si="17"/>
        <v>0</v>
      </c>
      <c r="L106" s="20">
        <f t="shared" si="11"/>
        <v>42.19</v>
      </c>
      <c r="M106" s="20">
        <f t="shared" si="18"/>
        <v>0</v>
      </c>
      <c r="N106" s="20">
        <f t="shared" si="12"/>
        <v>42.19</v>
      </c>
      <c r="O106" s="16"/>
    </row>
    <row r="107" spans="1:15">
      <c r="A107" s="1" t="s">
        <v>97</v>
      </c>
      <c r="B107" s="11" t="s">
        <v>138</v>
      </c>
      <c r="C107" s="11">
        <v>0</v>
      </c>
      <c r="D107" s="11">
        <v>0</v>
      </c>
      <c r="E107" s="11">
        <v>0</v>
      </c>
      <c r="F107" s="11">
        <f t="shared" si="10"/>
        <v>0</v>
      </c>
      <c r="G107" s="17">
        <f t="shared" si="13"/>
        <v>12.41</v>
      </c>
      <c r="H107" s="17">
        <f t="shared" si="14"/>
        <v>0</v>
      </c>
      <c r="I107" s="17">
        <f t="shared" si="15"/>
        <v>0</v>
      </c>
      <c r="J107" s="18">
        <f t="shared" si="16"/>
        <v>0</v>
      </c>
      <c r="K107" s="18">
        <f t="shared" si="17"/>
        <v>0</v>
      </c>
      <c r="L107" s="18">
        <f t="shared" si="11"/>
        <v>12.41</v>
      </c>
      <c r="M107" s="18">
        <f t="shared" si="18"/>
        <v>0</v>
      </c>
      <c r="N107" s="18">
        <f t="shared" si="12"/>
        <v>12.41</v>
      </c>
      <c r="O107" s="8"/>
    </row>
    <row r="108" spans="1:15">
      <c r="A108" s="1" t="s">
        <v>98</v>
      </c>
      <c r="B108" s="11" t="s">
        <v>138</v>
      </c>
      <c r="C108" s="11">
        <v>0</v>
      </c>
      <c r="D108" s="11">
        <v>0</v>
      </c>
      <c r="E108" s="11">
        <v>0</v>
      </c>
      <c r="F108" s="11">
        <f t="shared" si="10"/>
        <v>0</v>
      </c>
      <c r="G108" s="17">
        <f t="shared" si="13"/>
        <v>12.41</v>
      </c>
      <c r="H108" s="17">
        <f t="shared" si="14"/>
        <v>0</v>
      </c>
      <c r="I108" s="17">
        <f t="shared" si="15"/>
        <v>0</v>
      </c>
      <c r="J108" s="18">
        <f t="shared" si="16"/>
        <v>0</v>
      </c>
      <c r="K108" s="18">
        <f t="shared" si="17"/>
        <v>0</v>
      </c>
      <c r="L108" s="18">
        <f t="shared" si="11"/>
        <v>12.41</v>
      </c>
      <c r="M108" s="18">
        <f t="shared" si="18"/>
        <v>0</v>
      </c>
      <c r="N108" s="18">
        <f t="shared" si="12"/>
        <v>12.41</v>
      </c>
      <c r="O108" s="8"/>
    </row>
    <row r="109" spans="1:15">
      <c r="A109" s="1" t="s">
        <v>99</v>
      </c>
      <c r="B109" s="11"/>
      <c r="C109" s="11">
        <v>1675000</v>
      </c>
      <c r="D109" s="11">
        <v>1680000</v>
      </c>
      <c r="E109" s="11">
        <v>0</v>
      </c>
      <c r="F109" s="11">
        <f t="shared" si="10"/>
        <v>5000</v>
      </c>
      <c r="G109" s="17">
        <f t="shared" si="13"/>
        <v>42.19</v>
      </c>
      <c r="H109" s="17">
        <f t="shared" si="14"/>
        <v>0</v>
      </c>
      <c r="I109" s="17">
        <f t="shared" si="15"/>
        <v>0</v>
      </c>
      <c r="J109" s="18">
        <f t="shared" si="16"/>
        <v>0</v>
      </c>
      <c r="K109" s="18">
        <f t="shared" si="17"/>
        <v>0</v>
      </c>
      <c r="L109" s="18">
        <f t="shared" si="11"/>
        <v>42.19</v>
      </c>
      <c r="M109" s="18">
        <f t="shared" si="18"/>
        <v>0</v>
      </c>
      <c r="N109" s="18">
        <f t="shared" si="12"/>
        <v>42.19</v>
      </c>
      <c r="O109" s="8"/>
    </row>
    <row r="110" spans="1:15">
      <c r="A110" s="1" t="s">
        <v>100</v>
      </c>
      <c r="B110" s="11"/>
      <c r="C110" s="11">
        <v>529000</v>
      </c>
      <c r="D110" s="11">
        <v>535000</v>
      </c>
      <c r="E110" s="11">
        <v>0</v>
      </c>
      <c r="F110" s="11">
        <f t="shared" si="10"/>
        <v>6000</v>
      </c>
      <c r="G110" s="17">
        <f t="shared" si="13"/>
        <v>42.19</v>
      </c>
      <c r="H110" s="17">
        <f t="shared" si="14"/>
        <v>0</v>
      </c>
      <c r="I110" s="17">
        <f t="shared" si="15"/>
        <v>0</v>
      </c>
      <c r="J110" s="18">
        <f t="shared" si="16"/>
        <v>0</v>
      </c>
      <c r="K110" s="18">
        <f t="shared" si="17"/>
        <v>0</v>
      </c>
      <c r="L110" s="18">
        <f t="shared" si="11"/>
        <v>42.19</v>
      </c>
      <c r="M110" s="18">
        <f t="shared" si="18"/>
        <v>0</v>
      </c>
      <c r="N110" s="18">
        <f t="shared" si="12"/>
        <v>42.19</v>
      </c>
      <c r="O110" s="8"/>
    </row>
    <row r="111" spans="1:15">
      <c r="A111" s="1" t="s">
        <v>101</v>
      </c>
      <c r="B111" s="11"/>
      <c r="C111" s="11">
        <v>4556000</v>
      </c>
      <c r="D111" s="11">
        <v>4560000</v>
      </c>
      <c r="E111" s="11">
        <v>0</v>
      </c>
      <c r="F111" s="11">
        <f t="shared" si="10"/>
        <v>4000</v>
      </c>
      <c r="G111" s="17">
        <f t="shared" si="13"/>
        <v>42.19</v>
      </c>
      <c r="H111" s="17">
        <f t="shared" si="14"/>
        <v>0</v>
      </c>
      <c r="I111" s="17">
        <f t="shared" si="15"/>
        <v>0</v>
      </c>
      <c r="J111" s="18">
        <f t="shared" si="16"/>
        <v>0</v>
      </c>
      <c r="K111" s="18">
        <f t="shared" si="17"/>
        <v>0</v>
      </c>
      <c r="L111" s="18">
        <f t="shared" si="11"/>
        <v>42.19</v>
      </c>
      <c r="M111" s="18">
        <f t="shared" si="18"/>
        <v>0</v>
      </c>
      <c r="N111" s="18">
        <f t="shared" si="12"/>
        <v>42.19</v>
      </c>
      <c r="O111" s="8"/>
    </row>
    <row r="112" spans="1:15">
      <c r="A112" s="1" t="s">
        <v>102</v>
      </c>
      <c r="B112" s="11" t="s">
        <v>138</v>
      </c>
      <c r="C112" s="11">
        <v>0</v>
      </c>
      <c r="D112" s="11">
        <v>0</v>
      </c>
      <c r="E112" s="11">
        <v>0</v>
      </c>
      <c r="F112" s="11">
        <f t="shared" si="10"/>
        <v>0</v>
      </c>
      <c r="G112" s="17">
        <f t="shared" si="13"/>
        <v>12.41</v>
      </c>
      <c r="H112" s="17">
        <f t="shared" si="14"/>
        <v>0</v>
      </c>
      <c r="I112" s="17">
        <f t="shared" si="15"/>
        <v>0</v>
      </c>
      <c r="J112" s="18">
        <f t="shared" si="16"/>
        <v>0</v>
      </c>
      <c r="K112" s="18">
        <f t="shared" si="17"/>
        <v>0</v>
      </c>
      <c r="L112" s="18">
        <f t="shared" si="11"/>
        <v>12.41</v>
      </c>
      <c r="M112" s="18">
        <f t="shared" si="18"/>
        <v>0</v>
      </c>
      <c r="N112" s="18">
        <f t="shared" si="12"/>
        <v>12.41</v>
      </c>
      <c r="O112" s="8"/>
    </row>
    <row r="113" spans="1:15">
      <c r="A113" s="1" t="s">
        <v>103</v>
      </c>
      <c r="B113" s="11"/>
      <c r="C113" s="11">
        <v>1222000</v>
      </c>
      <c r="D113" s="11">
        <v>1237000</v>
      </c>
      <c r="E113" s="11">
        <v>0</v>
      </c>
      <c r="F113" s="11">
        <f t="shared" si="10"/>
        <v>15000</v>
      </c>
      <c r="G113" s="17">
        <f t="shared" si="13"/>
        <v>42.19</v>
      </c>
      <c r="H113" s="17">
        <f t="shared" si="14"/>
        <v>11.5</v>
      </c>
      <c r="I113" s="17">
        <f t="shared" si="15"/>
        <v>0</v>
      </c>
      <c r="J113" s="18">
        <f t="shared" si="16"/>
        <v>0</v>
      </c>
      <c r="K113" s="18">
        <f t="shared" si="17"/>
        <v>0</v>
      </c>
      <c r="L113" s="18">
        <f t="shared" si="11"/>
        <v>53.69</v>
      </c>
      <c r="M113" s="18">
        <f t="shared" ref="M113:M136" si="19">IF(   $H$5=1,    IF((F113-$H$6)&gt;0,((F113-$H$6)/$P$7)*$E$8,0),   IF(F113&gt;0,(F113/$P$4)*$E$8,0)    )</f>
        <v>0</v>
      </c>
      <c r="N113" s="18">
        <f t="shared" si="12"/>
        <v>53.69</v>
      </c>
      <c r="O113" s="8"/>
    </row>
    <row r="114" spans="1:15">
      <c r="A114" s="1" t="s">
        <v>104</v>
      </c>
      <c r="B114" s="11" t="s">
        <v>138</v>
      </c>
      <c r="C114" s="11">
        <v>0</v>
      </c>
      <c r="D114" s="11">
        <v>0</v>
      </c>
      <c r="E114" s="11">
        <v>0</v>
      </c>
      <c r="F114" s="11">
        <f t="shared" si="10"/>
        <v>0</v>
      </c>
      <c r="G114" s="17">
        <f t="shared" si="13"/>
        <v>12.41</v>
      </c>
      <c r="H114" s="17">
        <f t="shared" si="14"/>
        <v>0</v>
      </c>
      <c r="I114" s="17">
        <f t="shared" si="15"/>
        <v>0</v>
      </c>
      <c r="J114" s="18">
        <f t="shared" si="16"/>
        <v>0</v>
      </c>
      <c r="K114" s="18">
        <f t="shared" si="17"/>
        <v>0</v>
      </c>
      <c r="L114" s="18">
        <f t="shared" si="11"/>
        <v>12.41</v>
      </c>
      <c r="M114" s="18">
        <f t="shared" si="19"/>
        <v>0</v>
      </c>
      <c r="N114" s="18">
        <f t="shared" si="12"/>
        <v>12.41</v>
      </c>
      <c r="O114" s="8"/>
    </row>
    <row r="115" spans="1:15">
      <c r="A115" s="1" t="s">
        <v>105</v>
      </c>
      <c r="B115" s="11"/>
      <c r="C115" s="11">
        <v>1475000</v>
      </c>
      <c r="D115" s="11">
        <v>1485000</v>
      </c>
      <c r="E115" s="11">
        <v>0</v>
      </c>
      <c r="F115" s="11">
        <f t="shared" si="10"/>
        <v>10000</v>
      </c>
      <c r="G115" s="17">
        <f t="shared" si="13"/>
        <v>42.19</v>
      </c>
      <c r="H115" s="17">
        <f t="shared" si="14"/>
        <v>0</v>
      </c>
      <c r="I115" s="17">
        <f t="shared" si="15"/>
        <v>0</v>
      </c>
      <c r="J115" s="18">
        <f t="shared" si="16"/>
        <v>0</v>
      </c>
      <c r="K115" s="18">
        <f t="shared" si="17"/>
        <v>0</v>
      </c>
      <c r="L115" s="18">
        <f t="shared" si="11"/>
        <v>42.19</v>
      </c>
      <c r="M115" s="18">
        <f t="shared" si="19"/>
        <v>0</v>
      </c>
      <c r="N115" s="18">
        <f t="shared" si="12"/>
        <v>42.19</v>
      </c>
      <c r="O115" s="8"/>
    </row>
    <row r="116" spans="1:15">
      <c r="A116" s="1" t="s">
        <v>106</v>
      </c>
      <c r="B116" s="11"/>
      <c r="C116" s="11">
        <v>1794000</v>
      </c>
      <c r="D116" s="11">
        <v>1796000</v>
      </c>
      <c r="E116" s="11">
        <v>0</v>
      </c>
      <c r="F116" s="11">
        <f t="shared" si="10"/>
        <v>2000</v>
      </c>
      <c r="G116" s="17">
        <f t="shared" si="13"/>
        <v>42.19</v>
      </c>
      <c r="H116" s="17">
        <f t="shared" si="14"/>
        <v>0</v>
      </c>
      <c r="I116" s="17">
        <f t="shared" si="15"/>
        <v>0</v>
      </c>
      <c r="J116" s="18">
        <f t="shared" si="16"/>
        <v>0</v>
      </c>
      <c r="K116" s="18">
        <f t="shared" si="17"/>
        <v>0</v>
      </c>
      <c r="L116" s="18">
        <f t="shared" si="11"/>
        <v>42.19</v>
      </c>
      <c r="M116" s="18">
        <f t="shared" si="19"/>
        <v>0</v>
      </c>
      <c r="N116" s="18">
        <f t="shared" si="12"/>
        <v>42.19</v>
      </c>
      <c r="O116" s="8"/>
    </row>
    <row r="117" spans="1:15">
      <c r="A117" s="1" t="s">
        <v>107</v>
      </c>
      <c r="B117" s="11"/>
      <c r="C117" s="11">
        <v>329000</v>
      </c>
      <c r="D117" s="11">
        <v>331000</v>
      </c>
      <c r="E117" s="11">
        <v>0</v>
      </c>
      <c r="F117" s="11">
        <f t="shared" si="10"/>
        <v>2000</v>
      </c>
      <c r="G117" s="17">
        <f t="shared" si="13"/>
        <v>42.19</v>
      </c>
      <c r="H117" s="17">
        <f t="shared" si="14"/>
        <v>0</v>
      </c>
      <c r="I117" s="17">
        <f t="shared" si="15"/>
        <v>0</v>
      </c>
      <c r="J117" s="18">
        <f t="shared" si="16"/>
        <v>0</v>
      </c>
      <c r="K117" s="18">
        <f t="shared" si="17"/>
        <v>0</v>
      </c>
      <c r="L117" s="18">
        <f t="shared" si="11"/>
        <v>42.19</v>
      </c>
      <c r="M117" s="18">
        <f t="shared" si="19"/>
        <v>0</v>
      </c>
      <c r="N117" s="18">
        <f t="shared" si="12"/>
        <v>42.19</v>
      </c>
      <c r="O117" s="8"/>
    </row>
    <row r="118" spans="1:15">
      <c r="A118" s="1" t="s">
        <v>108</v>
      </c>
      <c r="B118" s="11"/>
      <c r="C118" s="11">
        <v>2609000</v>
      </c>
      <c r="D118" s="11">
        <v>2629000</v>
      </c>
      <c r="E118" s="11">
        <v>0</v>
      </c>
      <c r="F118" s="11">
        <f t="shared" si="10"/>
        <v>20000</v>
      </c>
      <c r="G118" s="17">
        <f t="shared" si="13"/>
        <v>42.19</v>
      </c>
      <c r="H118" s="17">
        <f t="shared" si="14"/>
        <v>23</v>
      </c>
      <c r="I118" s="17">
        <f t="shared" si="15"/>
        <v>0</v>
      </c>
      <c r="J118" s="18">
        <f t="shared" si="16"/>
        <v>0</v>
      </c>
      <c r="K118" s="18">
        <f t="shared" si="17"/>
        <v>0</v>
      </c>
      <c r="L118" s="18">
        <f t="shared" si="11"/>
        <v>65.19</v>
      </c>
      <c r="M118" s="18">
        <f t="shared" si="19"/>
        <v>0</v>
      </c>
      <c r="N118" s="18">
        <f t="shared" si="12"/>
        <v>65.19</v>
      </c>
      <c r="O118" s="8"/>
    </row>
    <row r="119" spans="1:15">
      <c r="A119" s="1" t="s">
        <v>109</v>
      </c>
      <c r="B119" s="11" t="s">
        <v>138</v>
      </c>
      <c r="C119" s="11">
        <v>0</v>
      </c>
      <c r="D119" s="11">
        <v>0</v>
      </c>
      <c r="E119" s="11">
        <v>0</v>
      </c>
      <c r="F119" s="11">
        <f t="shared" si="10"/>
        <v>0</v>
      </c>
      <c r="G119" s="17">
        <f t="shared" si="13"/>
        <v>12.41</v>
      </c>
      <c r="H119" s="17">
        <f t="shared" si="14"/>
        <v>0</v>
      </c>
      <c r="I119" s="17">
        <f t="shared" si="15"/>
        <v>0</v>
      </c>
      <c r="J119" s="18">
        <f t="shared" si="16"/>
        <v>0</v>
      </c>
      <c r="K119" s="18">
        <f t="shared" si="17"/>
        <v>0</v>
      </c>
      <c r="L119" s="18">
        <f t="shared" si="11"/>
        <v>12.41</v>
      </c>
      <c r="M119" s="18">
        <f t="shared" si="19"/>
        <v>0</v>
      </c>
      <c r="N119" s="18">
        <f t="shared" si="12"/>
        <v>12.41</v>
      </c>
      <c r="O119" s="8"/>
    </row>
    <row r="120" spans="1:15">
      <c r="A120" s="1" t="s">
        <v>110</v>
      </c>
      <c r="B120" s="11"/>
      <c r="C120" s="11">
        <v>3834000</v>
      </c>
      <c r="D120" s="11">
        <v>3846000</v>
      </c>
      <c r="E120" s="11">
        <v>0</v>
      </c>
      <c r="F120" s="11">
        <f t="shared" si="10"/>
        <v>12000</v>
      </c>
      <c r="G120" s="17">
        <f t="shared" si="13"/>
        <v>42.19</v>
      </c>
      <c r="H120" s="17">
        <f t="shared" si="14"/>
        <v>4.5999999999999996</v>
      </c>
      <c r="I120" s="17">
        <f t="shared" si="15"/>
        <v>0</v>
      </c>
      <c r="J120" s="18">
        <f t="shared" si="16"/>
        <v>0</v>
      </c>
      <c r="K120" s="18">
        <f t="shared" si="17"/>
        <v>0</v>
      </c>
      <c r="L120" s="18">
        <f t="shared" si="11"/>
        <v>46.79</v>
      </c>
      <c r="M120" s="18">
        <f t="shared" si="19"/>
        <v>0</v>
      </c>
      <c r="N120" s="18">
        <f t="shared" si="12"/>
        <v>46.79</v>
      </c>
      <c r="O120" s="8"/>
    </row>
    <row r="121" spans="1:15">
      <c r="A121" s="1" t="s">
        <v>111</v>
      </c>
      <c r="B121" s="11"/>
      <c r="C121" s="11">
        <v>3522000</v>
      </c>
      <c r="D121" s="11">
        <v>3537000</v>
      </c>
      <c r="E121" s="11">
        <v>0</v>
      </c>
      <c r="F121" s="11">
        <f t="shared" si="10"/>
        <v>15000</v>
      </c>
      <c r="G121" s="17">
        <f t="shared" si="13"/>
        <v>42.19</v>
      </c>
      <c r="H121" s="17">
        <f t="shared" si="14"/>
        <v>11.5</v>
      </c>
      <c r="I121" s="17">
        <f t="shared" si="15"/>
        <v>0</v>
      </c>
      <c r="J121" s="18">
        <f t="shared" si="16"/>
        <v>0</v>
      </c>
      <c r="K121" s="18">
        <f t="shared" si="17"/>
        <v>0</v>
      </c>
      <c r="L121" s="18">
        <f t="shared" si="11"/>
        <v>53.69</v>
      </c>
      <c r="M121" s="18">
        <f t="shared" si="19"/>
        <v>0</v>
      </c>
      <c r="N121" s="18">
        <f t="shared" si="12"/>
        <v>53.69</v>
      </c>
      <c r="O121" s="8"/>
    </row>
    <row r="122" spans="1:15">
      <c r="A122" s="1" t="s">
        <v>112</v>
      </c>
      <c r="B122" s="11"/>
      <c r="C122" s="11">
        <v>348000</v>
      </c>
      <c r="D122" s="11">
        <v>351000</v>
      </c>
      <c r="E122" s="11">
        <v>0</v>
      </c>
      <c r="F122" s="11">
        <f t="shared" si="10"/>
        <v>3000</v>
      </c>
      <c r="G122" s="17">
        <f t="shared" si="13"/>
        <v>42.19</v>
      </c>
      <c r="H122" s="17">
        <f t="shared" si="14"/>
        <v>0</v>
      </c>
      <c r="I122" s="17">
        <f t="shared" si="15"/>
        <v>0</v>
      </c>
      <c r="J122" s="18">
        <f t="shared" si="16"/>
        <v>0</v>
      </c>
      <c r="K122" s="18">
        <f t="shared" si="17"/>
        <v>0</v>
      </c>
      <c r="L122" s="18">
        <f t="shared" si="11"/>
        <v>42.19</v>
      </c>
      <c r="M122" s="18">
        <f t="shared" si="19"/>
        <v>0</v>
      </c>
      <c r="N122" s="18">
        <f t="shared" si="12"/>
        <v>42.19</v>
      </c>
      <c r="O122" s="8"/>
    </row>
    <row r="123" spans="1:15">
      <c r="A123" s="1" t="s">
        <v>113</v>
      </c>
      <c r="B123" s="11"/>
      <c r="C123" s="11">
        <v>1459000</v>
      </c>
      <c r="D123" s="11">
        <v>1472000</v>
      </c>
      <c r="E123" s="11">
        <v>0</v>
      </c>
      <c r="F123" s="11">
        <f t="shared" si="10"/>
        <v>13000</v>
      </c>
      <c r="G123" s="17">
        <f t="shared" si="13"/>
        <v>42.19</v>
      </c>
      <c r="H123" s="17">
        <f t="shared" si="14"/>
        <v>6.8999999999999995</v>
      </c>
      <c r="I123" s="17">
        <f t="shared" si="15"/>
        <v>0</v>
      </c>
      <c r="J123" s="18">
        <f t="shared" si="16"/>
        <v>0</v>
      </c>
      <c r="K123" s="18">
        <f t="shared" si="17"/>
        <v>0</v>
      </c>
      <c r="L123" s="18">
        <f t="shared" si="11"/>
        <v>49.089999999999996</v>
      </c>
      <c r="M123" s="18">
        <f t="shared" si="19"/>
        <v>0</v>
      </c>
      <c r="N123" s="18">
        <f t="shared" si="12"/>
        <v>49.089999999999996</v>
      </c>
      <c r="O123" s="8"/>
    </row>
    <row r="124" spans="1:15">
      <c r="A124" s="1" t="s">
        <v>114</v>
      </c>
      <c r="B124" s="11"/>
      <c r="C124" s="11">
        <v>2585000</v>
      </c>
      <c r="D124" s="11">
        <v>2587000</v>
      </c>
      <c r="E124" s="11">
        <v>0</v>
      </c>
      <c r="F124" s="11">
        <f t="shared" si="10"/>
        <v>2000</v>
      </c>
      <c r="G124" s="17">
        <f t="shared" si="13"/>
        <v>42.19</v>
      </c>
      <c r="H124" s="17">
        <f t="shared" si="14"/>
        <v>0</v>
      </c>
      <c r="I124" s="17">
        <f t="shared" si="15"/>
        <v>0</v>
      </c>
      <c r="J124" s="18">
        <f t="shared" si="16"/>
        <v>0</v>
      </c>
      <c r="K124" s="18">
        <f t="shared" si="17"/>
        <v>0</v>
      </c>
      <c r="L124" s="18">
        <f t="shared" si="11"/>
        <v>42.19</v>
      </c>
      <c r="M124" s="18">
        <f t="shared" si="19"/>
        <v>0</v>
      </c>
      <c r="N124" s="18">
        <f t="shared" si="12"/>
        <v>42.19</v>
      </c>
      <c r="O124" s="8"/>
    </row>
    <row r="125" spans="1:15">
      <c r="A125" s="1" t="s">
        <v>115</v>
      </c>
      <c r="B125" s="11"/>
      <c r="C125" s="11">
        <v>2501000</v>
      </c>
      <c r="D125" s="11">
        <v>2513000</v>
      </c>
      <c r="E125" s="11">
        <v>0</v>
      </c>
      <c r="F125" s="11">
        <f t="shared" si="10"/>
        <v>12000</v>
      </c>
      <c r="G125" s="17">
        <f t="shared" si="13"/>
        <v>42.19</v>
      </c>
      <c r="H125" s="17">
        <f t="shared" si="14"/>
        <v>4.5999999999999996</v>
      </c>
      <c r="I125" s="17">
        <f t="shared" si="15"/>
        <v>0</v>
      </c>
      <c r="J125" s="18">
        <f t="shared" si="16"/>
        <v>0</v>
      </c>
      <c r="K125" s="18">
        <f t="shared" si="17"/>
        <v>0</v>
      </c>
      <c r="L125" s="18">
        <f t="shared" si="11"/>
        <v>46.79</v>
      </c>
      <c r="M125" s="18">
        <f t="shared" si="19"/>
        <v>0</v>
      </c>
      <c r="N125" s="18">
        <f t="shared" si="12"/>
        <v>46.79</v>
      </c>
      <c r="O125" s="8"/>
    </row>
    <row r="126" spans="1:15">
      <c r="A126" s="1" t="s">
        <v>116</v>
      </c>
      <c r="B126" s="11"/>
      <c r="C126" s="11">
        <v>4263000</v>
      </c>
      <c r="D126" s="11">
        <v>4265000</v>
      </c>
      <c r="E126" s="11">
        <v>0</v>
      </c>
      <c r="F126" s="11">
        <f t="shared" si="10"/>
        <v>2000</v>
      </c>
      <c r="G126" s="17">
        <f t="shared" si="13"/>
        <v>42.19</v>
      </c>
      <c r="H126" s="17">
        <f t="shared" si="14"/>
        <v>0</v>
      </c>
      <c r="I126" s="17">
        <f t="shared" si="15"/>
        <v>0</v>
      </c>
      <c r="J126" s="18">
        <f t="shared" si="16"/>
        <v>0</v>
      </c>
      <c r="K126" s="18">
        <f t="shared" si="17"/>
        <v>0</v>
      </c>
      <c r="L126" s="18">
        <f t="shared" si="11"/>
        <v>42.19</v>
      </c>
      <c r="M126" s="18">
        <f t="shared" si="19"/>
        <v>0</v>
      </c>
      <c r="N126" s="18">
        <f t="shared" si="12"/>
        <v>42.19</v>
      </c>
      <c r="O126" s="8"/>
    </row>
    <row r="127" spans="1:15">
      <c r="A127" s="1" t="s">
        <v>117</v>
      </c>
      <c r="B127" s="11"/>
      <c r="C127" s="11">
        <v>1909000</v>
      </c>
      <c r="D127" s="11">
        <v>1913000</v>
      </c>
      <c r="E127" s="11">
        <v>0</v>
      </c>
      <c r="F127" s="11">
        <f t="shared" si="10"/>
        <v>4000</v>
      </c>
      <c r="G127" s="17">
        <f t="shared" si="13"/>
        <v>42.19</v>
      </c>
      <c r="H127" s="17">
        <f t="shared" si="14"/>
        <v>0</v>
      </c>
      <c r="I127" s="17">
        <f t="shared" si="15"/>
        <v>0</v>
      </c>
      <c r="J127" s="18">
        <f t="shared" si="16"/>
        <v>0</v>
      </c>
      <c r="K127" s="18">
        <f t="shared" si="17"/>
        <v>0</v>
      </c>
      <c r="L127" s="18">
        <f t="shared" si="11"/>
        <v>42.19</v>
      </c>
      <c r="M127" s="18">
        <f t="shared" si="19"/>
        <v>0</v>
      </c>
      <c r="N127" s="18">
        <f t="shared" si="12"/>
        <v>42.19</v>
      </c>
      <c r="O127" s="8"/>
    </row>
    <row r="128" spans="1:15">
      <c r="A128" s="1" t="s">
        <v>118</v>
      </c>
      <c r="B128" s="11"/>
      <c r="C128" s="11">
        <v>22000</v>
      </c>
      <c r="D128" s="11">
        <v>30000</v>
      </c>
      <c r="E128" s="11">
        <v>0</v>
      </c>
      <c r="F128" s="11">
        <f t="shared" si="10"/>
        <v>8000</v>
      </c>
      <c r="G128" s="17">
        <f t="shared" si="13"/>
        <v>42.19</v>
      </c>
      <c r="H128" s="17">
        <f t="shared" si="14"/>
        <v>0</v>
      </c>
      <c r="I128" s="17">
        <f t="shared" si="15"/>
        <v>0</v>
      </c>
      <c r="J128" s="18">
        <f t="shared" si="16"/>
        <v>0</v>
      </c>
      <c r="K128" s="18">
        <f t="shared" si="17"/>
        <v>0</v>
      </c>
      <c r="L128" s="18">
        <f t="shared" si="11"/>
        <v>42.19</v>
      </c>
      <c r="M128" s="18">
        <f t="shared" si="19"/>
        <v>0</v>
      </c>
      <c r="N128" s="18">
        <f t="shared" si="12"/>
        <v>42.19</v>
      </c>
      <c r="O128" s="8" t="s">
        <v>174</v>
      </c>
    </row>
    <row r="129" spans="1:15">
      <c r="A129" s="1" t="s">
        <v>119</v>
      </c>
      <c r="B129" s="11"/>
      <c r="C129" s="11">
        <v>6851000</v>
      </c>
      <c r="D129" s="11">
        <v>6861000</v>
      </c>
      <c r="E129" s="11">
        <v>0</v>
      </c>
      <c r="F129" s="11">
        <f t="shared" si="10"/>
        <v>10000</v>
      </c>
      <c r="G129" s="17">
        <f t="shared" si="13"/>
        <v>42.19</v>
      </c>
      <c r="H129" s="17">
        <f t="shared" si="14"/>
        <v>0</v>
      </c>
      <c r="I129" s="17">
        <f t="shared" si="15"/>
        <v>0</v>
      </c>
      <c r="J129" s="18">
        <f t="shared" si="16"/>
        <v>0</v>
      </c>
      <c r="K129" s="18">
        <f t="shared" si="17"/>
        <v>0</v>
      </c>
      <c r="L129" s="18">
        <f t="shared" si="11"/>
        <v>42.19</v>
      </c>
      <c r="M129" s="18">
        <f t="shared" si="19"/>
        <v>0</v>
      </c>
      <c r="N129" s="18">
        <f t="shared" si="12"/>
        <v>42.19</v>
      </c>
      <c r="O129" s="8"/>
    </row>
    <row r="130" spans="1:15">
      <c r="A130" s="1" t="s">
        <v>120</v>
      </c>
      <c r="B130" s="11"/>
      <c r="C130" s="11">
        <v>3701000</v>
      </c>
      <c r="D130" s="11">
        <v>3705000</v>
      </c>
      <c r="E130" s="11">
        <v>0</v>
      </c>
      <c r="F130" s="11">
        <f t="shared" si="10"/>
        <v>4000</v>
      </c>
      <c r="G130" s="17">
        <f t="shared" si="13"/>
        <v>42.19</v>
      </c>
      <c r="H130" s="17">
        <f t="shared" si="14"/>
        <v>0</v>
      </c>
      <c r="I130" s="17">
        <f t="shared" si="15"/>
        <v>0</v>
      </c>
      <c r="J130" s="18">
        <f t="shared" si="16"/>
        <v>0</v>
      </c>
      <c r="K130" s="18">
        <f t="shared" si="17"/>
        <v>0</v>
      </c>
      <c r="L130" s="18">
        <f t="shared" si="11"/>
        <v>42.19</v>
      </c>
      <c r="M130" s="18">
        <f t="shared" si="19"/>
        <v>0</v>
      </c>
      <c r="N130" s="18">
        <f t="shared" si="12"/>
        <v>42.19</v>
      </c>
      <c r="O130" s="8"/>
    </row>
    <row r="131" spans="1:15">
      <c r="A131" s="1" t="s">
        <v>121</v>
      </c>
      <c r="B131" s="11" t="s">
        <v>138</v>
      </c>
      <c r="C131" s="11">
        <v>0</v>
      </c>
      <c r="D131" s="11">
        <v>0</v>
      </c>
      <c r="E131" s="11">
        <v>0</v>
      </c>
      <c r="F131" s="11">
        <f t="shared" si="10"/>
        <v>0</v>
      </c>
      <c r="G131" s="17">
        <f t="shared" si="13"/>
        <v>12.41</v>
      </c>
      <c r="H131" s="17">
        <f t="shared" si="14"/>
        <v>0</v>
      </c>
      <c r="I131" s="17">
        <f t="shared" si="15"/>
        <v>0</v>
      </c>
      <c r="J131" s="18">
        <f t="shared" si="16"/>
        <v>0</v>
      </c>
      <c r="K131" s="18">
        <f t="shared" si="17"/>
        <v>0</v>
      </c>
      <c r="L131" s="18">
        <f t="shared" si="11"/>
        <v>12.41</v>
      </c>
      <c r="M131" s="18">
        <f t="shared" si="19"/>
        <v>0</v>
      </c>
      <c r="N131" s="18">
        <f t="shared" si="12"/>
        <v>12.41</v>
      </c>
      <c r="O131" s="8"/>
    </row>
    <row r="132" spans="1:15">
      <c r="A132" s="1" t="s">
        <v>122</v>
      </c>
      <c r="B132" s="11"/>
      <c r="C132" s="11">
        <v>1331000</v>
      </c>
      <c r="D132" s="11">
        <v>1345000</v>
      </c>
      <c r="E132" s="11">
        <v>0</v>
      </c>
      <c r="F132" s="11">
        <f t="shared" si="10"/>
        <v>14000</v>
      </c>
      <c r="G132" s="17">
        <f t="shared" si="13"/>
        <v>42.19</v>
      </c>
      <c r="H132" s="17">
        <f t="shared" si="14"/>
        <v>9.1999999999999993</v>
      </c>
      <c r="I132" s="17">
        <f t="shared" si="15"/>
        <v>0</v>
      </c>
      <c r="J132" s="18">
        <f t="shared" si="16"/>
        <v>0</v>
      </c>
      <c r="K132" s="18">
        <f t="shared" si="17"/>
        <v>0</v>
      </c>
      <c r="L132" s="18">
        <f t="shared" si="11"/>
        <v>51.39</v>
      </c>
      <c r="M132" s="18">
        <f t="shared" si="19"/>
        <v>0</v>
      </c>
      <c r="N132" s="18">
        <f t="shared" si="12"/>
        <v>51.39</v>
      </c>
      <c r="O132" s="8"/>
    </row>
    <row r="133" spans="1:15">
      <c r="A133" s="1" t="s">
        <v>123</v>
      </c>
      <c r="B133" s="11" t="s">
        <v>138</v>
      </c>
      <c r="C133" s="11">
        <v>0</v>
      </c>
      <c r="D133" s="11">
        <v>0</v>
      </c>
      <c r="E133" s="11">
        <v>0</v>
      </c>
      <c r="F133" s="11">
        <f t="shared" si="10"/>
        <v>0</v>
      </c>
      <c r="G133" s="17">
        <f t="shared" si="13"/>
        <v>12.41</v>
      </c>
      <c r="H133" s="17">
        <f t="shared" si="14"/>
        <v>0</v>
      </c>
      <c r="I133" s="17">
        <f t="shared" si="15"/>
        <v>0</v>
      </c>
      <c r="J133" s="18">
        <f t="shared" si="16"/>
        <v>0</v>
      </c>
      <c r="K133" s="18">
        <f t="shared" si="17"/>
        <v>0</v>
      </c>
      <c r="L133" s="18">
        <f t="shared" si="11"/>
        <v>12.41</v>
      </c>
      <c r="M133" s="18">
        <f t="shared" si="19"/>
        <v>0</v>
      </c>
      <c r="N133" s="18">
        <f t="shared" si="12"/>
        <v>12.41</v>
      </c>
      <c r="O133" s="8"/>
    </row>
    <row r="134" spans="1:15">
      <c r="A134" s="1" t="s">
        <v>124</v>
      </c>
      <c r="B134" s="11" t="s">
        <v>138</v>
      </c>
      <c r="C134" s="11">
        <v>0</v>
      </c>
      <c r="D134" s="11">
        <v>0</v>
      </c>
      <c r="E134" s="11">
        <v>0</v>
      </c>
      <c r="F134" s="11">
        <f t="shared" si="10"/>
        <v>0</v>
      </c>
      <c r="G134" s="17">
        <f t="shared" si="13"/>
        <v>12.41</v>
      </c>
      <c r="H134" s="17">
        <f t="shared" si="14"/>
        <v>0</v>
      </c>
      <c r="I134" s="17">
        <f t="shared" si="15"/>
        <v>0</v>
      </c>
      <c r="J134" s="18">
        <f t="shared" si="16"/>
        <v>0</v>
      </c>
      <c r="K134" s="18">
        <f t="shared" si="17"/>
        <v>0</v>
      </c>
      <c r="L134" s="18">
        <f t="shared" si="11"/>
        <v>12.41</v>
      </c>
      <c r="M134" s="18">
        <f t="shared" si="19"/>
        <v>0</v>
      </c>
      <c r="N134" s="18">
        <f t="shared" si="12"/>
        <v>12.41</v>
      </c>
      <c r="O134" s="8"/>
    </row>
    <row r="135" spans="1:15">
      <c r="A135" s="1" t="s">
        <v>125</v>
      </c>
      <c r="B135" s="11" t="s">
        <v>138</v>
      </c>
      <c r="C135" s="11">
        <v>0</v>
      </c>
      <c r="D135" s="11">
        <v>0</v>
      </c>
      <c r="E135" s="11">
        <v>0</v>
      </c>
      <c r="F135" s="11">
        <f t="shared" si="10"/>
        <v>0</v>
      </c>
      <c r="G135" s="17">
        <f t="shared" si="13"/>
        <v>12.41</v>
      </c>
      <c r="H135" s="17">
        <f t="shared" si="14"/>
        <v>0</v>
      </c>
      <c r="I135" s="17">
        <f t="shared" si="15"/>
        <v>0</v>
      </c>
      <c r="J135" s="18">
        <f t="shared" si="16"/>
        <v>0</v>
      </c>
      <c r="K135" s="18">
        <f t="shared" si="17"/>
        <v>0</v>
      </c>
      <c r="L135" s="18">
        <f t="shared" si="11"/>
        <v>12.41</v>
      </c>
      <c r="M135" s="18">
        <f t="shared" si="19"/>
        <v>0</v>
      </c>
      <c r="N135" s="18">
        <f t="shared" si="12"/>
        <v>12.41</v>
      </c>
      <c r="O135" s="8"/>
    </row>
    <row r="136" spans="1:15">
      <c r="A136" s="1" t="s">
        <v>126</v>
      </c>
      <c r="B136" s="11"/>
      <c r="C136" s="11">
        <v>1041000</v>
      </c>
      <c r="D136" s="11">
        <v>1057000</v>
      </c>
      <c r="E136" s="11">
        <v>0</v>
      </c>
      <c r="F136" s="11">
        <f t="shared" si="10"/>
        <v>16000</v>
      </c>
      <c r="G136" s="17">
        <f t="shared" si="13"/>
        <v>42.19</v>
      </c>
      <c r="H136" s="17">
        <f t="shared" si="14"/>
        <v>13.799999999999999</v>
      </c>
      <c r="I136" s="17">
        <f t="shared" si="15"/>
        <v>0</v>
      </c>
      <c r="J136" s="18">
        <f t="shared" si="16"/>
        <v>0</v>
      </c>
      <c r="K136" s="18">
        <f t="shared" si="17"/>
        <v>0</v>
      </c>
      <c r="L136" s="18">
        <f t="shared" si="11"/>
        <v>55.989999999999995</v>
      </c>
      <c r="M136" s="18">
        <f t="shared" si="19"/>
        <v>0</v>
      </c>
      <c r="N136" s="18">
        <f t="shared" si="12"/>
        <v>55.989999999999995</v>
      </c>
      <c r="O136" s="8"/>
    </row>
    <row r="137" spans="1:15">
      <c r="B137" s="11"/>
      <c r="C137" s="11"/>
      <c r="D137" s="11"/>
      <c r="E137" s="11"/>
      <c r="F137" s="11"/>
      <c r="G137" s="17"/>
      <c r="H137" s="17"/>
      <c r="I137" s="17"/>
      <c r="J137" s="18"/>
      <c r="K137" s="18"/>
      <c r="L137" s="18"/>
      <c r="M137" s="18"/>
      <c r="N137" s="18"/>
      <c r="O137" s="8"/>
    </row>
    <row r="138" spans="1:15">
      <c r="J138" s="1" t="s">
        <v>136</v>
      </c>
      <c r="M138" s="27">
        <f>SUM(M11:M136)</f>
        <v>0</v>
      </c>
      <c r="N138" s="5">
        <f>SUM(N11:N136)</f>
        <v>8488.0399999999845</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2037000</v>
      </c>
      <c r="G140" s="75">
        <f t="shared" si="20"/>
        <v>4416.4499999999989</v>
      </c>
      <c r="H140" s="75">
        <f t="shared" si="20"/>
        <v>750.38</v>
      </c>
      <c r="I140" s="75">
        <f t="shared" si="20"/>
        <v>301.70999999999998</v>
      </c>
      <c r="J140" s="75">
        <f t="shared" si="20"/>
        <v>251.1</v>
      </c>
      <c r="K140" s="75">
        <f t="shared" si="20"/>
        <v>2768.4</v>
      </c>
      <c r="L140" s="75">
        <f t="shared" si="20"/>
        <v>8488.0399999999845</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0</v>
      </c>
      <c r="G143" s="25">
        <f>SUM(G18:G130)-G145</f>
        <v>3459.5800000000027</v>
      </c>
      <c r="H143" s="80">
        <f>SUM(H18:H130)-H145</f>
        <v>420.90000000000009</v>
      </c>
      <c r="I143" s="25">
        <f>SUM(I18:I130)-I145</f>
        <v>194.90999999999997</v>
      </c>
      <c r="J143" s="25">
        <f>SUM(J18:J130)-J145</f>
        <v>127.1</v>
      </c>
      <c r="K143" s="25">
        <f>SUM(K18:K130)-K145</f>
        <v>2073.6000000000004</v>
      </c>
      <c r="L143" s="25">
        <f>SUM(F143:K143)</f>
        <v>6276.0900000000029</v>
      </c>
      <c r="M143" s="1"/>
    </row>
    <row r="144" spans="1:15" customFormat="1">
      <c r="A144" t="s">
        <v>255</v>
      </c>
      <c r="D144">
        <v>8</v>
      </c>
      <c r="E144" s="25">
        <f>SUM(M11:M15)+M17+SUM(M131:M136)</f>
        <v>0</v>
      </c>
      <c r="G144" s="34">
        <f>SUM(G11:G15)+G17+G132+G136</f>
        <v>337.52</v>
      </c>
      <c r="H144" s="34">
        <f>SUM(H11:H15)+H17+H132+H136</f>
        <v>126.5</v>
      </c>
      <c r="I144" s="34">
        <f>SUM(I11:I15)+I17+I132+I136</f>
        <v>106.8</v>
      </c>
      <c r="J144" s="34">
        <f>SUM(J11:J15)+J17+J132+J136</f>
        <v>124</v>
      </c>
      <c r="K144" s="34">
        <f>SUM(K11:K15)+K17+K132+K136</f>
        <v>694.80000000000007</v>
      </c>
      <c r="L144" s="25">
        <f t="shared" ref="L144:L147" si="21">SUM(F144:K144)</f>
        <v>1389.62</v>
      </c>
      <c r="M144" s="1"/>
    </row>
    <row r="145" spans="1:13" customFormat="1">
      <c r="A145" t="s">
        <v>260</v>
      </c>
      <c r="D145">
        <v>31</v>
      </c>
      <c r="E145" s="25">
        <v>0</v>
      </c>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384.71000000000021</v>
      </c>
      <c r="M145" s="1"/>
    </row>
    <row r="146" spans="1:13" customFormat="1">
      <c r="A146" t="s">
        <v>261</v>
      </c>
      <c r="D146">
        <v>4</v>
      </c>
      <c r="E146" s="25">
        <v>0</v>
      </c>
      <c r="G146" s="25">
        <f>G135+G134+G133+G131</f>
        <v>49.64</v>
      </c>
      <c r="H146" s="25">
        <f>H135+H134+H133+H131</f>
        <v>0</v>
      </c>
      <c r="I146" s="25">
        <f>I135+I134+I133+I131</f>
        <v>0</v>
      </c>
      <c r="J146" s="25">
        <f>J135+J134+J133+J131</f>
        <v>0</v>
      </c>
      <c r="K146" s="25">
        <f>K135+K134+K133+K131</f>
        <v>0</v>
      </c>
      <c r="L146" s="25">
        <f t="shared" si="21"/>
        <v>49.64</v>
      </c>
      <c r="M146" s="1"/>
    </row>
    <row r="147" spans="1:13" customFormat="1">
      <c r="A147" t="s">
        <v>253</v>
      </c>
      <c r="D147">
        <v>1</v>
      </c>
      <c r="E147" s="25">
        <f>M16</f>
        <v>0</v>
      </c>
      <c r="G147" s="25">
        <f>G16</f>
        <v>185</v>
      </c>
      <c r="H147" s="25">
        <f>H16</f>
        <v>202.98</v>
      </c>
      <c r="I147" s="25">
        <f>I16</f>
        <v>0</v>
      </c>
      <c r="J147" s="25">
        <f>J16</f>
        <v>0</v>
      </c>
      <c r="K147" s="25">
        <f>K16</f>
        <v>0</v>
      </c>
      <c r="L147" s="25">
        <f t="shared" si="21"/>
        <v>387.98</v>
      </c>
      <c r="M147" s="1"/>
    </row>
    <row r="148" spans="1:13" customFormat="1" ht="15.75" thickBot="1">
      <c r="B148" t="s">
        <v>257</v>
      </c>
      <c r="D148" s="73">
        <f>SUM(D143:D147)</f>
        <v>126</v>
      </c>
      <c r="E148" s="74">
        <f>SUM(E143:E147)</f>
        <v>0</v>
      </c>
      <c r="F148" s="73"/>
      <c r="G148" s="74">
        <f t="shared" ref="G148:L148" si="22">SUM(G143:G147)</f>
        <v>4416.4500000000035</v>
      </c>
      <c r="H148" s="74">
        <f t="shared" si="22"/>
        <v>750.38000000000011</v>
      </c>
      <c r="I148" s="74">
        <f t="shared" si="22"/>
        <v>301.70999999999998</v>
      </c>
      <c r="J148" s="74">
        <f t="shared" si="22"/>
        <v>251.1</v>
      </c>
      <c r="K148" s="74">
        <f t="shared" si="22"/>
        <v>2768.4000000000005</v>
      </c>
      <c r="L148" s="74">
        <f t="shared" si="22"/>
        <v>8488.0400000000027</v>
      </c>
      <c r="M148" s="1"/>
    </row>
    <row r="149" spans="1:13" customFormat="1" ht="15.75" thickTop="1">
      <c r="D149" s="78"/>
      <c r="E149" s="78"/>
      <c r="F149" s="78"/>
      <c r="G149" s="79"/>
      <c r="H149" s="79"/>
      <c r="I149" s="79"/>
      <c r="J149" s="79"/>
      <c r="K149" s="79"/>
      <c r="L149" s="79"/>
      <c r="M149" s="1"/>
    </row>
    <row r="150" spans="1:13" customFormat="1">
      <c r="A150" t="s">
        <v>262</v>
      </c>
      <c r="D150" s="75"/>
      <c r="E150" s="81">
        <v>0</v>
      </c>
      <c r="F150" s="75"/>
      <c r="G150" s="81">
        <f>F140-G151-G152-(SUM(H153:K153))</f>
        <v>564000</v>
      </c>
      <c r="H150" s="81">
        <f>H143/2.3*1000</f>
        <v>183000.00000000006</v>
      </c>
      <c r="I150" s="81">
        <f>I143/2.67*1000</f>
        <v>72999.999999999985</v>
      </c>
      <c r="J150" s="81">
        <f>J143/3.1*1000</f>
        <v>41000</v>
      </c>
      <c r="K150" s="81">
        <f>K143/3.6*1000</f>
        <v>576000.00000000012</v>
      </c>
      <c r="L150" s="81">
        <f>SUM(G150:K150)</f>
        <v>1437000</v>
      </c>
      <c r="M150" s="1"/>
    </row>
    <row r="151" spans="1:13" customFormat="1">
      <c r="A151" t="s">
        <v>263</v>
      </c>
      <c r="D151" s="75"/>
      <c r="E151" s="81">
        <v>0</v>
      </c>
      <c r="F151" s="75"/>
      <c r="G151" s="81">
        <f>(SUM(F11:F15)+F17+SUM(F131:F136)-H151-I151-J151-K151)</f>
        <v>70000</v>
      </c>
      <c r="H151" s="81">
        <f>H144/2.3*1000</f>
        <v>55000.000000000007</v>
      </c>
      <c r="I151" s="81">
        <f>I144/2.67*1000</f>
        <v>40000</v>
      </c>
      <c r="J151" s="81">
        <f>J144/3.1*1000</f>
        <v>40000</v>
      </c>
      <c r="K151" s="81">
        <f>K144/3.6*1000</f>
        <v>193000</v>
      </c>
      <c r="L151" s="81">
        <f>SUM(G151:K151)</f>
        <v>398000</v>
      </c>
      <c r="M151" s="1"/>
    </row>
    <row r="152" spans="1:13" customFormat="1">
      <c r="A152" t="s">
        <v>264</v>
      </c>
      <c r="D152" s="75"/>
      <c r="E152" s="81">
        <v>0</v>
      </c>
      <c r="F152" s="75"/>
      <c r="G152" s="81">
        <f>IF(F16&gt;100000,100000,F16)</f>
        <v>100000</v>
      </c>
      <c r="H152" s="81">
        <f>H147/1.99*1000</f>
        <v>102000</v>
      </c>
      <c r="I152" s="81" t="s">
        <v>259</v>
      </c>
      <c r="J152" s="81" t="s">
        <v>259</v>
      </c>
      <c r="K152" s="81" t="s">
        <v>259</v>
      </c>
      <c r="L152" s="81">
        <f>SUM(G152:K152)</f>
        <v>202000</v>
      </c>
      <c r="M152" s="1"/>
    </row>
    <row r="153" spans="1:13" customFormat="1" ht="15.75" thickBot="1">
      <c r="B153" t="s">
        <v>265</v>
      </c>
      <c r="D153" s="77"/>
      <c r="E153" s="82">
        <f>SUM(E150:E152)</f>
        <v>0</v>
      </c>
      <c r="F153" s="77"/>
      <c r="G153" s="82">
        <f>G150+G151+G152</f>
        <v>734000</v>
      </c>
      <c r="H153" s="82">
        <f>SUM(H150:H152)</f>
        <v>340000.00000000006</v>
      </c>
      <c r="I153" s="82">
        <f>SUM(I150:I152)</f>
        <v>112999.99999999999</v>
      </c>
      <c r="J153" s="82">
        <f>SUM(J150:J152)</f>
        <v>81000</v>
      </c>
      <c r="K153" s="82">
        <f>SUM(K150:K152)</f>
        <v>769000.00000000012</v>
      </c>
      <c r="L153" s="82">
        <f>SUM(L150:L152)</f>
        <v>2037000</v>
      </c>
      <c r="M153" s="1"/>
    </row>
    <row r="154" spans="1:13" ht="15.75" thickTop="1">
      <c r="E154" s="1" t="s">
        <v>274</v>
      </c>
    </row>
    <row r="155" spans="1:13">
      <c r="E155" s="75" t="s">
        <v>275</v>
      </c>
    </row>
    <row r="156" spans="1:13">
      <c r="E156" s="75" t="s">
        <v>273</v>
      </c>
    </row>
    <row r="157" spans="1:13">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O168"/>
  <sheetViews>
    <sheetView zoomScale="40" zoomScaleNormal="40" zoomScalePageLayoutView="10" workbookViewId="0"/>
  </sheetViews>
  <sheetFormatPr defaultRowHeight="15"/>
  <cols>
    <col min="1" max="1" width="13.140625" style="1" customWidth="1"/>
    <col min="2" max="2" width="11.4257812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23">
        <v>40969</v>
      </c>
      <c r="D4" s="1" t="s">
        <v>146</v>
      </c>
      <c r="G4" s="1" t="s">
        <v>156</v>
      </c>
      <c r="K4" s="1" t="s">
        <v>149</v>
      </c>
      <c r="N4" s="1">
        <f>SUM(F11:F136)</f>
        <v>937000</v>
      </c>
    </row>
    <row r="5" spans="1:15">
      <c r="A5" s="1" t="s">
        <v>165</v>
      </c>
      <c r="B5" s="24">
        <v>40998</v>
      </c>
      <c r="D5" s="1" t="s">
        <v>144</v>
      </c>
      <c r="G5" s="1" t="s">
        <v>155</v>
      </c>
      <c r="H5" s="1">
        <v>0</v>
      </c>
      <c r="K5" s="1" t="s">
        <v>154</v>
      </c>
      <c r="N5" s="1">
        <f>N4-F16</f>
        <v>756000</v>
      </c>
    </row>
    <row r="6" spans="1:15">
      <c r="B6" s="4"/>
      <c r="D6" s="1" t="s">
        <v>145</v>
      </c>
      <c r="G6" s="1" t="s">
        <v>158</v>
      </c>
      <c r="H6" s="1">
        <v>35000</v>
      </c>
      <c r="K6" s="1" t="s">
        <v>160</v>
      </c>
      <c r="N6" s="1">
        <f>SUMIF(F11:F15,"&gt;" &amp; $H$6)+SUMIF(F17:F136,"&gt;" &amp; $H$6)+SUMIF(F16,"&gt;" &amp; $H$7)</f>
        <v>399000</v>
      </c>
    </row>
    <row r="7" spans="1:15">
      <c r="B7" s="4"/>
      <c r="D7" s="1" t="s">
        <v>150</v>
      </c>
      <c r="E7" s="12">
        <f>E6-E5</f>
        <v>0</v>
      </c>
      <c r="G7" s="1" t="s">
        <v>159</v>
      </c>
      <c r="H7" s="12">
        <v>100000</v>
      </c>
      <c r="K7" s="1" t="s">
        <v>161</v>
      </c>
      <c r="N7" s="1">
        <f>(SUMIF(F11:F15,"&gt;" &amp; $H$6)-(COUNTIF(F11:F15,"&gt;" &amp; $H$6)*$H$6))+(SUMIF(F17:F136,"&gt;" &amp; $H$6)-(COUNTIF(F17:F136,"&gt;" &amp; $H$6)*$H$6))+(SUMIF(F16,"&gt;" &amp; $H$7)-(COUNTIF(F16,"&gt;" &amp; $H$7)*$H$7))</f>
        <v>159000</v>
      </c>
    </row>
    <row r="8" spans="1:15">
      <c r="D8" s="1" t="s">
        <v>147</v>
      </c>
      <c r="E8" s="25">
        <v>0</v>
      </c>
      <c r="H8" s="6"/>
    </row>
    <row r="10" spans="1:15">
      <c r="A10" s="7" t="s">
        <v>0</v>
      </c>
      <c r="B10" s="10" t="s">
        <v>137</v>
      </c>
      <c r="C10" s="13" t="s">
        <v>177</v>
      </c>
      <c r="D10" s="26" t="s">
        <v>172</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7771000</v>
      </c>
      <c r="D11" s="11">
        <v>7992000</v>
      </c>
      <c r="E11" s="11">
        <v>0</v>
      </c>
      <c r="F11" s="84">
        <f t="shared" ref="F11:F42" si="0">ROUNDUP((($D11-$C11)+$E11)/3,-3)</f>
        <v>74000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116.28</v>
      </c>
      <c r="L11" s="18">
        <f>SUM(G11:K11)</f>
        <v>232.97</v>
      </c>
      <c r="M11" s="18">
        <f>IF(   $H$5=1,    IF((F11-$H$6)&gt;0,((F11-$H$6)/$N$7)*$E$8,0),   IF(F11&gt;0,(F11/$N$4)*$E$8,0)    )</f>
        <v>0</v>
      </c>
      <c r="N11" s="18">
        <f>SUM(L11:M11)</f>
        <v>232.97</v>
      </c>
      <c r="O11" s="8"/>
    </row>
    <row r="12" spans="1:15">
      <c r="A12" s="1" t="s">
        <v>2</v>
      </c>
      <c r="B12" s="11"/>
      <c r="C12" s="11">
        <v>6677000</v>
      </c>
      <c r="D12" s="11">
        <v>6836000</v>
      </c>
      <c r="E12" s="11">
        <v>0</v>
      </c>
      <c r="F12" s="84">
        <f t="shared" si="0"/>
        <v>53000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44.46</v>
      </c>
      <c r="L12" s="18">
        <f t="shared" ref="L12:L75" si="1">SUM(G12:K12)</f>
        <v>161.15</v>
      </c>
      <c r="M12" s="18">
        <f>IF(   $H$5=1,    IF((F12-$H$6)&gt;0,((F12-$H$6)/$N$7)*$E$8,0),   IF(F12&gt;0,(F12/$N$4)*$E$8,0)    )</f>
        <v>0</v>
      </c>
      <c r="N12" s="18">
        <f t="shared" ref="N12:N75" si="2">SUM(L12:M12)</f>
        <v>161.15</v>
      </c>
      <c r="O12" s="8"/>
    </row>
    <row r="13" spans="1:15">
      <c r="A13" s="1" t="s">
        <v>3</v>
      </c>
      <c r="B13" s="11"/>
      <c r="C13" s="11">
        <v>0</v>
      </c>
      <c r="D13" s="11">
        <v>0</v>
      </c>
      <c r="E13" s="11">
        <v>0</v>
      </c>
      <c r="F13" s="84">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3358000</v>
      </c>
      <c r="D14" s="11">
        <v>3485000</v>
      </c>
      <c r="E14" s="11">
        <v>0</v>
      </c>
      <c r="F14" s="84">
        <f t="shared" si="0"/>
        <v>43000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10.26</v>
      </c>
      <c r="L14" s="18">
        <f t="shared" si="1"/>
        <v>126.95</v>
      </c>
      <c r="M14" s="18">
        <f>IF(   $H$5=1,    IF((F14-$H$6)&gt;0,((F14-$H$6)/$N$7)*$E$8,0),   IF(F14&gt;0,(F14/$N$4)*$E$8,0)    )</f>
        <v>0</v>
      </c>
      <c r="N14" s="18">
        <f t="shared" si="2"/>
        <v>126.95</v>
      </c>
      <c r="O14" s="8"/>
    </row>
    <row r="15" spans="1:15">
      <c r="A15" s="1" t="s">
        <v>5</v>
      </c>
      <c r="B15" s="11"/>
      <c r="C15" s="11">
        <v>2280000</v>
      </c>
      <c r="D15" s="11">
        <v>2424000</v>
      </c>
      <c r="E15" s="11">
        <v>0</v>
      </c>
      <c r="F15" s="84">
        <f t="shared" si="0"/>
        <v>48000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27.36</v>
      </c>
      <c r="L15" s="18">
        <f t="shared" si="1"/>
        <v>144.05000000000001</v>
      </c>
      <c r="M15" s="18">
        <f>IF(   $H$5=1,    IF((F15-$H$6)&gt;0,((F15-$H$6)/$N$7)*$E$8,0),   IF(F15&gt;0,(F15/$N$4)*$E$8,0)    )</f>
        <v>0</v>
      </c>
      <c r="N15" s="18">
        <f t="shared" si="2"/>
        <v>144.05000000000001</v>
      </c>
      <c r="O15" s="8"/>
    </row>
    <row r="16" spans="1:15">
      <c r="A16" s="1" t="s">
        <v>6</v>
      </c>
      <c r="B16" s="11"/>
      <c r="C16" s="11">
        <v>25128000</v>
      </c>
      <c r="D16" s="11">
        <v>25670000</v>
      </c>
      <c r="E16" s="11">
        <v>0</v>
      </c>
      <c r="F16" s="84">
        <f t="shared" si="0"/>
        <v>181000</v>
      </c>
      <c r="G16" s="17">
        <v>176</v>
      </c>
      <c r="H16" s="17">
        <f>IF(($F16-100000)&gt;=0,($F16-100000)/1000*1.89,0)</f>
        <v>153.09</v>
      </c>
      <c r="I16" s="17"/>
      <c r="J16" s="18"/>
      <c r="K16" s="18"/>
      <c r="L16" s="18">
        <f t="shared" si="1"/>
        <v>329.09000000000003</v>
      </c>
      <c r="M16" s="18">
        <f>IF(   $H$5=1,     IF((F16-$H$7)&gt;0,((F16-$H$7)/$N$7)*$E$8,0),   IF(F16&gt;0,(F16/$N$4)*$E$8,0)    )</f>
        <v>0</v>
      </c>
      <c r="N16" s="18">
        <f t="shared" si="2"/>
        <v>329.09000000000003</v>
      </c>
      <c r="O16" s="8" t="s">
        <v>133</v>
      </c>
    </row>
    <row r="17" spans="1:15">
      <c r="A17" s="1" t="s">
        <v>7</v>
      </c>
      <c r="B17" s="11"/>
      <c r="C17" s="11">
        <v>550000</v>
      </c>
      <c r="D17" s="11">
        <v>589000</v>
      </c>
      <c r="E17" s="11">
        <v>0</v>
      </c>
      <c r="F17" s="84">
        <f t="shared" si="0"/>
        <v>13000</v>
      </c>
      <c r="G17" s="17">
        <f t="shared" ref="G17:G80" si="3">IF(OR($F17&gt;0,$B17=""),40.09,11.79)</f>
        <v>40.090000000000003</v>
      </c>
      <c r="H17" s="17">
        <f t="shared" ref="H17:H80" si="4">IF(AND((($F17-10000)&gt;=0),(($F17-10000)&lt;= 10000)),($F17-10000)/1000*2.18,IF(($F17-10000)&gt;=10000,2.18*10,0))</f>
        <v>6.5400000000000009</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46.63</v>
      </c>
      <c r="M17" s="18">
        <f t="shared" ref="M17:M48" si="8">IF(   $H$5=1,    IF((F17-$H$6)&gt;0,((F17-$H$6)/$N$7)*$E$8,0),   IF(F17&gt;0,(F17/$N$4)*$E$8,0)    )</f>
        <v>0</v>
      </c>
      <c r="N17" s="18">
        <f t="shared" si="2"/>
        <v>46.63</v>
      </c>
      <c r="O17" s="8"/>
    </row>
    <row r="18" spans="1:15">
      <c r="A18" s="1" t="s">
        <v>8</v>
      </c>
      <c r="B18" s="11"/>
      <c r="C18" s="11">
        <v>2218000</v>
      </c>
      <c r="D18" s="11">
        <v>2218000</v>
      </c>
      <c r="E18" s="11">
        <v>32000</v>
      </c>
      <c r="F18" s="84">
        <f t="shared" si="0"/>
        <v>11000</v>
      </c>
      <c r="G18" s="17">
        <f t="shared" si="3"/>
        <v>40.090000000000003</v>
      </c>
      <c r="H18" s="17">
        <f t="shared" si="4"/>
        <v>2.1800000000000002</v>
      </c>
      <c r="I18" s="17">
        <f t="shared" si="5"/>
        <v>0</v>
      </c>
      <c r="J18" s="18">
        <f t="shared" si="6"/>
        <v>0</v>
      </c>
      <c r="K18" s="18">
        <f t="shared" si="7"/>
        <v>0</v>
      </c>
      <c r="L18" s="18">
        <f t="shared" si="1"/>
        <v>42.27</v>
      </c>
      <c r="M18" s="18">
        <f t="shared" si="8"/>
        <v>0</v>
      </c>
      <c r="N18" s="18">
        <f t="shared" si="2"/>
        <v>42.27</v>
      </c>
      <c r="O18" s="8" t="s">
        <v>174</v>
      </c>
    </row>
    <row r="19" spans="1:15">
      <c r="A19" s="1" t="s">
        <v>9</v>
      </c>
      <c r="B19" s="11"/>
      <c r="C19" s="11">
        <v>227000</v>
      </c>
      <c r="D19" s="11">
        <v>280000</v>
      </c>
      <c r="E19" s="11">
        <v>0</v>
      </c>
      <c r="F19" s="84">
        <f t="shared" si="0"/>
        <v>18000</v>
      </c>
      <c r="G19" s="17">
        <f t="shared" si="3"/>
        <v>40.090000000000003</v>
      </c>
      <c r="H19" s="17">
        <f t="shared" si="4"/>
        <v>17.440000000000001</v>
      </c>
      <c r="I19" s="17">
        <f t="shared" si="5"/>
        <v>0</v>
      </c>
      <c r="J19" s="18">
        <f t="shared" si="6"/>
        <v>0</v>
      </c>
      <c r="K19" s="18">
        <f t="shared" si="7"/>
        <v>0</v>
      </c>
      <c r="L19" s="18">
        <f t="shared" si="1"/>
        <v>57.53</v>
      </c>
      <c r="M19" s="18">
        <f t="shared" si="8"/>
        <v>0</v>
      </c>
      <c r="N19" s="18">
        <f t="shared" si="2"/>
        <v>57.53</v>
      </c>
      <c r="O19" s="8"/>
    </row>
    <row r="20" spans="1:15">
      <c r="A20" s="1" t="s">
        <v>10</v>
      </c>
      <c r="B20" s="11"/>
      <c r="C20" s="11">
        <v>1529000</v>
      </c>
      <c r="D20" s="11">
        <v>1559000</v>
      </c>
      <c r="E20" s="11">
        <v>0</v>
      </c>
      <c r="F20" s="84">
        <f t="shared" si="0"/>
        <v>10000</v>
      </c>
      <c r="G20" s="17">
        <f t="shared" si="3"/>
        <v>40.090000000000003</v>
      </c>
      <c r="H20" s="17">
        <f t="shared" si="4"/>
        <v>0</v>
      </c>
      <c r="I20" s="17">
        <f t="shared" si="5"/>
        <v>0</v>
      </c>
      <c r="J20" s="18">
        <f t="shared" si="6"/>
        <v>0</v>
      </c>
      <c r="K20" s="18">
        <f t="shared" si="7"/>
        <v>0</v>
      </c>
      <c r="L20" s="18">
        <f t="shared" si="1"/>
        <v>40.090000000000003</v>
      </c>
      <c r="M20" s="18">
        <f t="shared" si="8"/>
        <v>0</v>
      </c>
      <c r="N20" s="18">
        <f t="shared" si="2"/>
        <v>40.090000000000003</v>
      </c>
      <c r="O20" s="8"/>
    </row>
    <row r="21" spans="1:15">
      <c r="A21" s="1" t="s">
        <v>11</v>
      </c>
      <c r="B21" s="11"/>
      <c r="C21" s="11">
        <v>1980000</v>
      </c>
      <c r="D21" s="11">
        <v>2012000</v>
      </c>
      <c r="E21" s="11">
        <v>0</v>
      </c>
      <c r="F21" s="84">
        <f t="shared" si="0"/>
        <v>11000</v>
      </c>
      <c r="G21" s="17">
        <f t="shared" si="3"/>
        <v>40.090000000000003</v>
      </c>
      <c r="H21" s="17">
        <f t="shared" si="4"/>
        <v>2.1800000000000002</v>
      </c>
      <c r="I21" s="17">
        <f t="shared" si="5"/>
        <v>0</v>
      </c>
      <c r="J21" s="18">
        <f t="shared" si="6"/>
        <v>0</v>
      </c>
      <c r="K21" s="18">
        <f t="shared" si="7"/>
        <v>0</v>
      </c>
      <c r="L21" s="18">
        <f t="shared" si="1"/>
        <v>42.27</v>
      </c>
      <c r="M21" s="18">
        <f t="shared" si="8"/>
        <v>0</v>
      </c>
      <c r="N21" s="18">
        <f t="shared" si="2"/>
        <v>42.27</v>
      </c>
      <c r="O21" s="8"/>
    </row>
    <row r="22" spans="1:15">
      <c r="A22" s="1" t="s">
        <v>12</v>
      </c>
      <c r="B22" s="11"/>
      <c r="C22" s="11">
        <v>2238000</v>
      </c>
      <c r="D22" s="11">
        <v>2257000</v>
      </c>
      <c r="E22" s="11">
        <v>0</v>
      </c>
      <c r="F22" s="84">
        <f t="shared" si="0"/>
        <v>7000</v>
      </c>
      <c r="G22" s="17">
        <f t="shared" si="3"/>
        <v>40.090000000000003</v>
      </c>
      <c r="H22" s="17">
        <f t="shared" si="4"/>
        <v>0</v>
      </c>
      <c r="I22" s="17">
        <f t="shared" si="5"/>
        <v>0</v>
      </c>
      <c r="J22" s="18">
        <f t="shared" si="6"/>
        <v>0</v>
      </c>
      <c r="K22" s="18">
        <f t="shared" si="7"/>
        <v>0</v>
      </c>
      <c r="L22" s="18">
        <f t="shared" si="1"/>
        <v>40.090000000000003</v>
      </c>
      <c r="M22" s="18">
        <f t="shared" si="8"/>
        <v>0</v>
      </c>
      <c r="N22" s="18">
        <f t="shared" si="2"/>
        <v>40.090000000000003</v>
      </c>
      <c r="O22" s="8"/>
    </row>
    <row r="23" spans="1:15">
      <c r="A23" s="1" t="s">
        <v>13</v>
      </c>
      <c r="B23" s="11" t="s">
        <v>138</v>
      </c>
      <c r="C23" s="11">
        <v>0</v>
      </c>
      <c r="D23" s="11">
        <v>0</v>
      </c>
      <c r="E23" s="11">
        <v>0</v>
      </c>
      <c r="F23" s="84">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6412000</v>
      </c>
      <c r="D24" s="11">
        <v>6425000</v>
      </c>
      <c r="E24" s="11">
        <v>0</v>
      </c>
      <c r="F24" s="84">
        <f t="shared" si="0"/>
        <v>5000</v>
      </c>
      <c r="G24" s="17">
        <f t="shared" si="3"/>
        <v>40.090000000000003</v>
      </c>
      <c r="H24" s="17">
        <f t="shared" si="4"/>
        <v>0</v>
      </c>
      <c r="I24" s="17">
        <f t="shared" si="5"/>
        <v>0</v>
      </c>
      <c r="J24" s="18">
        <f t="shared" si="6"/>
        <v>0</v>
      </c>
      <c r="K24" s="18">
        <f t="shared" si="7"/>
        <v>0</v>
      </c>
      <c r="L24" s="18">
        <f t="shared" si="1"/>
        <v>40.090000000000003</v>
      </c>
      <c r="M24" s="18">
        <f t="shared" si="8"/>
        <v>0</v>
      </c>
      <c r="N24" s="18">
        <f t="shared" si="2"/>
        <v>40.090000000000003</v>
      </c>
      <c r="O24" s="8"/>
    </row>
    <row r="25" spans="1:15">
      <c r="A25" s="1" t="s">
        <v>15</v>
      </c>
      <c r="B25" s="11"/>
      <c r="C25" s="11">
        <v>2666000</v>
      </c>
      <c r="D25" s="11">
        <v>2675000</v>
      </c>
      <c r="E25" s="11">
        <v>0</v>
      </c>
      <c r="F25" s="84">
        <f t="shared" si="0"/>
        <v>3000</v>
      </c>
      <c r="G25" s="17">
        <f t="shared" si="3"/>
        <v>40.090000000000003</v>
      </c>
      <c r="H25" s="17">
        <f t="shared" si="4"/>
        <v>0</v>
      </c>
      <c r="I25" s="17">
        <f t="shared" si="5"/>
        <v>0</v>
      </c>
      <c r="J25" s="18">
        <f t="shared" si="6"/>
        <v>0</v>
      </c>
      <c r="K25" s="18">
        <f>IF((($F25-40000)&gt;=0),($F25-40000)/1000*3.42,0)</f>
        <v>0</v>
      </c>
      <c r="L25" s="18">
        <f t="shared" si="1"/>
        <v>40.090000000000003</v>
      </c>
      <c r="M25" s="18">
        <f t="shared" si="8"/>
        <v>0</v>
      </c>
      <c r="N25" s="18">
        <f t="shared" si="2"/>
        <v>40.090000000000003</v>
      </c>
      <c r="O25" s="8"/>
    </row>
    <row r="26" spans="1:15">
      <c r="A26" s="1" t="s">
        <v>16</v>
      </c>
      <c r="B26" s="11"/>
      <c r="C26" s="11">
        <v>1585000</v>
      </c>
      <c r="D26" s="11">
        <v>1593000</v>
      </c>
      <c r="E26" s="11">
        <v>0</v>
      </c>
      <c r="F26" s="84">
        <f t="shared" si="0"/>
        <v>3000</v>
      </c>
      <c r="G26" s="17">
        <f t="shared" si="3"/>
        <v>40.090000000000003</v>
      </c>
      <c r="H26" s="17">
        <f t="shared" si="4"/>
        <v>0</v>
      </c>
      <c r="I26" s="17">
        <f t="shared" si="5"/>
        <v>0</v>
      </c>
      <c r="J26" s="18">
        <f t="shared" si="6"/>
        <v>0</v>
      </c>
      <c r="K26" s="18">
        <f t="shared" si="7"/>
        <v>0</v>
      </c>
      <c r="L26" s="18">
        <f t="shared" si="1"/>
        <v>40.090000000000003</v>
      </c>
      <c r="M26" s="18">
        <f t="shared" si="8"/>
        <v>0</v>
      </c>
      <c r="N26" s="18">
        <f t="shared" si="2"/>
        <v>40.090000000000003</v>
      </c>
      <c r="O26" s="8"/>
    </row>
    <row r="27" spans="1:15">
      <c r="A27" s="1" t="s">
        <v>17</v>
      </c>
      <c r="B27" s="11"/>
      <c r="C27" s="11">
        <v>1176000</v>
      </c>
      <c r="D27" s="11">
        <v>1193000</v>
      </c>
      <c r="E27" s="11">
        <v>0</v>
      </c>
      <c r="F27" s="84">
        <f t="shared" si="0"/>
        <v>6000</v>
      </c>
      <c r="G27" s="17">
        <f t="shared" si="3"/>
        <v>40.090000000000003</v>
      </c>
      <c r="H27" s="17">
        <f t="shared" si="4"/>
        <v>0</v>
      </c>
      <c r="I27" s="17">
        <f t="shared" si="5"/>
        <v>0</v>
      </c>
      <c r="J27" s="18">
        <f t="shared" si="6"/>
        <v>0</v>
      </c>
      <c r="K27" s="18">
        <f t="shared" si="7"/>
        <v>0</v>
      </c>
      <c r="L27" s="18">
        <f t="shared" si="1"/>
        <v>40.090000000000003</v>
      </c>
      <c r="M27" s="18">
        <f t="shared" si="8"/>
        <v>0</v>
      </c>
      <c r="N27" s="18">
        <f t="shared" si="2"/>
        <v>40.090000000000003</v>
      </c>
      <c r="O27" s="8"/>
    </row>
    <row r="28" spans="1:15">
      <c r="A28" s="1" t="s">
        <v>18</v>
      </c>
      <c r="B28" s="11"/>
      <c r="C28" s="11">
        <v>4038000</v>
      </c>
      <c r="D28" s="11">
        <v>4058000</v>
      </c>
      <c r="E28" s="11">
        <v>0</v>
      </c>
      <c r="F28" s="84">
        <f t="shared" si="0"/>
        <v>7000</v>
      </c>
      <c r="G28" s="17">
        <f t="shared" si="3"/>
        <v>40.090000000000003</v>
      </c>
      <c r="H28" s="17">
        <f t="shared" si="4"/>
        <v>0</v>
      </c>
      <c r="I28" s="17">
        <f t="shared" si="5"/>
        <v>0</v>
      </c>
      <c r="J28" s="18">
        <f t="shared" si="6"/>
        <v>0</v>
      </c>
      <c r="K28" s="18">
        <f t="shared" si="7"/>
        <v>0</v>
      </c>
      <c r="L28" s="18">
        <f t="shared" si="1"/>
        <v>40.090000000000003</v>
      </c>
      <c r="M28" s="18">
        <f t="shared" si="8"/>
        <v>0</v>
      </c>
      <c r="N28" s="18">
        <f t="shared" si="2"/>
        <v>40.090000000000003</v>
      </c>
      <c r="O28" s="8"/>
    </row>
    <row r="29" spans="1:15">
      <c r="A29" s="1" t="s">
        <v>19</v>
      </c>
      <c r="B29" s="11"/>
      <c r="C29" s="11">
        <v>1169000</v>
      </c>
      <c r="D29" s="11">
        <v>1182000</v>
      </c>
      <c r="E29" s="11">
        <v>0</v>
      </c>
      <c r="F29" s="84">
        <f t="shared" si="0"/>
        <v>5000</v>
      </c>
      <c r="G29" s="17">
        <f t="shared" si="3"/>
        <v>40.090000000000003</v>
      </c>
      <c r="H29" s="17">
        <f t="shared" si="4"/>
        <v>0</v>
      </c>
      <c r="I29" s="17">
        <f t="shared" si="5"/>
        <v>0</v>
      </c>
      <c r="J29" s="18">
        <f t="shared" si="6"/>
        <v>0</v>
      </c>
      <c r="K29" s="18">
        <f t="shared" si="7"/>
        <v>0</v>
      </c>
      <c r="L29" s="18">
        <f t="shared" si="1"/>
        <v>40.090000000000003</v>
      </c>
      <c r="M29" s="18">
        <f t="shared" si="8"/>
        <v>0</v>
      </c>
      <c r="N29" s="18">
        <f t="shared" si="2"/>
        <v>40.090000000000003</v>
      </c>
      <c r="O29" s="8"/>
    </row>
    <row r="30" spans="1:15">
      <c r="A30" s="1" t="s">
        <v>20</v>
      </c>
      <c r="B30" s="11"/>
      <c r="C30" s="11">
        <v>2219000</v>
      </c>
      <c r="D30" s="11">
        <v>2228000</v>
      </c>
      <c r="E30" s="11">
        <v>0</v>
      </c>
      <c r="F30" s="84">
        <f t="shared" si="0"/>
        <v>3000</v>
      </c>
      <c r="G30" s="17">
        <f t="shared" si="3"/>
        <v>40.090000000000003</v>
      </c>
      <c r="H30" s="17">
        <f t="shared" si="4"/>
        <v>0</v>
      </c>
      <c r="I30" s="17">
        <f t="shared" si="5"/>
        <v>0</v>
      </c>
      <c r="J30" s="18">
        <f t="shared" si="6"/>
        <v>0</v>
      </c>
      <c r="K30" s="18">
        <f t="shared" si="7"/>
        <v>0</v>
      </c>
      <c r="L30" s="18">
        <f t="shared" si="1"/>
        <v>40.090000000000003</v>
      </c>
      <c r="M30" s="18">
        <f t="shared" si="8"/>
        <v>0</v>
      </c>
      <c r="N30" s="18">
        <f t="shared" si="2"/>
        <v>40.090000000000003</v>
      </c>
      <c r="O30" s="8"/>
    </row>
    <row r="31" spans="1:15">
      <c r="A31" s="1" t="s">
        <v>21</v>
      </c>
      <c r="B31" s="11" t="s">
        <v>138</v>
      </c>
      <c r="C31" s="11">
        <v>0</v>
      </c>
      <c r="D31" s="11">
        <v>0</v>
      </c>
      <c r="E31" s="11">
        <v>0</v>
      </c>
      <c r="F31" s="84">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635000</v>
      </c>
      <c r="D32" s="11">
        <v>667000</v>
      </c>
      <c r="E32" s="11">
        <v>0</v>
      </c>
      <c r="F32" s="84">
        <f t="shared" si="0"/>
        <v>11000</v>
      </c>
      <c r="G32" s="17">
        <f t="shared" si="3"/>
        <v>40.090000000000003</v>
      </c>
      <c r="H32" s="17">
        <f t="shared" si="4"/>
        <v>2.1800000000000002</v>
      </c>
      <c r="I32" s="17">
        <f t="shared" si="5"/>
        <v>0</v>
      </c>
      <c r="J32" s="18">
        <f t="shared" si="6"/>
        <v>0</v>
      </c>
      <c r="K32" s="18">
        <f t="shared" si="7"/>
        <v>0</v>
      </c>
      <c r="L32" s="18">
        <f t="shared" si="1"/>
        <v>42.27</v>
      </c>
      <c r="M32" s="18">
        <f t="shared" si="8"/>
        <v>0</v>
      </c>
      <c r="N32" s="18">
        <f t="shared" si="2"/>
        <v>42.27</v>
      </c>
      <c r="O32" s="8"/>
    </row>
    <row r="33" spans="1:15">
      <c r="A33" s="1" t="s">
        <v>23</v>
      </c>
      <c r="B33" s="11" t="s">
        <v>138</v>
      </c>
      <c r="C33" s="11">
        <v>0</v>
      </c>
      <c r="D33" s="11">
        <v>0</v>
      </c>
      <c r="E33" s="11">
        <v>0</v>
      </c>
      <c r="F33" s="84">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84">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2401000</v>
      </c>
      <c r="D35" s="11">
        <v>2444000</v>
      </c>
      <c r="E35" s="11">
        <v>0</v>
      </c>
      <c r="F35" s="84">
        <f t="shared" si="0"/>
        <v>15000</v>
      </c>
      <c r="G35" s="17">
        <f t="shared" si="3"/>
        <v>40.090000000000003</v>
      </c>
      <c r="H35" s="17">
        <f t="shared" si="4"/>
        <v>10.9</v>
      </c>
      <c r="I35" s="17">
        <f t="shared" si="5"/>
        <v>0</v>
      </c>
      <c r="J35" s="18">
        <f t="shared" si="6"/>
        <v>0</v>
      </c>
      <c r="K35" s="18">
        <f t="shared" si="7"/>
        <v>0</v>
      </c>
      <c r="L35" s="18">
        <f t="shared" si="1"/>
        <v>50.99</v>
      </c>
      <c r="M35" s="18">
        <f t="shared" si="8"/>
        <v>0</v>
      </c>
      <c r="N35" s="18">
        <f t="shared" si="2"/>
        <v>50.99</v>
      </c>
      <c r="O35" s="8"/>
    </row>
    <row r="36" spans="1:15">
      <c r="A36" s="1" t="s">
        <v>26</v>
      </c>
      <c r="B36" s="11"/>
      <c r="C36" s="11">
        <v>371000</v>
      </c>
      <c r="D36" s="11">
        <v>391000</v>
      </c>
      <c r="E36" s="11">
        <v>0</v>
      </c>
      <c r="F36" s="84">
        <f t="shared" si="0"/>
        <v>7000</v>
      </c>
      <c r="G36" s="17">
        <f t="shared" si="3"/>
        <v>40.090000000000003</v>
      </c>
      <c r="H36" s="17">
        <f t="shared" si="4"/>
        <v>0</v>
      </c>
      <c r="I36" s="17">
        <f t="shared" si="5"/>
        <v>0</v>
      </c>
      <c r="J36" s="18">
        <f t="shared" si="6"/>
        <v>0</v>
      </c>
      <c r="K36" s="18">
        <f t="shared" si="7"/>
        <v>0</v>
      </c>
      <c r="L36" s="18">
        <f t="shared" si="1"/>
        <v>40.090000000000003</v>
      </c>
      <c r="M36" s="18">
        <f t="shared" si="8"/>
        <v>0</v>
      </c>
      <c r="N36" s="18">
        <f t="shared" si="2"/>
        <v>40.090000000000003</v>
      </c>
      <c r="O36" s="8"/>
    </row>
    <row r="37" spans="1:15">
      <c r="A37" s="1" t="s">
        <v>27</v>
      </c>
      <c r="B37" s="11"/>
      <c r="C37" s="11">
        <v>2135000</v>
      </c>
      <c r="D37" s="11">
        <v>2148000</v>
      </c>
      <c r="E37" s="11">
        <v>0</v>
      </c>
      <c r="F37" s="84">
        <f t="shared" si="0"/>
        <v>5000</v>
      </c>
      <c r="G37" s="17">
        <f t="shared" si="3"/>
        <v>40.090000000000003</v>
      </c>
      <c r="H37" s="17">
        <f t="shared" si="4"/>
        <v>0</v>
      </c>
      <c r="I37" s="17">
        <f t="shared" si="5"/>
        <v>0</v>
      </c>
      <c r="J37" s="18">
        <f t="shared" si="6"/>
        <v>0</v>
      </c>
      <c r="K37" s="18">
        <f t="shared" si="7"/>
        <v>0</v>
      </c>
      <c r="L37" s="18">
        <f t="shared" si="1"/>
        <v>40.090000000000003</v>
      </c>
      <c r="M37" s="18">
        <f t="shared" si="8"/>
        <v>0</v>
      </c>
      <c r="N37" s="18">
        <f t="shared" si="2"/>
        <v>40.090000000000003</v>
      </c>
      <c r="O37" s="8"/>
    </row>
    <row r="38" spans="1:15">
      <c r="A38" s="1" t="s">
        <v>28</v>
      </c>
      <c r="B38" s="11"/>
      <c r="C38" s="11">
        <v>1354000</v>
      </c>
      <c r="D38" s="11">
        <v>1376000</v>
      </c>
      <c r="E38" s="11">
        <v>0</v>
      </c>
      <c r="F38" s="84">
        <f t="shared" si="0"/>
        <v>8000</v>
      </c>
      <c r="G38" s="17">
        <f t="shared" si="3"/>
        <v>40.090000000000003</v>
      </c>
      <c r="H38" s="17">
        <f t="shared" si="4"/>
        <v>0</v>
      </c>
      <c r="I38" s="17">
        <f t="shared" si="5"/>
        <v>0</v>
      </c>
      <c r="J38" s="18">
        <f t="shared" si="6"/>
        <v>0</v>
      </c>
      <c r="K38" s="18">
        <f t="shared" si="7"/>
        <v>0</v>
      </c>
      <c r="L38" s="18">
        <f t="shared" si="1"/>
        <v>40.090000000000003</v>
      </c>
      <c r="M38" s="18">
        <f t="shared" si="8"/>
        <v>0</v>
      </c>
      <c r="N38" s="18">
        <f t="shared" si="2"/>
        <v>40.090000000000003</v>
      </c>
      <c r="O38" s="8"/>
    </row>
    <row r="39" spans="1:15">
      <c r="A39" s="1" t="s">
        <v>29</v>
      </c>
      <c r="B39" s="11" t="s">
        <v>138</v>
      </c>
      <c r="C39" s="11">
        <v>0</v>
      </c>
      <c r="D39" s="11">
        <v>0</v>
      </c>
      <c r="E39" s="11">
        <v>0</v>
      </c>
      <c r="F39" s="84">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84">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519000</v>
      </c>
      <c r="D41" s="11">
        <v>529000</v>
      </c>
      <c r="E41" s="11">
        <v>0</v>
      </c>
      <c r="F41" s="84">
        <f t="shared" si="0"/>
        <v>4000</v>
      </c>
      <c r="G41" s="17">
        <f t="shared" si="3"/>
        <v>40.090000000000003</v>
      </c>
      <c r="H41" s="17">
        <f t="shared" si="4"/>
        <v>0</v>
      </c>
      <c r="I41" s="17">
        <f t="shared" si="5"/>
        <v>0</v>
      </c>
      <c r="J41" s="18">
        <f t="shared" si="6"/>
        <v>0</v>
      </c>
      <c r="K41" s="18">
        <f t="shared" si="7"/>
        <v>0</v>
      </c>
      <c r="L41" s="18">
        <f t="shared" si="1"/>
        <v>40.090000000000003</v>
      </c>
      <c r="M41" s="18">
        <f t="shared" si="8"/>
        <v>0</v>
      </c>
      <c r="N41" s="18">
        <f t="shared" si="2"/>
        <v>40.090000000000003</v>
      </c>
      <c r="O41" s="8"/>
    </row>
    <row r="42" spans="1:15">
      <c r="A42" s="1" t="s">
        <v>32</v>
      </c>
      <c r="B42" s="11"/>
      <c r="C42" s="11">
        <v>3880000</v>
      </c>
      <c r="D42" s="11">
        <v>3890000</v>
      </c>
      <c r="E42" s="11">
        <v>0</v>
      </c>
      <c r="F42" s="84">
        <f t="shared" si="0"/>
        <v>4000</v>
      </c>
      <c r="G42" s="17">
        <f t="shared" si="3"/>
        <v>40.090000000000003</v>
      </c>
      <c r="H42" s="17">
        <f t="shared" si="4"/>
        <v>0</v>
      </c>
      <c r="I42" s="17">
        <f t="shared" si="5"/>
        <v>0</v>
      </c>
      <c r="J42" s="18">
        <f t="shared" si="6"/>
        <v>0</v>
      </c>
      <c r="K42" s="18">
        <f t="shared" si="7"/>
        <v>0</v>
      </c>
      <c r="L42" s="18">
        <f t="shared" si="1"/>
        <v>40.090000000000003</v>
      </c>
      <c r="M42" s="18">
        <f t="shared" si="8"/>
        <v>0</v>
      </c>
      <c r="N42" s="18">
        <f t="shared" si="2"/>
        <v>40.090000000000003</v>
      </c>
      <c r="O42" s="8"/>
    </row>
    <row r="43" spans="1:15">
      <c r="A43" s="1" t="s">
        <v>33</v>
      </c>
      <c r="B43" s="11"/>
      <c r="C43" s="11">
        <v>1187000</v>
      </c>
      <c r="D43" s="11">
        <v>1197000</v>
      </c>
      <c r="E43" s="11">
        <v>0</v>
      </c>
      <c r="F43" s="84">
        <f t="shared" ref="F43:F74" si="9">ROUNDUP((($D43-$C43)+$E43)/3,-3)</f>
        <v>4000</v>
      </c>
      <c r="G43" s="17">
        <f t="shared" si="3"/>
        <v>40.090000000000003</v>
      </c>
      <c r="H43" s="17">
        <f t="shared" si="4"/>
        <v>0</v>
      </c>
      <c r="I43" s="17">
        <f t="shared" si="5"/>
        <v>0</v>
      </c>
      <c r="J43" s="18">
        <f t="shared" si="6"/>
        <v>0</v>
      </c>
      <c r="K43" s="18">
        <f t="shared" si="7"/>
        <v>0</v>
      </c>
      <c r="L43" s="18">
        <f t="shared" si="1"/>
        <v>40.090000000000003</v>
      </c>
      <c r="M43" s="18">
        <f t="shared" si="8"/>
        <v>0</v>
      </c>
      <c r="N43" s="18">
        <f t="shared" si="2"/>
        <v>40.090000000000003</v>
      </c>
      <c r="O43" s="8"/>
    </row>
    <row r="44" spans="1:15">
      <c r="A44" s="1" t="s">
        <v>34</v>
      </c>
      <c r="B44" s="11"/>
      <c r="C44" s="11">
        <v>224000</v>
      </c>
      <c r="D44" s="11">
        <v>257000</v>
      </c>
      <c r="E44" s="11">
        <v>0</v>
      </c>
      <c r="F44" s="84">
        <f t="shared" si="9"/>
        <v>11000</v>
      </c>
      <c r="G44" s="17">
        <f t="shared" si="3"/>
        <v>40.090000000000003</v>
      </c>
      <c r="H44" s="17">
        <f t="shared" si="4"/>
        <v>2.1800000000000002</v>
      </c>
      <c r="I44" s="17">
        <f t="shared" si="5"/>
        <v>0</v>
      </c>
      <c r="J44" s="18">
        <f t="shared" si="6"/>
        <v>0</v>
      </c>
      <c r="K44" s="18">
        <f t="shared" si="7"/>
        <v>0</v>
      </c>
      <c r="L44" s="18">
        <f t="shared" si="1"/>
        <v>42.27</v>
      </c>
      <c r="M44" s="18">
        <f t="shared" si="8"/>
        <v>0</v>
      </c>
      <c r="N44" s="18">
        <f t="shared" si="2"/>
        <v>42.27</v>
      </c>
      <c r="O44" s="8" t="s">
        <v>175</v>
      </c>
    </row>
    <row r="45" spans="1:15">
      <c r="A45" s="1" t="s">
        <v>35</v>
      </c>
      <c r="B45" s="11"/>
      <c r="C45" s="11">
        <v>1534000</v>
      </c>
      <c r="D45" s="11">
        <v>1592000</v>
      </c>
      <c r="E45" s="11">
        <v>0</v>
      </c>
      <c r="F45" s="84">
        <f t="shared" si="9"/>
        <v>20000</v>
      </c>
      <c r="G45" s="17">
        <f t="shared" si="3"/>
        <v>40.090000000000003</v>
      </c>
      <c r="H45" s="17">
        <f t="shared" si="4"/>
        <v>21.8</v>
      </c>
      <c r="I45" s="17">
        <f t="shared" si="5"/>
        <v>0</v>
      </c>
      <c r="J45" s="18">
        <f t="shared" si="6"/>
        <v>0</v>
      </c>
      <c r="K45" s="18">
        <f t="shared" si="7"/>
        <v>0</v>
      </c>
      <c r="L45" s="18">
        <f t="shared" si="1"/>
        <v>61.89</v>
      </c>
      <c r="M45" s="18">
        <f t="shared" si="8"/>
        <v>0</v>
      </c>
      <c r="N45" s="18">
        <f t="shared" si="2"/>
        <v>61.89</v>
      </c>
      <c r="O45" s="8"/>
    </row>
    <row r="46" spans="1:15">
      <c r="A46" s="1" t="s">
        <v>36</v>
      </c>
      <c r="B46" s="11"/>
      <c r="C46" s="11">
        <v>1596000</v>
      </c>
      <c r="D46" s="11">
        <v>1603000</v>
      </c>
      <c r="E46" s="11">
        <v>0</v>
      </c>
      <c r="F46" s="84">
        <f t="shared" si="9"/>
        <v>3000</v>
      </c>
      <c r="G46" s="17">
        <f t="shared" si="3"/>
        <v>40.090000000000003</v>
      </c>
      <c r="H46" s="17">
        <f t="shared" si="4"/>
        <v>0</v>
      </c>
      <c r="I46" s="17">
        <f t="shared" si="5"/>
        <v>0</v>
      </c>
      <c r="J46" s="18">
        <f t="shared" si="6"/>
        <v>0</v>
      </c>
      <c r="K46" s="18">
        <f t="shared" si="7"/>
        <v>0</v>
      </c>
      <c r="L46" s="18">
        <f t="shared" si="1"/>
        <v>40.090000000000003</v>
      </c>
      <c r="M46" s="18">
        <f t="shared" si="8"/>
        <v>0</v>
      </c>
      <c r="N46" s="18">
        <f t="shared" si="2"/>
        <v>40.090000000000003</v>
      </c>
      <c r="O46" s="8"/>
    </row>
    <row r="47" spans="1:15">
      <c r="A47" s="1" t="s">
        <v>37</v>
      </c>
      <c r="B47" s="11"/>
      <c r="C47" s="11">
        <v>1896000</v>
      </c>
      <c r="D47" s="11">
        <v>1918000</v>
      </c>
      <c r="E47" s="11">
        <v>0</v>
      </c>
      <c r="F47" s="84">
        <f t="shared" si="9"/>
        <v>8000</v>
      </c>
      <c r="G47" s="17">
        <f t="shared" si="3"/>
        <v>40.090000000000003</v>
      </c>
      <c r="H47" s="17">
        <f t="shared" si="4"/>
        <v>0</v>
      </c>
      <c r="I47" s="17">
        <f t="shared" si="5"/>
        <v>0</v>
      </c>
      <c r="J47" s="18">
        <f t="shared" si="6"/>
        <v>0</v>
      </c>
      <c r="K47" s="18">
        <f t="shared" si="7"/>
        <v>0</v>
      </c>
      <c r="L47" s="18">
        <f t="shared" si="1"/>
        <v>40.090000000000003</v>
      </c>
      <c r="M47" s="18">
        <f t="shared" si="8"/>
        <v>0</v>
      </c>
      <c r="N47" s="18">
        <f t="shared" si="2"/>
        <v>40.090000000000003</v>
      </c>
      <c r="O47" s="8"/>
    </row>
    <row r="48" spans="1:15">
      <c r="A48" s="1" t="s">
        <v>38</v>
      </c>
      <c r="B48" s="11"/>
      <c r="C48" s="11">
        <v>1703000</v>
      </c>
      <c r="D48" s="11">
        <v>1731000</v>
      </c>
      <c r="E48" s="11">
        <v>0</v>
      </c>
      <c r="F48" s="84">
        <f t="shared" si="9"/>
        <v>10000</v>
      </c>
      <c r="G48" s="17">
        <f t="shared" si="3"/>
        <v>40.090000000000003</v>
      </c>
      <c r="H48" s="17">
        <f t="shared" si="4"/>
        <v>0</v>
      </c>
      <c r="I48" s="17">
        <f t="shared" si="5"/>
        <v>0</v>
      </c>
      <c r="J48" s="18">
        <f t="shared" si="6"/>
        <v>0</v>
      </c>
      <c r="K48" s="18">
        <f t="shared" si="7"/>
        <v>0</v>
      </c>
      <c r="L48" s="18">
        <f t="shared" si="1"/>
        <v>40.090000000000003</v>
      </c>
      <c r="M48" s="18">
        <f t="shared" si="8"/>
        <v>0</v>
      </c>
      <c r="N48" s="18">
        <f t="shared" si="2"/>
        <v>40.090000000000003</v>
      </c>
      <c r="O48" s="8"/>
    </row>
    <row r="49" spans="1:15">
      <c r="A49" s="1" t="s">
        <v>39</v>
      </c>
      <c r="B49" s="11" t="s">
        <v>138</v>
      </c>
      <c r="C49" s="11">
        <v>0</v>
      </c>
      <c r="D49" s="11">
        <v>0</v>
      </c>
      <c r="E49" s="11">
        <v>0</v>
      </c>
      <c r="F49" s="84">
        <f t="shared" si="9"/>
        <v>0</v>
      </c>
      <c r="G49" s="17">
        <f t="shared" si="3"/>
        <v>11.79</v>
      </c>
      <c r="H49" s="17">
        <f t="shared" si="4"/>
        <v>0</v>
      </c>
      <c r="I49" s="17">
        <f t="shared" si="5"/>
        <v>0</v>
      </c>
      <c r="J49" s="18">
        <f t="shared" si="6"/>
        <v>0</v>
      </c>
      <c r="K49" s="18">
        <f t="shared" si="7"/>
        <v>0</v>
      </c>
      <c r="L49" s="18">
        <f t="shared" si="1"/>
        <v>11.79</v>
      </c>
      <c r="M49" s="18">
        <f t="shared" ref="M49:M80" si="10">IF(   $H$5=1,    IF((F49-$H$6)&gt;0,((F49-$H$6)/$N$7)*$E$8,0),   IF(F49&gt;0,(F49/$N$4)*$E$8,0)    )</f>
        <v>0</v>
      </c>
      <c r="N49" s="18">
        <f t="shared" si="2"/>
        <v>11.79</v>
      </c>
      <c r="O49" s="8"/>
    </row>
    <row r="50" spans="1:15">
      <c r="A50" s="1" t="s">
        <v>40</v>
      </c>
      <c r="B50" s="11" t="s">
        <v>138</v>
      </c>
      <c r="C50" s="11">
        <v>0</v>
      </c>
      <c r="D50" s="11">
        <v>0</v>
      </c>
      <c r="E50" s="11">
        <v>0</v>
      </c>
      <c r="F50" s="84">
        <f t="shared" si="9"/>
        <v>0</v>
      </c>
      <c r="G50" s="17">
        <f t="shared" si="3"/>
        <v>11.79</v>
      </c>
      <c r="H50" s="17">
        <f t="shared" si="4"/>
        <v>0</v>
      </c>
      <c r="I50" s="17">
        <f t="shared" si="5"/>
        <v>0</v>
      </c>
      <c r="J50" s="18">
        <f t="shared" si="6"/>
        <v>0</v>
      </c>
      <c r="K50" s="18">
        <f t="shared" si="7"/>
        <v>0</v>
      </c>
      <c r="L50" s="18">
        <f t="shared" si="1"/>
        <v>11.79</v>
      </c>
      <c r="M50" s="18">
        <f t="shared" si="10"/>
        <v>0</v>
      </c>
      <c r="N50" s="18">
        <f t="shared" si="2"/>
        <v>11.79</v>
      </c>
      <c r="O50" s="8"/>
    </row>
    <row r="51" spans="1:15">
      <c r="A51" s="1" t="s">
        <v>41</v>
      </c>
      <c r="B51" s="11" t="s">
        <v>138</v>
      </c>
      <c r="C51" s="11">
        <v>0</v>
      </c>
      <c r="D51" s="11">
        <v>0</v>
      </c>
      <c r="E51" s="11">
        <v>0</v>
      </c>
      <c r="F51" s="84">
        <f t="shared" si="9"/>
        <v>0</v>
      </c>
      <c r="G51" s="17">
        <f t="shared" si="3"/>
        <v>11.79</v>
      </c>
      <c r="H51" s="17">
        <f t="shared" si="4"/>
        <v>0</v>
      </c>
      <c r="I51" s="17">
        <f t="shared" si="5"/>
        <v>0</v>
      </c>
      <c r="J51" s="18">
        <f t="shared" si="6"/>
        <v>0</v>
      </c>
      <c r="K51" s="18">
        <f t="shared" si="7"/>
        <v>0</v>
      </c>
      <c r="L51" s="18">
        <f t="shared" si="1"/>
        <v>11.79</v>
      </c>
      <c r="M51" s="18">
        <f t="shared" si="10"/>
        <v>0</v>
      </c>
      <c r="N51" s="18">
        <f t="shared" si="2"/>
        <v>11.79</v>
      </c>
      <c r="O51" s="8"/>
    </row>
    <row r="52" spans="1:15">
      <c r="A52" s="1" t="s">
        <v>42</v>
      </c>
      <c r="B52" s="11"/>
      <c r="C52" s="11">
        <v>3071000</v>
      </c>
      <c r="D52" s="11">
        <v>3071000</v>
      </c>
      <c r="E52" s="11">
        <v>0</v>
      </c>
      <c r="F52" s="84">
        <f t="shared" si="9"/>
        <v>0</v>
      </c>
      <c r="G52" s="17">
        <f t="shared" si="3"/>
        <v>40.090000000000003</v>
      </c>
      <c r="H52" s="17">
        <f t="shared" si="4"/>
        <v>0</v>
      </c>
      <c r="I52" s="17">
        <f t="shared" si="5"/>
        <v>0</v>
      </c>
      <c r="J52" s="18">
        <f t="shared" si="6"/>
        <v>0</v>
      </c>
      <c r="K52" s="18">
        <f t="shared" si="7"/>
        <v>0</v>
      </c>
      <c r="L52" s="18">
        <f t="shared" si="1"/>
        <v>40.090000000000003</v>
      </c>
      <c r="M52" s="18">
        <f t="shared" si="10"/>
        <v>0</v>
      </c>
      <c r="N52" s="18">
        <f t="shared" si="2"/>
        <v>40.090000000000003</v>
      </c>
      <c r="O52" s="8"/>
    </row>
    <row r="53" spans="1:15">
      <c r="A53" s="1" t="s">
        <v>43</v>
      </c>
      <c r="B53" s="11"/>
      <c r="C53" s="11">
        <v>3255000</v>
      </c>
      <c r="D53" s="11">
        <v>3273000</v>
      </c>
      <c r="E53" s="11">
        <v>0</v>
      </c>
      <c r="F53" s="84">
        <f t="shared" si="9"/>
        <v>6000</v>
      </c>
      <c r="G53" s="17">
        <f t="shared" si="3"/>
        <v>40.090000000000003</v>
      </c>
      <c r="H53" s="17">
        <f t="shared" si="4"/>
        <v>0</v>
      </c>
      <c r="I53" s="17">
        <f t="shared" si="5"/>
        <v>0</v>
      </c>
      <c r="J53" s="18">
        <f t="shared" si="6"/>
        <v>0</v>
      </c>
      <c r="K53" s="18">
        <f t="shared" si="7"/>
        <v>0</v>
      </c>
      <c r="L53" s="18">
        <f t="shared" si="1"/>
        <v>40.090000000000003</v>
      </c>
      <c r="M53" s="18">
        <f t="shared" si="10"/>
        <v>0</v>
      </c>
      <c r="N53" s="18">
        <f t="shared" si="2"/>
        <v>40.090000000000003</v>
      </c>
      <c r="O53" s="8"/>
    </row>
    <row r="54" spans="1:15">
      <c r="A54" s="1" t="s">
        <v>44</v>
      </c>
      <c r="B54" s="11"/>
      <c r="C54" s="11">
        <v>4061000</v>
      </c>
      <c r="D54" s="11">
        <v>4078000</v>
      </c>
      <c r="E54" s="11">
        <v>0</v>
      </c>
      <c r="F54" s="84">
        <f t="shared" si="9"/>
        <v>6000</v>
      </c>
      <c r="G54" s="17">
        <f t="shared" si="3"/>
        <v>40.090000000000003</v>
      </c>
      <c r="H54" s="17">
        <f t="shared" si="4"/>
        <v>0</v>
      </c>
      <c r="I54" s="17">
        <f t="shared" si="5"/>
        <v>0</v>
      </c>
      <c r="J54" s="18">
        <f t="shared" si="6"/>
        <v>0</v>
      </c>
      <c r="K54" s="18">
        <f t="shared" si="7"/>
        <v>0</v>
      </c>
      <c r="L54" s="18">
        <f t="shared" si="1"/>
        <v>40.090000000000003</v>
      </c>
      <c r="M54" s="18">
        <f t="shared" si="10"/>
        <v>0</v>
      </c>
      <c r="N54" s="18">
        <f t="shared" si="2"/>
        <v>40.090000000000003</v>
      </c>
      <c r="O54" s="8"/>
    </row>
    <row r="55" spans="1:15">
      <c r="A55" s="1" t="s">
        <v>45</v>
      </c>
      <c r="B55" s="11" t="s">
        <v>138</v>
      </c>
      <c r="C55" s="11">
        <v>0</v>
      </c>
      <c r="D55" s="11">
        <v>0</v>
      </c>
      <c r="E55" s="11">
        <v>0</v>
      </c>
      <c r="F55" s="84">
        <f t="shared" si="9"/>
        <v>0</v>
      </c>
      <c r="G55" s="17">
        <f t="shared" si="3"/>
        <v>11.79</v>
      </c>
      <c r="H55" s="17">
        <f t="shared" si="4"/>
        <v>0</v>
      </c>
      <c r="I55" s="17">
        <f t="shared" si="5"/>
        <v>0</v>
      </c>
      <c r="J55" s="18">
        <f t="shared" si="6"/>
        <v>0</v>
      </c>
      <c r="K55" s="18">
        <f t="shared" si="7"/>
        <v>0</v>
      </c>
      <c r="L55" s="18">
        <f t="shared" si="1"/>
        <v>11.79</v>
      </c>
      <c r="M55" s="18">
        <f t="shared" si="10"/>
        <v>0</v>
      </c>
      <c r="N55" s="18">
        <f t="shared" si="2"/>
        <v>11.79</v>
      </c>
      <c r="O55" s="8"/>
    </row>
    <row r="56" spans="1:15">
      <c r="A56" s="1" t="s">
        <v>46</v>
      </c>
      <c r="B56" s="11" t="s">
        <v>138</v>
      </c>
      <c r="C56" s="11">
        <v>0</v>
      </c>
      <c r="D56" s="11">
        <v>0</v>
      </c>
      <c r="E56" s="11">
        <v>0</v>
      </c>
      <c r="F56" s="84">
        <f t="shared" si="9"/>
        <v>0</v>
      </c>
      <c r="G56" s="17">
        <f t="shared" si="3"/>
        <v>11.79</v>
      </c>
      <c r="H56" s="17">
        <f t="shared" si="4"/>
        <v>0</v>
      </c>
      <c r="I56" s="17">
        <f t="shared" si="5"/>
        <v>0</v>
      </c>
      <c r="J56" s="18">
        <f t="shared" si="6"/>
        <v>0</v>
      </c>
      <c r="K56" s="18">
        <f t="shared" si="7"/>
        <v>0</v>
      </c>
      <c r="L56" s="18">
        <f t="shared" si="1"/>
        <v>11.79</v>
      </c>
      <c r="M56" s="18">
        <f t="shared" si="10"/>
        <v>0</v>
      </c>
      <c r="N56" s="18">
        <f t="shared" si="2"/>
        <v>11.79</v>
      </c>
      <c r="O56" s="8"/>
    </row>
    <row r="57" spans="1:15">
      <c r="A57" s="1" t="s">
        <v>47</v>
      </c>
      <c r="B57" s="11" t="s">
        <v>138</v>
      </c>
      <c r="C57" s="11">
        <v>0</v>
      </c>
      <c r="D57" s="11">
        <v>0</v>
      </c>
      <c r="E57" s="11">
        <v>0</v>
      </c>
      <c r="F57" s="84">
        <f t="shared" si="9"/>
        <v>0</v>
      </c>
      <c r="G57" s="17">
        <f t="shared" si="3"/>
        <v>11.79</v>
      </c>
      <c r="H57" s="17">
        <f t="shared" si="4"/>
        <v>0</v>
      </c>
      <c r="I57" s="17">
        <f t="shared" si="5"/>
        <v>0</v>
      </c>
      <c r="J57" s="18">
        <f t="shared" si="6"/>
        <v>0</v>
      </c>
      <c r="K57" s="18">
        <f t="shared" si="7"/>
        <v>0</v>
      </c>
      <c r="L57" s="18">
        <f t="shared" si="1"/>
        <v>11.79</v>
      </c>
      <c r="M57" s="18">
        <f t="shared" si="10"/>
        <v>0</v>
      </c>
      <c r="N57" s="18">
        <f t="shared" si="2"/>
        <v>11.79</v>
      </c>
      <c r="O57" s="8"/>
    </row>
    <row r="58" spans="1:15">
      <c r="A58" s="1" t="s">
        <v>48</v>
      </c>
      <c r="B58" s="11"/>
      <c r="C58" s="11">
        <v>1123000</v>
      </c>
      <c r="D58" s="11">
        <v>1130000</v>
      </c>
      <c r="E58" s="11">
        <v>0</v>
      </c>
      <c r="F58" s="84">
        <f t="shared" si="9"/>
        <v>3000</v>
      </c>
      <c r="G58" s="17">
        <f t="shared" si="3"/>
        <v>40.090000000000003</v>
      </c>
      <c r="H58" s="17">
        <f t="shared" si="4"/>
        <v>0</v>
      </c>
      <c r="I58" s="17">
        <f t="shared" si="5"/>
        <v>0</v>
      </c>
      <c r="J58" s="18">
        <f t="shared" si="6"/>
        <v>0</v>
      </c>
      <c r="K58" s="18">
        <f t="shared" si="7"/>
        <v>0</v>
      </c>
      <c r="L58" s="18">
        <f t="shared" si="1"/>
        <v>40.090000000000003</v>
      </c>
      <c r="M58" s="18">
        <f t="shared" si="10"/>
        <v>0</v>
      </c>
      <c r="N58" s="18">
        <f t="shared" si="2"/>
        <v>40.090000000000003</v>
      </c>
      <c r="O58" s="8"/>
    </row>
    <row r="59" spans="1:15">
      <c r="A59" s="1" t="s">
        <v>49</v>
      </c>
      <c r="B59" s="11"/>
      <c r="C59" s="11">
        <v>903000</v>
      </c>
      <c r="D59" s="11">
        <v>929000</v>
      </c>
      <c r="E59" s="11">
        <v>0</v>
      </c>
      <c r="F59" s="84">
        <f t="shared" si="9"/>
        <v>9000</v>
      </c>
      <c r="G59" s="17">
        <f t="shared" si="3"/>
        <v>40.090000000000003</v>
      </c>
      <c r="H59" s="17">
        <f t="shared" si="4"/>
        <v>0</v>
      </c>
      <c r="I59" s="17">
        <f t="shared" si="5"/>
        <v>0</v>
      </c>
      <c r="J59" s="18">
        <f t="shared" si="6"/>
        <v>0</v>
      </c>
      <c r="K59" s="18">
        <f t="shared" si="7"/>
        <v>0</v>
      </c>
      <c r="L59" s="18">
        <f t="shared" si="1"/>
        <v>40.090000000000003</v>
      </c>
      <c r="M59" s="18">
        <f t="shared" si="10"/>
        <v>0</v>
      </c>
      <c r="N59" s="18">
        <f t="shared" si="2"/>
        <v>40.090000000000003</v>
      </c>
      <c r="O59" s="8"/>
    </row>
    <row r="60" spans="1:15">
      <c r="A60" s="1" t="s">
        <v>50</v>
      </c>
      <c r="B60" s="11"/>
      <c r="C60" s="11">
        <v>3492000</v>
      </c>
      <c r="D60" s="11">
        <v>3498000</v>
      </c>
      <c r="E60" s="11">
        <v>0</v>
      </c>
      <c r="F60" s="84">
        <f t="shared" si="9"/>
        <v>2000</v>
      </c>
      <c r="G60" s="17">
        <f t="shared" si="3"/>
        <v>40.090000000000003</v>
      </c>
      <c r="H60" s="17">
        <f t="shared" si="4"/>
        <v>0</v>
      </c>
      <c r="I60" s="17">
        <f t="shared" si="5"/>
        <v>0</v>
      </c>
      <c r="J60" s="18">
        <f t="shared" si="6"/>
        <v>0</v>
      </c>
      <c r="K60" s="18">
        <f t="shared" si="7"/>
        <v>0</v>
      </c>
      <c r="L60" s="18">
        <f t="shared" si="1"/>
        <v>40.090000000000003</v>
      </c>
      <c r="M60" s="18">
        <f t="shared" si="10"/>
        <v>0</v>
      </c>
      <c r="N60" s="18">
        <f t="shared" si="2"/>
        <v>40.090000000000003</v>
      </c>
      <c r="O60" s="8"/>
    </row>
    <row r="61" spans="1:15">
      <c r="A61" s="1" t="s">
        <v>51</v>
      </c>
      <c r="B61" s="11" t="s">
        <v>138</v>
      </c>
      <c r="C61" s="11">
        <v>0</v>
      </c>
      <c r="D61" s="11">
        <v>0</v>
      </c>
      <c r="E61" s="11">
        <v>0</v>
      </c>
      <c r="F61" s="84">
        <f t="shared" si="9"/>
        <v>0</v>
      </c>
      <c r="G61" s="17">
        <f t="shared" si="3"/>
        <v>11.79</v>
      </c>
      <c r="H61" s="17">
        <f t="shared" si="4"/>
        <v>0</v>
      </c>
      <c r="I61" s="17">
        <f t="shared" si="5"/>
        <v>0</v>
      </c>
      <c r="J61" s="18">
        <f t="shared" si="6"/>
        <v>0</v>
      </c>
      <c r="K61" s="18">
        <f t="shared" si="7"/>
        <v>0</v>
      </c>
      <c r="L61" s="18">
        <f t="shared" si="1"/>
        <v>11.79</v>
      </c>
      <c r="M61" s="18">
        <f t="shared" si="10"/>
        <v>0</v>
      </c>
      <c r="N61" s="18">
        <f t="shared" si="2"/>
        <v>11.79</v>
      </c>
      <c r="O61" s="8"/>
    </row>
    <row r="62" spans="1:15">
      <c r="A62" s="1" t="s">
        <v>52</v>
      </c>
      <c r="B62" s="11"/>
      <c r="C62" s="11">
        <v>1710000</v>
      </c>
      <c r="D62" s="11">
        <v>1719000</v>
      </c>
      <c r="E62" s="11">
        <v>0</v>
      </c>
      <c r="F62" s="84">
        <f t="shared" si="9"/>
        <v>3000</v>
      </c>
      <c r="G62" s="17">
        <f t="shared" si="3"/>
        <v>40.090000000000003</v>
      </c>
      <c r="H62" s="17">
        <f t="shared" si="4"/>
        <v>0</v>
      </c>
      <c r="I62" s="17">
        <f t="shared" si="5"/>
        <v>0</v>
      </c>
      <c r="J62" s="18">
        <f t="shared" si="6"/>
        <v>0</v>
      </c>
      <c r="K62" s="18">
        <f t="shared" si="7"/>
        <v>0</v>
      </c>
      <c r="L62" s="18">
        <f t="shared" si="1"/>
        <v>40.090000000000003</v>
      </c>
      <c r="M62" s="18">
        <f t="shared" si="10"/>
        <v>0</v>
      </c>
      <c r="N62" s="18">
        <f t="shared" si="2"/>
        <v>40.090000000000003</v>
      </c>
      <c r="O62" s="8"/>
    </row>
    <row r="63" spans="1:15">
      <c r="A63" s="1" t="s">
        <v>53</v>
      </c>
      <c r="B63" s="11"/>
      <c r="C63" s="11">
        <v>2330000</v>
      </c>
      <c r="D63" s="11">
        <v>2357000</v>
      </c>
      <c r="E63" s="11">
        <v>0</v>
      </c>
      <c r="F63" s="84">
        <f t="shared" si="9"/>
        <v>9000</v>
      </c>
      <c r="G63" s="17">
        <f t="shared" si="3"/>
        <v>40.090000000000003</v>
      </c>
      <c r="H63" s="17">
        <f t="shared" si="4"/>
        <v>0</v>
      </c>
      <c r="I63" s="17">
        <f t="shared" si="5"/>
        <v>0</v>
      </c>
      <c r="J63" s="18">
        <f t="shared" si="6"/>
        <v>0</v>
      </c>
      <c r="K63" s="18">
        <f t="shared" si="7"/>
        <v>0</v>
      </c>
      <c r="L63" s="18">
        <f t="shared" si="1"/>
        <v>40.090000000000003</v>
      </c>
      <c r="M63" s="18">
        <f t="shared" si="10"/>
        <v>0</v>
      </c>
      <c r="N63" s="18">
        <f t="shared" si="2"/>
        <v>40.090000000000003</v>
      </c>
      <c r="O63" s="8"/>
    </row>
    <row r="64" spans="1:15">
      <c r="A64" s="1" t="s">
        <v>54</v>
      </c>
      <c r="B64" s="11"/>
      <c r="C64" s="11">
        <v>3340000</v>
      </c>
      <c r="D64" s="11">
        <v>3353000</v>
      </c>
      <c r="E64" s="11">
        <v>0</v>
      </c>
      <c r="F64" s="84">
        <f t="shared" si="9"/>
        <v>5000</v>
      </c>
      <c r="G64" s="17">
        <f t="shared" si="3"/>
        <v>40.090000000000003</v>
      </c>
      <c r="H64" s="17">
        <f t="shared" si="4"/>
        <v>0</v>
      </c>
      <c r="I64" s="17">
        <f t="shared" si="5"/>
        <v>0</v>
      </c>
      <c r="J64" s="18">
        <f t="shared" si="6"/>
        <v>0</v>
      </c>
      <c r="K64" s="18">
        <f t="shared" si="7"/>
        <v>0</v>
      </c>
      <c r="L64" s="18">
        <f t="shared" si="1"/>
        <v>40.090000000000003</v>
      </c>
      <c r="M64" s="18">
        <f t="shared" si="10"/>
        <v>0</v>
      </c>
      <c r="N64" s="18">
        <f t="shared" si="2"/>
        <v>40.090000000000003</v>
      </c>
      <c r="O64" s="8"/>
    </row>
    <row r="65" spans="1:15">
      <c r="A65" s="1" t="s">
        <v>55</v>
      </c>
      <c r="B65" s="11" t="s">
        <v>138</v>
      </c>
      <c r="C65" s="11">
        <v>0</v>
      </c>
      <c r="D65" s="11">
        <v>0</v>
      </c>
      <c r="E65" s="11">
        <v>0</v>
      </c>
      <c r="F65" s="84">
        <f t="shared" si="9"/>
        <v>0</v>
      </c>
      <c r="G65" s="17">
        <f t="shared" si="3"/>
        <v>11.79</v>
      </c>
      <c r="H65" s="17">
        <f t="shared" si="4"/>
        <v>0</v>
      </c>
      <c r="I65" s="17">
        <f t="shared" si="5"/>
        <v>0</v>
      </c>
      <c r="J65" s="18">
        <f t="shared" si="6"/>
        <v>0</v>
      </c>
      <c r="K65" s="18">
        <f t="shared" si="7"/>
        <v>0</v>
      </c>
      <c r="L65" s="18">
        <f t="shared" si="1"/>
        <v>11.79</v>
      </c>
      <c r="M65" s="18">
        <f t="shared" si="10"/>
        <v>0</v>
      </c>
      <c r="N65" s="18">
        <f t="shared" si="2"/>
        <v>11.79</v>
      </c>
      <c r="O65" s="8"/>
    </row>
    <row r="66" spans="1:15">
      <c r="A66" s="1" t="s">
        <v>56</v>
      </c>
      <c r="B66" s="11"/>
      <c r="C66" s="11">
        <v>1518000</v>
      </c>
      <c r="D66" s="11">
        <v>1534000</v>
      </c>
      <c r="E66" s="11">
        <v>0</v>
      </c>
      <c r="F66" s="84">
        <f t="shared" si="9"/>
        <v>6000</v>
      </c>
      <c r="G66" s="17">
        <f t="shared" si="3"/>
        <v>40.090000000000003</v>
      </c>
      <c r="H66" s="17">
        <f t="shared" si="4"/>
        <v>0</v>
      </c>
      <c r="I66" s="17">
        <f t="shared" si="5"/>
        <v>0</v>
      </c>
      <c r="J66" s="18">
        <f t="shared" si="6"/>
        <v>0</v>
      </c>
      <c r="K66" s="18">
        <f t="shared" si="7"/>
        <v>0</v>
      </c>
      <c r="L66" s="18">
        <f t="shared" si="1"/>
        <v>40.090000000000003</v>
      </c>
      <c r="M66" s="18">
        <f t="shared" si="10"/>
        <v>0</v>
      </c>
      <c r="N66" s="18">
        <f t="shared" si="2"/>
        <v>40.090000000000003</v>
      </c>
      <c r="O66" s="8"/>
    </row>
    <row r="67" spans="1:15">
      <c r="A67" s="1" t="s">
        <v>57</v>
      </c>
      <c r="B67" s="11"/>
      <c r="C67" s="11">
        <v>1616000</v>
      </c>
      <c r="D67" s="11">
        <v>1617000</v>
      </c>
      <c r="E67" s="11">
        <v>0</v>
      </c>
      <c r="F67" s="84">
        <f t="shared" si="9"/>
        <v>1000</v>
      </c>
      <c r="G67" s="17">
        <f t="shared" si="3"/>
        <v>40.090000000000003</v>
      </c>
      <c r="H67" s="17">
        <f t="shared" si="4"/>
        <v>0</v>
      </c>
      <c r="I67" s="17">
        <f t="shared" si="5"/>
        <v>0</v>
      </c>
      <c r="J67" s="18">
        <f t="shared" si="6"/>
        <v>0</v>
      </c>
      <c r="K67" s="18">
        <f t="shared" si="7"/>
        <v>0</v>
      </c>
      <c r="L67" s="18">
        <f t="shared" si="1"/>
        <v>40.090000000000003</v>
      </c>
      <c r="M67" s="18">
        <f t="shared" si="10"/>
        <v>0</v>
      </c>
      <c r="N67" s="18">
        <f t="shared" si="2"/>
        <v>40.090000000000003</v>
      </c>
      <c r="O67" s="8"/>
    </row>
    <row r="68" spans="1:15">
      <c r="A68" s="1" t="s">
        <v>58</v>
      </c>
      <c r="B68" s="11" t="s">
        <v>138</v>
      </c>
      <c r="C68" s="11">
        <v>0</v>
      </c>
      <c r="D68" s="11">
        <v>0</v>
      </c>
      <c r="E68" s="11">
        <v>0</v>
      </c>
      <c r="F68" s="84">
        <f t="shared" si="9"/>
        <v>0</v>
      </c>
      <c r="G68" s="17">
        <f t="shared" si="3"/>
        <v>11.79</v>
      </c>
      <c r="H68" s="17">
        <f t="shared" si="4"/>
        <v>0</v>
      </c>
      <c r="I68" s="17">
        <f t="shared" si="5"/>
        <v>0</v>
      </c>
      <c r="J68" s="18">
        <f t="shared" si="6"/>
        <v>0</v>
      </c>
      <c r="K68" s="18">
        <f t="shared" si="7"/>
        <v>0</v>
      </c>
      <c r="L68" s="18">
        <f t="shared" si="1"/>
        <v>11.79</v>
      </c>
      <c r="M68" s="18">
        <f t="shared" si="10"/>
        <v>0</v>
      </c>
      <c r="N68" s="18">
        <f t="shared" si="2"/>
        <v>11.79</v>
      </c>
      <c r="O68" s="8"/>
    </row>
    <row r="69" spans="1:15">
      <c r="A69" s="1" t="s">
        <v>59</v>
      </c>
      <c r="B69" s="11" t="s">
        <v>138</v>
      </c>
      <c r="C69" s="11">
        <v>0</v>
      </c>
      <c r="D69" s="11">
        <v>0</v>
      </c>
      <c r="E69" s="11">
        <v>0</v>
      </c>
      <c r="F69" s="84">
        <f t="shared" si="9"/>
        <v>0</v>
      </c>
      <c r="G69" s="17">
        <f t="shared" si="3"/>
        <v>11.79</v>
      </c>
      <c r="H69" s="17">
        <f t="shared" si="4"/>
        <v>0</v>
      </c>
      <c r="I69" s="17">
        <f t="shared" si="5"/>
        <v>0</v>
      </c>
      <c r="J69" s="18">
        <f t="shared" si="6"/>
        <v>0</v>
      </c>
      <c r="K69" s="18">
        <f t="shared" si="7"/>
        <v>0</v>
      </c>
      <c r="L69" s="18">
        <f t="shared" si="1"/>
        <v>11.79</v>
      </c>
      <c r="M69" s="18">
        <f t="shared" si="10"/>
        <v>0</v>
      </c>
      <c r="N69" s="18">
        <f t="shared" si="2"/>
        <v>11.79</v>
      </c>
      <c r="O69" s="8"/>
    </row>
    <row r="70" spans="1:15">
      <c r="A70" s="1" t="s">
        <v>60</v>
      </c>
      <c r="B70" s="11" t="s">
        <v>138</v>
      </c>
      <c r="C70" s="11">
        <v>0</v>
      </c>
      <c r="D70" s="11">
        <v>0</v>
      </c>
      <c r="E70" s="11">
        <v>0</v>
      </c>
      <c r="F70" s="84">
        <f t="shared" si="9"/>
        <v>0</v>
      </c>
      <c r="G70" s="17">
        <f t="shared" si="3"/>
        <v>11.79</v>
      </c>
      <c r="H70" s="17">
        <f t="shared" si="4"/>
        <v>0</v>
      </c>
      <c r="I70" s="17">
        <f t="shared" si="5"/>
        <v>0</v>
      </c>
      <c r="J70" s="18">
        <f t="shared" si="6"/>
        <v>0</v>
      </c>
      <c r="K70" s="18">
        <f t="shared" si="7"/>
        <v>0</v>
      </c>
      <c r="L70" s="18">
        <f t="shared" si="1"/>
        <v>11.79</v>
      </c>
      <c r="M70" s="18">
        <f t="shared" si="10"/>
        <v>0</v>
      </c>
      <c r="N70" s="18">
        <f t="shared" si="2"/>
        <v>11.79</v>
      </c>
      <c r="O70" s="8"/>
    </row>
    <row r="71" spans="1:15">
      <c r="A71" s="1" t="s">
        <v>61</v>
      </c>
      <c r="B71" s="11"/>
      <c r="C71" s="11">
        <v>1347000</v>
      </c>
      <c r="D71" s="11">
        <v>1361000</v>
      </c>
      <c r="E71" s="11">
        <v>0</v>
      </c>
      <c r="F71" s="84">
        <f t="shared" si="9"/>
        <v>5000</v>
      </c>
      <c r="G71" s="17">
        <f t="shared" si="3"/>
        <v>40.090000000000003</v>
      </c>
      <c r="H71" s="17">
        <f t="shared" si="4"/>
        <v>0</v>
      </c>
      <c r="I71" s="17">
        <f t="shared" si="5"/>
        <v>0</v>
      </c>
      <c r="J71" s="18">
        <f t="shared" si="6"/>
        <v>0</v>
      </c>
      <c r="K71" s="18">
        <f t="shared" si="7"/>
        <v>0</v>
      </c>
      <c r="L71" s="18">
        <f t="shared" si="1"/>
        <v>40.090000000000003</v>
      </c>
      <c r="M71" s="18">
        <f t="shared" si="10"/>
        <v>0</v>
      </c>
      <c r="N71" s="18">
        <f t="shared" si="2"/>
        <v>40.090000000000003</v>
      </c>
      <c r="O71" s="8"/>
    </row>
    <row r="72" spans="1:15">
      <c r="A72" s="1" t="s">
        <v>62</v>
      </c>
      <c r="B72" s="11"/>
      <c r="C72" s="11">
        <v>1909000</v>
      </c>
      <c r="D72" s="11">
        <v>1921000</v>
      </c>
      <c r="E72" s="11">
        <v>0</v>
      </c>
      <c r="F72" s="84">
        <f t="shared" si="9"/>
        <v>4000</v>
      </c>
      <c r="G72" s="17">
        <f t="shared" si="3"/>
        <v>40.090000000000003</v>
      </c>
      <c r="H72" s="17">
        <f t="shared" si="4"/>
        <v>0</v>
      </c>
      <c r="I72" s="17">
        <f t="shared" si="5"/>
        <v>0</v>
      </c>
      <c r="J72" s="18">
        <f t="shared" si="6"/>
        <v>0</v>
      </c>
      <c r="K72" s="18">
        <f t="shared" si="7"/>
        <v>0</v>
      </c>
      <c r="L72" s="18">
        <f t="shared" si="1"/>
        <v>40.090000000000003</v>
      </c>
      <c r="M72" s="18">
        <f t="shared" si="10"/>
        <v>0</v>
      </c>
      <c r="N72" s="18">
        <f t="shared" si="2"/>
        <v>40.090000000000003</v>
      </c>
      <c r="O72" s="8"/>
    </row>
    <row r="73" spans="1:15">
      <c r="A73" s="1" t="s">
        <v>63</v>
      </c>
      <c r="B73" s="11" t="s">
        <v>138</v>
      </c>
      <c r="C73" s="11">
        <v>0</v>
      </c>
      <c r="D73" s="11">
        <v>0</v>
      </c>
      <c r="E73" s="11">
        <v>0</v>
      </c>
      <c r="F73" s="84">
        <f t="shared" si="9"/>
        <v>0</v>
      </c>
      <c r="G73" s="17">
        <f t="shared" si="3"/>
        <v>11.79</v>
      </c>
      <c r="H73" s="17">
        <f t="shared" si="4"/>
        <v>0</v>
      </c>
      <c r="I73" s="17">
        <f t="shared" si="5"/>
        <v>0</v>
      </c>
      <c r="J73" s="18">
        <f t="shared" si="6"/>
        <v>0</v>
      </c>
      <c r="K73" s="18">
        <f t="shared" si="7"/>
        <v>0</v>
      </c>
      <c r="L73" s="18">
        <f t="shared" si="1"/>
        <v>11.79</v>
      </c>
      <c r="M73" s="18">
        <f t="shared" si="10"/>
        <v>0</v>
      </c>
      <c r="N73" s="18">
        <f t="shared" si="2"/>
        <v>11.79</v>
      </c>
      <c r="O73" s="8"/>
    </row>
    <row r="74" spans="1:15">
      <c r="A74" s="1" t="s">
        <v>64</v>
      </c>
      <c r="B74" s="11"/>
      <c r="C74" s="11">
        <v>4919000</v>
      </c>
      <c r="D74" s="11">
        <v>4930000</v>
      </c>
      <c r="E74" s="11">
        <v>0</v>
      </c>
      <c r="F74" s="84">
        <f t="shared" si="9"/>
        <v>4000</v>
      </c>
      <c r="G74" s="17">
        <f t="shared" si="3"/>
        <v>40.090000000000003</v>
      </c>
      <c r="H74" s="17">
        <f t="shared" si="4"/>
        <v>0</v>
      </c>
      <c r="I74" s="17">
        <f t="shared" si="5"/>
        <v>0</v>
      </c>
      <c r="J74" s="18">
        <f t="shared" si="6"/>
        <v>0</v>
      </c>
      <c r="K74" s="18">
        <f t="shared" si="7"/>
        <v>0</v>
      </c>
      <c r="L74" s="18">
        <f t="shared" si="1"/>
        <v>40.090000000000003</v>
      </c>
      <c r="M74" s="18">
        <f t="shared" si="10"/>
        <v>0</v>
      </c>
      <c r="N74" s="18">
        <f t="shared" si="2"/>
        <v>40.090000000000003</v>
      </c>
      <c r="O74" s="8"/>
    </row>
    <row r="75" spans="1:15">
      <c r="A75" s="1" t="s">
        <v>65</v>
      </c>
      <c r="B75" s="11"/>
      <c r="C75" s="11">
        <v>6644000</v>
      </c>
      <c r="D75" s="11">
        <v>6647000</v>
      </c>
      <c r="E75" s="11">
        <v>0</v>
      </c>
      <c r="F75" s="84">
        <f t="shared" ref="F75:F106" si="11">ROUNDUP((($D75-$C75)+$E75)/3,-3)</f>
        <v>1000</v>
      </c>
      <c r="G75" s="17">
        <f t="shared" si="3"/>
        <v>40.090000000000003</v>
      </c>
      <c r="H75" s="17">
        <f t="shared" si="4"/>
        <v>0</v>
      </c>
      <c r="I75" s="17">
        <f t="shared" si="5"/>
        <v>0</v>
      </c>
      <c r="J75" s="18">
        <f t="shared" si="6"/>
        <v>0</v>
      </c>
      <c r="K75" s="18">
        <f t="shared" si="7"/>
        <v>0</v>
      </c>
      <c r="L75" s="18">
        <f t="shared" si="1"/>
        <v>40.090000000000003</v>
      </c>
      <c r="M75" s="18">
        <f t="shared" si="10"/>
        <v>0</v>
      </c>
      <c r="N75" s="18">
        <f t="shared" si="2"/>
        <v>40.090000000000003</v>
      </c>
      <c r="O75" s="8"/>
    </row>
    <row r="76" spans="1:15">
      <c r="A76" s="1" t="s">
        <v>66</v>
      </c>
      <c r="B76" s="11"/>
      <c r="C76" s="11">
        <v>9231000</v>
      </c>
      <c r="D76" s="11">
        <v>9241000</v>
      </c>
      <c r="E76" s="11">
        <v>0</v>
      </c>
      <c r="F76" s="84">
        <f t="shared" si="11"/>
        <v>4000</v>
      </c>
      <c r="G76" s="17">
        <f t="shared" si="3"/>
        <v>40.090000000000003</v>
      </c>
      <c r="H76" s="17">
        <f t="shared" si="4"/>
        <v>0</v>
      </c>
      <c r="I76" s="17">
        <f t="shared" si="5"/>
        <v>0</v>
      </c>
      <c r="J76" s="18">
        <f t="shared" si="6"/>
        <v>0</v>
      </c>
      <c r="K76" s="18">
        <f t="shared" si="7"/>
        <v>0</v>
      </c>
      <c r="L76" s="18">
        <f t="shared" ref="L76:L136" si="12">SUM(G76:K76)</f>
        <v>40.090000000000003</v>
      </c>
      <c r="M76" s="18">
        <f t="shared" si="10"/>
        <v>0</v>
      </c>
      <c r="N76" s="18">
        <f t="shared" ref="N76:N136" si="13">SUM(L76:M76)</f>
        <v>40.090000000000003</v>
      </c>
      <c r="O76" s="8"/>
    </row>
    <row r="77" spans="1:15">
      <c r="A77" s="1" t="s">
        <v>67</v>
      </c>
      <c r="B77" s="11" t="s">
        <v>138</v>
      </c>
      <c r="C77" s="11">
        <v>0</v>
      </c>
      <c r="D77" s="11">
        <v>0</v>
      </c>
      <c r="E77" s="11">
        <v>0</v>
      </c>
      <c r="F77" s="84">
        <f t="shared" si="11"/>
        <v>0</v>
      </c>
      <c r="G77" s="17">
        <f t="shared" si="3"/>
        <v>11.79</v>
      </c>
      <c r="H77" s="17">
        <f t="shared" si="4"/>
        <v>0</v>
      </c>
      <c r="I77" s="17">
        <f t="shared" si="5"/>
        <v>0</v>
      </c>
      <c r="J77" s="18">
        <f t="shared" si="6"/>
        <v>0</v>
      </c>
      <c r="K77" s="18">
        <f t="shared" si="7"/>
        <v>0</v>
      </c>
      <c r="L77" s="18">
        <f t="shared" si="12"/>
        <v>11.79</v>
      </c>
      <c r="M77" s="18">
        <f t="shared" si="10"/>
        <v>0</v>
      </c>
      <c r="N77" s="18">
        <f t="shared" si="13"/>
        <v>11.79</v>
      </c>
      <c r="O77" s="8"/>
    </row>
    <row r="78" spans="1:15">
      <c r="A78" s="1" t="s">
        <v>68</v>
      </c>
      <c r="B78" s="11"/>
      <c r="C78" s="11">
        <v>3587000</v>
      </c>
      <c r="D78" s="11">
        <v>3608000</v>
      </c>
      <c r="E78" s="11">
        <v>0</v>
      </c>
      <c r="F78" s="84">
        <f t="shared" si="11"/>
        <v>7000</v>
      </c>
      <c r="G78" s="17">
        <f t="shared" si="3"/>
        <v>40.090000000000003</v>
      </c>
      <c r="H78" s="17">
        <f t="shared" si="4"/>
        <v>0</v>
      </c>
      <c r="I78" s="17">
        <f t="shared" si="5"/>
        <v>0</v>
      </c>
      <c r="J78" s="18">
        <f t="shared" si="6"/>
        <v>0</v>
      </c>
      <c r="K78" s="18">
        <f t="shared" si="7"/>
        <v>0</v>
      </c>
      <c r="L78" s="18">
        <f t="shared" si="12"/>
        <v>40.090000000000003</v>
      </c>
      <c r="M78" s="18">
        <f t="shared" si="10"/>
        <v>0</v>
      </c>
      <c r="N78" s="18">
        <f t="shared" si="13"/>
        <v>40.090000000000003</v>
      </c>
      <c r="O78" s="8"/>
    </row>
    <row r="79" spans="1:15">
      <c r="A79" s="1" t="s">
        <v>69</v>
      </c>
      <c r="B79" s="11"/>
      <c r="C79" s="11">
        <v>2312000</v>
      </c>
      <c r="D79" s="11">
        <v>2358000</v>
      </c>
      <c r="E79" s="11">
        <v>0</v>
      </c>
      <c r="F79" s="84">
        <f t="shared" si="11"/>
        <v>16000</v>
      </c>
      <c r="G79" s="17">
        <f t="shared" si="3"/>
        <v>40.090000000000003</v>
      </c>
      <c r="H79" s="17">
        <f t="shared" si="4"/>
        <v>13.080000000000002</v>
      </c>
      <c r="I79" s="17">
        <f t="shared" si="5"/>
        <v>0</v>
      </c>
      <c r="J79" s="18">
        <f t="shared" si="6"/>
        <v>0</v>
      </c>
      <c r="K79" s="18">
        <f t="shared" si="7"/>
        <v>0</v>
      </c>
      <c r="L79" s="18">
        <f t="shared" si="12"/>
        <v>53.17</v>
      </c>
      <c r="M79" s="18">
        <f t="shared" si="10"/>
        <v>0</v>
      </c>
      <c r="N79" s="18">
        <f t="shared" si="13"/>
        <v>53.17</v>
      </c>
      <c r="O79" s="8"/>
    </row>
    <row r="80" spans="1:15">
      <c r="A80" s="1" t="s">
        <v>70</v>
      </c>
      <c r="B80" s="11"/>
      <c r="C80" s="11">
        <v>1414000</v>
      </c>
      <c r="D80" s="11">
        <v>1455000</v>
      </c>
      <c r="E80" s="11">
        <v>0</v>
      </c>
      <c r="F80" s="84">
        <f t="shared" si="11"/>
        <v>14000</v>
      </c>
      <c r="G80" s="17">
        <f t="shared" si="3"/>
        <v>40.090000000000003</v>
      </c>
      <c r="H80" s="17">
        <f t="shared" si="4"/>
        <v>8.7200000000000006</v>
      </c>
      <c r="I80" s="17">
        <f t="shared" si="5"/>
        <v>0</v>
      </c>
      <c r="J80" s="18">
        <f t="shared" si="6"/>
        <v>0</v>
      </c>
      <c r="K80" s="18">
        <f t="shared" si="7"/>
        <v>0</v>
      </c>
      <c r="L80" s="18">
        <f t="shared" si="12"/>
        <v>48.81</v>
      </c>
      <c r="M80" s="18">
        <f t="shared" si="10"/>
        <v>0</v>
      </c>
      <c r="N80" s="18">
        <f t="shared" si="13"/>
        <v>48.81</v>
      </c>
      <c r="O80" s="8"/>
    </row>
    <row r="81" spans="1:15">
      <c r="A81" s="1" t="s">
        <v>71</v>
      </c>
      <c r="B81" s="11" t="s">
        <v>138</v>
      </c>
      <c r="C81" s="11">
        <v>0</v>
      </c>
      <c r="D81" s="11">
        <v>0</v>
      </c>
      <c r="E81" s="11">
        <v>0</v>
      </c>
      <c r="F81" s="84">
        <f t="shared" si="11"/>
        <v>0</v>
      </c>
      <c r="G81" s="17">
        <f t="shared" ref="G81:G136" si="14">IF(OR($F81&gt;0,$B81=""),40.09,11.79)</f>
        <v>11.79</v>
      </c>
      <c r="H81" s="17">
        <f t="shared" ref="H81:H136" si="15">IF(AND((($F81-10000)&gt;=0),(($F81-10000)&lt;= 10000)),($F81-10000)/1000*2.18,IF(($F81-10000)&gt;=10000,2.18*10,0))</f>
        <v>0</v>
      </c>
      <c r="I81" s="17">
        <f t="shared" ref="I81:I136" si="16">IF(AND((($F81-20000)&gt;=0),(($F81-20000)&lt;=10000)),($F81-20000)/1000*2.53,IF(($F81-20000)&gt;=10000,2.53*10,0))</f>
        <v>0</v>
      </c>
      <c r="J81" s="18">
        <f t="shared" ref="J81:J136" si="17">IF(AND((($F81-30000)&gt;=0),(($F81-30000)&lt;=10000)),($F81-30000)/1000*2.95,IF(($F81-30000)&gt;=10000,2.95*10,0))</f>
        <v>0</v>
      </c>
      <c r="K81" s="18">
        <f t="shared" ref="K81:K136" si="18">IF((($F81-40000)&gt;=0),($F81-40000)/1000*3.42,0)</f>
        <v>0</v>
      </c>
      <c r="L81" s="18">
        <f t="shared" si="12"/>
        <v>11.79</v>
      </c>
      <c r="M81" s="18">
        <f t="shared" ref="M81:M112" si="19">IF(   $H$5=1,    IF((F81-$H$6)&gt;0,((F81-$H$6)/$N$7)*$E$8,0),   IF(F81&gt;0,(F81/$N$4)*$E$8,0)    )</f>
        <v>0</v>
      </c>
      <c r="N81" s="18">
        <f t="shared" si="13"/>
        <v>11.79</v>
      </c>
      <c r="O81" s="8"/>
    </row>
    <row r="82" spans="1:15">
      <c r="A82" s="1" t="s">
        <v>72</v>
      </c>
      <c r="B82" s="11"/>
      <c r="C82" s="11">
        <v>134000</v>
      </c>
      <c r="D82" s="11">
        <v>166000</v>
      </c>
      <c r="E82" s="11">
        <v>0</v>
      </c>
      <c r="F82" s="84">
        <f t="shared" si="11"/>
        <v>11000</v>
      </c>
      <c r="G82" s="17">
        <f t="shared" si="14"/>
        <v>40.090000000000003</v>
      </c>
      <c r="H82" s="17">
        <f t="shared" si="15"/>
        <v>2.1800000000000002</v>
      </c>
      <c r="I82" s="17">
        <f t="shared" si="16"/>
        <v>0</v>
      </c>
      <c r="J82" s="18">
        <f t="shared" si="17"/>
        <v>0</v>
      </c>
      <c r="K82" s="18">
        <f t="shared" si="18"/>
        <v>0</v>
      </c>
      <c r="L82" s="18">
        <f t="shared" si="12"/>
        <v>42.27</v>
      </c>
      <c r="M82" s="18">
        <f t="shared" si="19"/>
        <v>0</v>
      </c>
      <c r="N82" s="18">
        <f t="shared" si="13"/>
        <v>42.27</v>
      </c>
      <c r="O82" s="8" t="s">
        <v>139</v>
      </c>
    </row>
    <row r="83" spans="1:15">
      <c r="A83" s="1" t="s">
        <v>73</v>
      </c>
      <c r="B83" s="11"/>
      <c r="C83" s="11">
        <v>1943000</v>
      </c>
      <c r="D83" s="11">
        <v>1978000</v>
      </c>
      <c r="E83" s="11">
        <v>0</v>
      </c>
      <c r="F83" s="84">
        <f t="shared" si="11"/>
        <v>12000</v>
      </c>
      <c r="G83" s="17">
        <f t="shared" si="14"/>
        <v>40.090000000000003</v>
      </c>
      <c r="H83" s="17">
        <f t="shared" si="15"/>
        <v>4.3600000000000003</v>
      </c>
      <c r="I83" s="17">
        <f t="shared" si="16"/>
        <v>0</v>
      </c>
      <c r="J83" s="18">
        <f t="shared" si="17"/>
        <v>0</v>
      </c>
      <c r="K83" s="18">
        <f t="shared" si="18"/>
        <v>0</v>
      </c>
      <c r="L83" s="18">
        <f t="shared" si="12"/>
        <v>44.45</v>
      </c>
      <c r="M83" s="18">
        <f t="shared" si="19"/>
        <v>0</v>
      </c>
      <c r="N83" s="18">
        <f t="shared" si="13"/>
        <v>44.45</v>
      </c>
      <c r="O83" s="8"/>
    </row>
    <row r="84" spans="1:15">
      <c r="A84" s="1" t="s">
        <v>74</v>
      </c>
      <c r="B84" s="11" t="s">
        <v>138</v>
      </c>
      <c r="C84" s="11">
        <v>0</v>
      </c>
      <c r="D84" s="11">
        <v>0</v>
      </c>
      <c r="E84" s="11">
        <v>0</v>
      </c>
      <c r="F84" s="84">
        <f t="shared" si="11"/>
        <v>0</v>
      </c>
      <c r="G84" s="17">
        <f t="shared" si="14"/>
        <v>11.79</v>
      </c>
      <c r="H84" s="17">
        <f t="shared" si="15"/>
        <v>0</v>
      </c>
      <c r="I84" s="17">
        <f t="shared" si="16"/>
        <v>0</v>
      </c>
      <c r="J84" s="18">
        <f t="shared" si="17"/>
        <v>0</v>
      </c>
      <c r="K84" s="18">
        <f t="shared" si="18"/>
        <v>0</v>
      </c>
      <c r="L84" s="18">
        <f t="shared" si="12"/>
        <v>11.79</v>
      </c>
      <c r="M84" s="18">
        <f t="shared" si="19"/>
        <v>0</v>
      </c>
      <c r="N84" s="18">
        <f t="shared" si="13"/>
        <v>11.79</v>
      </c>
      <c r="O84" s="8"/>
    </row>
    <row r="85" spans="1:15">
      <c r="A85" s="1" t="s">
        <v>75</v>
      </c>
      <c r="B85" s="11"/>
      <c r="C85" s="11">
        <v>727000</v>
      </c>
      <c r="D85" s="11">
        <v>739000</v>
      </c>
      <c r="E85" s="11">
        <v>0</v>
      </c>
      <c r="F85" s="84">
        <f t="shared" si="11"/>
        <v>4000</v>
      </c>
      <c r="G85" s="17">
        <f t="shared" si="14"/>
        <v>40.090000000000003</v>
      </c>
      <c r="H85" s="17">
        <f t="shared" si="15"/>
        <v>0</v>
      </c>
      <c r="I85" s="17">
        <f t="shared" si="16"/>
        <v>0</v>
      </c>
      <c r="J85" s="18">
        <f t="shared" si="17"/>
        <v>0</v>
      </c>
      <c r="K85" s="18">
        <f t="shared" si="18"/>
        <v>0</v>
      </c>
      <c r="L85" s="18">
        <f t="shared" si="12"/>
        <v>40.090000000000003</v>
      </c>
      <c r="M85" s="18">
        <f t="shared" si="19"/>
        <v>0</v>
      </c>
      <c r="N85" s="18">
        <f t="shared" si="13"/>
        <v>40.090000000000003</v>
      </c>
      <c r="O85" s="8"/>
    </row>
    <row r="86" spans="1:15">
      <c r="A86" s="1" t="s">
        <v>76</v>
      </c>
      <c r="B86" s="11"/>
      <c r="C86" s="11">
        <v>134000</v>
      </c>
      <c r="D86" s="11">
        <v>165000</v>
      </c>
      <c r="E86" s="11">
        <v>0</v>
      </c>
      <c r="F86" s="84">
        <f t="shared" si="11"/>
        <v>11000</v>
      </c>
      <c r="G86" s="17">
        <f t="shared" si="14"/>
        <v>40.090000000000003</v>
      </c>
      <c r="H86" s="17">
        <f t="shared" si="15"/>
        <v>2.1800000000000002</v>
      </c>
      <c r="I86" s="17">
        <f t="shared" si="16"/>
        <v>0</v>
      </c>
      <c r="J86" s="18">
        <f t="shared" si="17"/>
        <v>0</v>
      </c>
      <c r="K86" s="18">
        <f t="shared" si="18"/>
        <v>0</v>
      </c>
      <c r="L86" s="18">
        <f t="shared" si="12"/>
        <v>42.27</v>
      </c>
      <c r="M86" s="18">
        <f t="shared" si="19"/>
        <v>0</v>
      </c>
      <c r="N86" s="18">
        <f t="shared" si="13"/>
        <v>42.27</v>
      </c>
      <c r="O86" s="8" t="s">
        <v>139</v>
      </c>
    </row>
    <row r="87" spans="1:15">
      <c r="A87" s="1" t="s">
        <v>77</v>
      </c>
      <c r="B87" s="11"/>
      <c r="C87" s="11">
        <v>102000</v>
      </c>
      <c r="D87" s="11">
        <v>118000</v>
      </c>
      <c r="E87" s="11">
        <v>0</v>
      </c>
      <c r="F87" s="84">
        <f t="shared" si="11"/>
        <v>6000</v>
      </c>
      <c r="G87" s="17">
        <f t="shared" si="14"/>
        <v>40.090000000000003</v>
      </c>
      <c r="H87" s="17">
        <f t="shared" si="15"/>
        <v>0</v>
      </c>
      <c r="I87" s="17">
        <f t="shared" si="16"/>
        <v>0</v>
      </c>
      <c r="J87" s="18">
        <f t="shared" si="17"/>
        <v>0</v>
      </c>
      <c r="K87" s="18">
        <f t="shared" si="18"/>
        <v>0</v>
      </c>
      <c r="L87" s="18">
        <f t="shared" si="12"/>
        <v>40.090000000000003</v>
      </c>
      <c r="M87" s="18">
        <f t="shared" si="19"/>
        <v>0</v>
      </c>
      <c r="N87" s="18">
        <f t="shared" si="13"/>
        <v>40.090000000000003</v>
      </c>
      <c r="O87" s="8"/>
    </row>
    <row r="88" spans="1:15">
      <c r="A88" s="1" t="s">
        <v>78</v>
      </c>
      <c r="B88" s="11"/>
      <c r="C88" s="11">
        <v>1248000</v>
      </c>
      <c r="D88" s="11">
        <v>1255000</v>
      </c>
      <c r="E88" s="11">
        <v>0</v>
      </c>
      <c r="F88" s="84">
        <f t="shared" si="11"/>
        <v>3000</v>
      </c>
      <c r="G88" s="17">
        <f t="shared" si="14"/>
        <v>40.090000000000003</v>
      </c>
      <c r="H88" s="17">
        <f t="shared" si="15"/>
        <v>0</v>
      </c>
      <c r="I88" s="17">
        <f t="shared" si="16"/>
        <v>0</v>
      </c>
      <c r="J88" s="18">
        <f t="shared" si="17"/>
        <v>0</v>
      </c>
      <c r="K88" s="18">
        <f t="shared" si="18"/>
        <v>0</v>
      </c>
      <c r="L88" s="18">
        <f t="shared" si="12"/>
        <v>40.090000000000003</v>
      </c>
      <c r="M88" s="18">
        <f t="shared" si="19"/>
        <v>0</v>
      </c>
      <c r="N88" s="18">
        <f t="shared" si="13"/>
        <v>40.090000000000003</v>
      </c>
      <c r="O88" s="8"/>
    </row>
    <row r="89" spans="1:15">
      <c r="A89" s="1" t="s">
        <v>79</v>
      </c>
      <c r="B89" s="11"/>
      <c r="C89" s="11">
        <v>3439000</v>
      </c>
      <c r="D89" s="11">
        <v>3457000</v>
      </c>
      <c r="E89" s="11">
        <v>0</v>
      </c>
      <c r="F89" s="84">
        <f t="shared" si="11"/>
        <v>6000</v>
      </c>
      <c r="G89" s="17">
        <f t="shared" si="14"/>
        <v>40.090000000000003</v>
      </c>
      <c r="H89" s="17">
        <f t="shared" si="15"/>
        <v>0</v>
      </c>
      <c r="I89" s="17">
        <f t="shared" si="16"/>
        <v>0</v>
      </c>
      <c r="J89" s="18">
        <f t="shared" si="17"/>
        <v>0</v>
      </c>
      <c r="K89" s="18">
        <f t="shared" si="18"/>
        <v>0</v>
      </c>
      <c r="L89" s="18">
        <f t="shared" si="12"/>
        <v>40.090000000000003</v>
      </c>
      <c r="M89" s="18">
        <f t="shared" si="19"/>
        <v>0</v>
      </c>
      <c r="N89" s="18">
        <f t="shared" si="13"/>
        <v>40.090000000000003</v>
      </c>
      <c r="O89" s="8"/>
    </row>
    <row r="90" spans="1:15">
      <c r="A90" s="1" t="s">
        <v>80</v>
      </c>
      <c r="B90" s="11"/>
      <c r="C90" s="11">
        <v>3022000</v>
      </c>
      <c r="D90" s="11">
        <v>3032000</v>
      </c>
      <c r="E90" s="11">
        <v>0</v>
      </c>
      <c r="F90" s="84">
        <f t="shared" si="11"/>
        <v>4000</v>
      </c>
      <c r="G90" s="17">
        <f t="shared" si="14"/>
        <v>40.090000000000003</v>
      </c>
      <c r="H90" s="17">
        <f t="shared" si="15"/>
        <v>0</v>
      </c>
      <c r="I90" s="17">
        <f t="shared" si="16"/>
        <v>0</v>
      </c>
      <c r="J90" s="18">
        <f t="shared" si="17"/>
        <v>0</v>
      </c>
      <c r="K90" s="18">
        <f t="shared" si="18"/>
        <v>0</v>
      </c>
      <c r="L90" s="18">
        <f t="shared" si="12"/>
        <v>40.090000000000003</v>
      </c>
      <c r="M90" s="18">
        <f t="shared" si="19"/>
        <v>0</v>
      </c>
      <c r="N90" s="18">
        <f t="shared" si="13"/>
        <v>40.090000000000003</v>
      </c>
      <c r="O90" s="8"/>
    </row>
    <row r="91" spans="1:15">
      <c r="A91" s="1" t="s">
        <v>81</v>
      </c>
      <c r="B91" s="11" t="s">
        <v>138</v>
      </c>
      <c r="C91" s="11">
        <v>0</v>
      </c>
      <c r="D91" s="11">
        <v>0</v>
      </c>
      <c r="E91" s="11">
        <v>0</v>
      </c>
      <c r="F91" s="84">
        <f t="shared" si="11"/>
        <v>0</v>
      </c>
      <c r="G91" s="17">
        <f t="shared" si="14"/>
        <v>11.79</v>
      </c>
      <c r="H91" s="17">
        <f t="shared" si="15"/>
        <v>0</v>
      </c>
      <c r="I91" s="17">
        <f t="shared" si="16"/>
        <v>0</v>
      </c>
      <c r="J91" s="18">
        <f t="shared" si="17"/>
        <v>0</v>
      </c>
      <c r="K91" s="18">
        <f t="shared" si="18"/>
        <v>0</v>
      </c>
      <c r="L91" s="18">
        <f t="shared" si="12"/>
        <v>11.79</v>
      </c>
      <c r="M91" s="18">
        <f t="shared" si="19"/>
        <v>0</v>
      </c>
      <c r="N91" s="18">
        <f t="shared" si="13"/>
        <v>11.79</v>
      </c>
      <c r="O91" s="8"/>
    </row>
    <row r="92" spans="1:15">
      <c r="A92" s="1" t="s">
        <v>82</v>
      </c>
      <c r="B92" s="11"/>
      <c r="C92" s="11">
        <v>3248000</v>
      </c>
      <c r="D92" s="11">
        <v>3267000</v>
      </c>
      <c r="E92" s="11">
        <v>0</v>
      </c>
      <c r="F92" s="84">
        <f t="shared" si="11"/>
        <v>7000</v>
      </c>
      <c r="G92" s="17">
        <f t="shared" si="14"/>
        <v>40.090000000000003</v>
      </c>
      <c r="H92" s="17">
        <f t="shared" si="15"/>
        <v>0</v>
      </c>
      <c r="I92" s="17">
        <f t="shared" si="16"/>
        <v>0</v>
      </c>
      <c r="J92" s="18">
        <f t="shared" si="17"/>
        <v>0</v>
      </c>
      <c r="K92" s="18">
        <f t="shared" si="18"/>
        <v>0</v>
      </c>
      <c r="L92" s="18">
        <f t="shared" si="12"/>
        <v>40.090000000000003</v>
      </c>
      <c r="M92" s="18">
        <f t="shared" si="19"/>
        <v>0</v>
      </c>
      <c r="N92" s="18">
        <f t="shared" si="13"/>
        <v>40.090000000000003</v>
      </c>
      <c r="O92" s="8"/>
    </row>
    <row r="93" spans="1:15">
      <c r="A93" s="1" t="s">
        <v>83</v>
      </c>
      <c r="B93" s="11"/>
      <c r="C93" s="11">
        <v>7562000</v>
      </c>
      <c r="D93" s="11">
        <v>7564000</v>
      </c>
      <c r="E93" s="11">
        <v>0</v>
      </c>
      <c r="F93" s="84">
        <f t="shared" si="11"/>
        <v>1000</v>
      </c>
      <c r="G93" s="17">
        <f t="shared" si="14"/>
        <v>40.090000000000003</v>
      </c>
      <c r="H93" s="17">
        <f t="shared" si="15"/>
        <v>0</v>
      </c>
      <c r="I93" s="17">
        <f t="shared" si="16"/>
        <v>0</v>
      </c>
      <c r="J93" s="18">
        <f t="shared" si="17"/>
        <v>0</v>
      </c>
      <c r="K93" s="18">
        <f t="shared" si="18"/>
        <v>0</v>
      </c>
      <c r="L93" s="18">
        <f t="shared" si="12"/>
        <v>40.090000000000003</v>
      </c>
      <c r="M93" s="18">
        <f t="shared" si="19"/>
        <v>0</v>
      </c>
      <c r="N93" s="18">
        <f t="shared" si="13"/>
        <v>40.090000000000003</v>
      </c>
      <c r="O93" s="8"/>
    </row>
    <row r="94" spans="1:15">
      <c r="A94" s="1" t="s">
        <v>84</v>
      </c>
      <c r="B94" s="11"/>
      <c r="C94" s="11">
        <v>3085000</v>
      </c>
      <c r="D94" s="11">
        <v>3093000</v>
      </c>
      <c r="E94" s="11">
        <v>0</v>
      </c>
      <c r="F94" s="84">
        <f t="shared" si="11"/>
        <v>3000</v>
      </c>
      <c r="G94" s="17">
        <f t="shared" si="14"/>
        <v>40.090000000000003</v>
      </c>
      <c r="H94" s="17">
        <f t="shared" si="15"/>
        <v>0</v>
      </c>
      <c r="I94" s="17">
        <f t="shared" si="16"/>
        <v>0</v>
      </c>
      <c r="J94" s="18">
        <f t="shared" si="17"/>
        <v>0</v>
      </c>
      <c r="K94" s="18">
        <f t="shared" si="18"/>
        <v>0</v>
      </c>
      <c r="L94" s="18">
        <f t="shared" si="12"/>
        <v>40.090000000000003</v>
      </c>
      <c r="M94" s="18">
        <f t="shared" si="19"/>
        <v>0</v>
      </c>
      <c r="N94" s="18">
        <f t="shared" si="13"/>
        <v>40.090000000000003</v>
      </c>
      <c r="O94" s="8"/>
    </row>
    <row r="95" spans="1:15">
      <c r="A95" s="1" t="s">
        <v>85</v>
      </c>
      <c r="B95" s="11"/>
      <c r="C95" s="11">
        <v>2017000</v>
      </c>
      <c r="D95" s="11">
        <v>2024000</v>
      </c>
      <c r="E95" s="11">
        <v>0</v>
      </c>
      <c r="F95" s="84">
        <f t="shared" si="11"/>
        <v>3000</v>
      </c>
      <c r="G95" s="17">
        <f t="shared" si="14"/>
        <v>40.090000000000003</v>
      </c>
      <c r="H95" s="17">
        <f t="shared" si="15"/>
        <v>0</v>
      </c>
      <c r="I95" s="17">
        <f t="shared" si="16"/>
        <v>0</v>
      </c>
      <c r="J95" s="18">
        <f t="shared" si="17"/>
        <v>0</v>
      </c>
      <c r="K95" s="18">
        <f t="shared" si="18"/>
        <v>0</v>
      </c>
      <c r="L95" s="18">
        <f t="shared" si="12"/>
        <v>40.090000000000003</v>
      </c>
      <c r="M95" s="18">
        <f t="shared" si="19"/>
        <v>0</v>
      </c>
      <c r="N95" s="18">
        <f t="shared" si="13"/>
        <v>40.090000000000003</v>
      </c>
      <c r="O95" s="8"/>
    </row>
    <row r="96" spans="1:15">
      <c r="A96" s="1" t="s">
        <v>86</v>
      </c>
      <c r="B96" s="11"/>
      <c r="C96" s="11">
        <v>1852000</v>
      </c>
      <c r="D96" s="11">
        <v>1865000</v>
      </c>
      <c r="E96" s="11">
        <v>0</v>
      </c>
      <c r="F96" s="84">
        <f t="shared" si="11"/>
        <v>5000</v>
      </c>
      <c r="G96" s="17">
        <f t="shared" si="14"/>
        <v>40.090000000000003</v>
      </c>
      <c r="H96" s="17">
        <f t="shared" si="15"/>
        <v>0</v>
      </c>
      <c r="I96" s="17">
        <f t="shared" si="16"/>
        <v>0</v>
      </c>
      <c r="J96" s="18">
        <f t="shared" si="17"/>
        <v>0</v>
      </c>
      <c r="K96" s="18">
        <f t="shared" si="18"/>
        <v>0</v>
      </c>
      <c r="L96" s="18">
        <f t="shared" si="12"/>
        <v>40.090000000000003</v>
      </c>
      <c r="M96" s="18">
        <f t="shared" si="19"/>
        <v>0</v>
      </c>
      <c r="N96" s="18">
        <f t="shared" si="13"/>
        <v>40.090000000000003</v>
      </c>
      <c r="O96" s="8"/>
    </row>
    <row r="97" spans="1:15">
      <c r="A97" s="1" t="s">
        <v>87</v>
      </c>
      <c r="B97" s="11" t="s">
        <v>138</v>
      </c>
      <c r="C97" s="11">
        <v>0</v>
      </c>
      <c r="D97" s="11">
        <v>0</v>
      </c>
      <c r="E97" s="11">
        <v>0</v>
      </c>
      <c r="F97" s="84">
        <f t="shared" si="11"/>
        <v>0</v>
      </c>
      <c r="G97" s="17">
        <f t="shared" si="14"/>
        <v>11.79</v>
      </c>
      <c r="H97" s="17">
        <f t="shared" si="15"/>
        <v>0</v>
      </c>
      <c r="I97" s="17">
        <f t="shared" si="16"/>
        <v>0</v>
      </c>
      <c r="J97" s="18">
        <f t="shared" si="17"/>
        <v>0</v>
      </c>
      <c r="K97" s="18">
        <f t="shared" si="18"/>
        <v>0</v>
      </c>
      <c r="L97" s="18">
        <f t="shared" si="12"/>
        <v>11.79</v>
      </c>
      <c r="M97" s="18">
        <f t="shared" si="19"/>
        <v>0</v>
      </c>
      <c r="N97" s="18">
        <f t="shared" si="13"/>
        <v>11.79</v>
      </c>
      <c r="O97" s="8"/>
    </row>
    <row r="98" spans="1:15">
      <c r="A98" s="1" t="s">
        <v>88</v>
      </c>
      <c r="B98" s="11"/>
      <c r="C98" s="11">
        <v>1231000</v>
      </c>
      <c r="D98" s="11">
        <v>1231000</v>
      </c>
      <c r="E98" s="11">
        <v>0</v>
      </c>
      <c r="F98" s="84">
        <f t="shared" si="11"/>
        <v>0</v>
      </c>
      <c r="G98" s="17">
        <f t="shared" si="14"/>
        <v>40.090000000000003</v>
      </c>
      <c r="H98" s="17">
        <f t="shared" si="15"/>
        <v>0</v>
      </c>
      <c r="I98" s="17">
        <f t="shared" si="16"/>
        <v>0</v>
      </c>
      <c r="J98" s="18">
        <f t="shared" si="17"/>
        <v>0</v>
      </c>
      <c r="K98" s="18">
        <f t="shared" si="18"/>
        <v>0</v>
      </c>
      <c r="L98" s="18">
        <f t="shared" si="12"/>
        <v>40.090000000000003</v>
      </c>
      <c r="M98" s="18">
        <f t="shared" si="19"/>
        <v>0</v>
      </c>
      <c r="N98" s="18">
        <f t="shared" si="13"/>
        <v>40.090000000000003</v>
      </c>
      <c r="O98" s="8"/>
    </row>
    <row r="99" spans="1:15">
      <c r="A99" s="1" t="s">
        <v>89</v>
      </c>
      <c r="B99" s="11"/>
      <c r="C99" s="11">
        <v>2262000</v>
      </c>
      <c r="D99" s="11">
        <v>2274000</v>
      </c>
      <c r="E99" s="11">
        <v>0</v>
      </c>
      <c r="F99" s="84">
        <f t="shared" si="11"/>
        <v>4000</v>
      </c>
      <c r="G99" s="17">
        <f t="shared" si="14"/>
        <v>40.090000000000003</v>
      </c>
      <c r="H99" s="17">
        <f t="shared" si="15"/>
        <v>0</v>
      </c>
      <c r="I99" s="17">
        <f t="shared" si="16"/>
        <v>0</v>
      </c>
      <c r="J99" s="18">
        <f t="shared" si="17"/>
        <v>0</v>
      </c>
      <c r="K99" s="18">
        <f t="shared" si="18"/>
        <v>0</v>
      </c>
      <c r="L99" s="18">
        <f t="shared" si="12"/>
        <v>40.090000000000003</v>
      </c>
      <c r="M99" s="18">
        <f t="shared" si="19"/>
        <v>0</v>
      </c>
      <c r="N99" s="18">
        <f t="shared" si="13"/>
        <v>40.090000000000003</v>
      </c>
      <c r="O99" s="8"/>
    </row>
    <row r="100" spans="1:15">
      <c r="A100" s="1" t="s">
        <v>90</v>
      </c>
      <c r="B100" s="11"/>
      <c r="C100" s="11">
        <v>1240000</v>
      </c>
      <c r="D100" s="11">
        <v>1249000</v>
      </c>
      <c r="E100" s="11">
        <v>0</v>
      </c>
      <c r="F100" s="84">
        <f t="shared" si="11"/>
        <v>3000</v>
      </c>
      <c r="G100" s="17">
        <f t="shared" si="14"/>
        <v>40.090000000000003</v>
      </c>
      <c r="H100" s="17">
        <f t="shared" si="15"/>
        <v>0</v>
      </c>
      <c r="I100" s="17">
        <f t="shared" si="16"/>
        <v>0</v>
      </c>
      <c r="J100" s="18">
        <f t="shared" si="17"/>
        <v>0</v>
      </c>
      <c r="K100" s="18">
        <f t="shared" si="18"/>
        <v>0</v>
      </c>
      <c r="L100" s="18">
        <f t="shared" si="12"/>
        <v>40.090000000000003</v>
      </c>
      <c r="M100" s="18">
        <f t="shared" si="19"/>
        <v>0</v>
      </c>
      <c r="N100" s="18">
        <f t="shared" si="13"/>
        <v>40.090000000000003</v>
      </c>
      <c r="O100" s="8"/>
    </row>
    <row r="101" spans="1:15">
      <c r="A101" s="1" t="s">
        <v>91</v>
      </c>
      <c r="B101" s="11"/>
      <c r="C101" s="11">
        <v>254000</v>
      </c>
      <c r="D101" s="11">
        <v>261000</v>
      </c>
      <c r="E101" s="11">
        <v>0</v>
      </c>
      <c r="F101" s="84">
        <f t="shared" si="11"/>
        <v>3000</v>
      </c>
      <c r="G101" s="17">
        <f t="shared" si="14"/>
        <v>40.090000000000003</v>
      </c>
      <c r="H101" s="17">
        <f t="shared" si="15"/>
        <v>0</v>
      </c>
      <c r="I101" s="17">
        <f t="shared" si="16"/>
        <v>0</v>
      </c>
      <c r="J101" s="18">
        <f t="shared" si="17"/>
        <v>0</v>
      </c>
      <c r="K101" s="18">
        <f t="shared" si="18"/>
        <v>0</v>
      </c>
      <c r="L101" s="18">
        <f t="shared" si="12"/>
        <v>40.090000000000003</v>
      </c>
      <c r="M101" s="18">
        <f t="shared" si="19"/>
        <v>0</v>
      </c>
      <c r="N101" s="18">
        <f t="shared" si="13"/>
        <v>40.090000000000003</v>
      </c>
      <c r="O101" s="8"/>
    </row>
    <row r="102" spans="1:15">
      <c r="A102" s="1" t="s">
        <v>92</v>
      </c>
      <c r="B102" s="11"/>
      <c r="C102" s="11">
        <v>2518000</v>
      </c>
      <c r="D102" s="11">
        <v>2532000</v>
      </c>
      <c r="E102" s="11">
        <v>0</v>
      </c>
      <c r="F102" s="84">
        <f t="shared" si="11"/>
        <v>5000</v>
      </c>
      <c r="G102" s="17">
        <f t="shared" si="14"/>
        <v>40.090000000000003</v>
      </c>
      <c r="H102" s="17">
        <f t="shared" si="15"/>
        <v>0</v>
      </c>
      <c r="I102" s="17">
        <f t="shared" si="16"/>
        <v>0</v>
      </c>
      <c r="J102" s="18">
        <f t="shared" si="17"/>
        <v>0</v>
      </c>
      <c r="K102" s="18">
        <f t="shared" si="18"/>
        <v>0</v>
      </c>
      <c r="L102" s="18">
        <f t="shared" si="12"/>
        <v>40.090000000000003</v>
      </c>
      <c r="M102" s="18">
        <f t="shared" si="19"/>
        <v>0</v>
      </c>
      <c r="N102" s="18">
        <f t="shared" si="13"/>
        <v>40.090000000000003</v>
      </c>
      <c r="O102" s="8"/>
    </row>
    <row r="103" spans="1:15">
      <c r="A103" s="1" t="s">
        <v>93</v>
      </c>
      <c r="B103" s="11" t="s">
        <v>138</v>
      </c>
      <c r="C103" s="11">
        <v>0</v>
      </c>
      <c r="D103" s="11">
        <v>0</v>
      </c>
      <c r="E103" s="11">
        <v>0</v>
      </c>
      <c r="F103" s="84">
        <f t="shared" si="11"/>
        <v>0</v>
      </c>
      <c r="G103" s="17">
        <f t="shared" si="14"/>
        <v>11.79</v>
      </c>
      <c r="H103" s="17">
        <f t="shared" si="15"/>
        <v>0</v>
      </c>
      <c r="I103" s="17">
        <f t="shared" si="16"/>
        <v>0</v>
      </c>
      <c r="J103" s="18">
        <f t="shared" si="17"/>
        <v>0</v>
      </c>
      <c r="K103" s="18">
        <f t="shared" si="18"/>
        <v>0</v>
      </c>
      <c r="L103" s="18">
        <f t="shared" si="12"/>
        <v>11.79</v>
      </c>
      <c r="M103" s="18">
        <f t="shared" si="19"/>
        <v>0</v>
      </c>
      <c r="N103" s="18">
        <f t="shared" si="13"/>
        <v>11.79</v>
      </c>
      <c r="O103" s="8"/>
    </row>
    <row r="104" spans="1:15">
      <c r="A104" s="1" t="s">
        <v>94</v>
      </c>
      <c r="B104" s="11" t="s">
        <v>138</v>
      </c>
      <c r="C104" s="11">
        <v>0</v>
      </c>
      <c r="D104" s="11">
        <v>0</v>
      </c>
      <c r="E104" s="11">
        <v>0</v>
      </c>
      <c r="F104" s="84">
        <f t="shared" si="11"/>
        <v>0</v>
      </c>
      <c r="G104" s="17">
        <f t="shared" si="14"/>
        <v>11.79</v>
      </c>
      <c r="H104" s="17">
        <f t="shared" si="15"/>
        <v>0</v>
      </c>
      <c r="I104" s="17">
        <f t="shared" si="16"/>
        <v>0</v>
      </c>
      <c r="J104" s="18">
        <f t="shared" si="17"/>
        <v>0</v>
      </c>
      <c r="K104" s="18">
        <f t="shared" si="18"/>
        <v>0</v>
      </c>
      <c r="L104" s="18">
        <f t="shared" si="12"/>
        <v>11.79</v>
      </c>
      <c r="M104" s="18">
        <f t="shared" si="19"/>
        <v>0</v>
      </c>
      <c r="N104" s="18">
        <f t="shared" si="13"/>
        <v>11.79</v>
      </c>
      <c r="O104" s="8"/>
    </row>
    <row r="105" spans="1:15">
      <c r="A105" s="1" t="s">
        <v>95</v>
      </c>
      <c r="B105" s="11" t="s">
        <v>138</v>
      </c>
      <c r="C105" s="11">
        <v>0</v>
      </c>
      <c r="D105" s="11">
        <v>0</v>
      </c>
      <c r="E105" s="11">
        <v>0</v>
      </c>
      <c r="F105" s="84">
        <f t="shared" si="11"/>
        <v>0</v>
      </c>
      <c r="G105" s="17">
        <f t="shared" si="14"/>
        <v>11.79</v>
      </c>
      <c r="H105" s="17">
        <f t="shared" si="15"/>
        <v>0</v>
      </c>
      <c r="I105" s="17">
        <f t="shared" si="16"/>
        <v>0</v>
      </c>
      <c r="J105" s="18">
        <f t="shared" si="17"/>
        <v>0</v>
      </c>
      <c r="K105" s="18">
        <f t="shared" si="18"/>
        <v>0</v>
      </c>
      <c r="L105" s="18">
        <f t="shared" si="12"/>
        <v>11.79</v>
      </c>
      <c r="M105" s="18">
        <f t="shared" si="19"/>
        <v>0</v>
      </c>
      <c r="N105" s="18">
        <f t="shared" si="13"/>
        <v>11.79</v>
      </c>
      <c r="O105" s="8"/>
    </row>
    <row r="106" spans="1:15">
      <c r="A106" s="1" t="s">
        <v>96</v>
      </c>
      <c r="B106" s="11"/>
      <c r="C106" s="11">
        <v>1842000</v>
      </c>
      <c r="D106" s="11">
        <v>1856000</v>
      </c>
      <c r="E106" s="11">
        <v>0</v>
      </c>
      <c r="F106" s="84">
        <f t="shared" si="11"/>
        <v>5000</v>
      </c>
      <c r="G106" s="17">
        <f t="shared" si="14"/>
        <v>40.090000000000003</v>
      </c>
      <c r="H106" s="17">
        <f t="shared" si="15"/>
        <v>0</v>
      </c>
      <c r="I106" s="17">
        <f t="shared" si="16"/>
        <v>0</v>
      </c>
      <c r="J106" s="18">
        <f t="shared" si="17"/>
        <v>0</v>
      </c>
      <c r="K106" s="18">
        <f t="shared" si="18"/>
        <v>0</v>
      </c>
      <c r="L106" s="18">
        <f t="shared" si="12"/>
        <v>40.090000000000003</v>
      </c>
      <c r="M106" s="18">
        <f t="shared" si="19"/>
        <v>0</v>
      </c>
      <c r="N106" s="18">
        <f t="shared" si="13"/>
        <v>40.090000000000003</v>
      </c>
      <c r="O106" s="8"/>
    </row>
    <row r="107" spans="1:15">
      <c r="A107" s="1" t="s">
        <v>97</v>
      </c>
      <c r="B107" s="11" t="s">
        <v>138</v>
      </c>
      <c r="C107" s="11">
        <v>0</v>
      </c>
      <c r="D107" s="11">
        <v>0</v>
      </c>
      <c r="E107" s="11">
        <v>0</v>
      </c>
      <c r="F107" s="84">
        <f t="shared" ref="F107:F136" si="20">ROUNDUP((($D107-$C107)+$E107)/3,-3)</f>
        <v>0</v>
      </c>
      <c r="G107" s="17">
        <f t="shared" si="14"/>
        <v>11.79</v>
      </c>
      <c r="H107" s="17">
        <f t="shared" si="15"/>
        <v>0</v>
      </c>
      <c r="I107" s="17">
        <f t="shared" si="16"/>
        <v>0</v>
      </c>
      <c r="J107" s="18">
        <f t="shared" si="17"/>
        <v>0</v>
      </c>
      <c r="K107" s="18">
        <f t="shared" si="18"/>
        <v>0</v>
      </c>
      <c r="L107" s="18">
        <f t="shared" si="12"/>
        <v>11.79</v>
      </c>
      <c r="M107" s="18">
        <f t="shared" si="19"/>
        <v>0</v>
      </c>
      <c r="N107" s="18">
        <f t="shared" si="13"/>
        <v>11.79</v>
      </c>
      <c r="O107" s="8"/>
    </row>
    <row r="108" spans="1:15">
      <c r="A108" s="1" t="s">
        <v>98</v>
      </c>
      <c r="B108" s="11" t="s">
        <v>138</v>
      </c>
      <c r="C108" s="11">
        <v>0</v>
      </c>
      <c r="D108" s="11">
        <v>0</v>
      </c>
      <c r="E108" s="11">
        <v>0</v>
      </c>
      <c r="F108" s="84">
        <f t="shared" si="20"/>
        <v>0</v>
      </c>
      <c r="G108" s="17">
        <f t="shared" si="14"/>
        <v>11.79</v>
      </c>
      <c r="H108" s="17">
        <f t="shared" si="15"/>
        <v>0</v>
      </c>
      <c r="I108" s="17">
        <f t="shared" si="16"/>
        <v>0</v>
      </c>
      <c r="J108" s="18">
        <f t="shared" si="17"/>
        <v>0</v>
      </c>
      <c r="K108" s="18">
        <f t="shared" si="18"/>
        <v>0</v>
      </c>
      <c r="L108" s="18">
        <f t="shared" si="12"/>
        <v>11.79</v>
      </c>
      <c r="M108" s="18">
        <f t="shared" si="19"/>
        <v>0</v>
      </c>
      <c r="N108" s="18">
        <f t="shared" si="13"/>
        <v>11.79</v>
      </c>
      <c r="O108" s="8"/>
    </row>
    <row r="109" spans="1:15">
      <c r="A109" s="1" t="s">
        <v>99</v>
      </c>
      <c r="B109" s="11"/>
      <c r="C109" s="11">
        <v>1662000</v>
      </c>
      <c r="D109" s="11">
        <v>1675000</v>
      </c>
      <c r="E109" s="11">
        <v>0</v>
      </c>
      <c r="F109" s="84">
        <f t="shared" si="20"/>
        <v>5000</v>
      </c>
      <c r="G109" s="17">
        <f t="shared" si="14"/>
        <v>40.090000000000003</v>
      </c>
      <c r="H109" s="17">
        <f t="shared" si="15"/>
        <v>0</v>
      </c>
      <c r="I109" s="17">
        <f t="shared" si="16"/>
        <v>0</v>
      </c>
      <c r="J109" s="18">
        <f t="shared" si="17"/>
        <v>0</v>
      </c>
      <c r="K109" s="18">
        <f t="shared" si="18"/>
        <v>0</v>
      </c>
      <c r="L109" s="18">
        <f t="shared" si="12"/>
        <v>40.090000000000003</v>
      </c>
      <c r="M109" s="18">
        <f t="shared" si="19"/>
        <v>0</v>
      </c>
      <c r="N109" s="18">
        <f t="shared" si="13"/>
        <v>40.090000000000003</v>
      </c>
      <c r="O109" s="8"/>
    </row>
    <row r="110" spans="1:15">
      <c r="A110" s="1" t="s">
        <v>100</v>
      </c>
      <c r="B110" s="11"/>
      <c r="C110" s="11">
        <v>515000</v>
      </c>
      <c r="D110" s="11">
        <v>529000</v>
      </c>
      <c r="E110" s="11">
        <v>0</v>
      </c>
      <c r="F110" s="84">
        <f t="shared" si="20"/>
        <v>5000</v>
      </c>
      <c r="G110" s="17">
        <f t="shared" si="14"/>
        <v>40.090000000000003</v>
      </c>
      <c r="H110" s="17">
        <f t="shared" si="15"/>
        <v>0</v>
      </c>
      <c r="I110" s="17">
        <f t="shared" si="16"/>
        <v>0</v>
      </c>
      <c r="J110" s="18">
        <f t="shared" si="17"/>
        <v>0</v>
      </c>
      <c r="K110" s="18">
        <f t="shared" si="18"/>
        <v>0</v>
      </c>
      <c r="L110" s="18">
        <f t="shared" si="12"/>
        <v>40.090000000000003</v>
      </c>
      <c r="M110" s="18">
        <f t="shared" si="19"/>
        <v>0</v>
      </c>
      <c r="N110" s="18">
        <f t="shared" si="13"/>
        <v>40.090000000000003</v>
      </c>
      <c r="O110" s="8"/>
    </row>
    <row r="111" spans="1:15">
      <c r="A111" s="1" t="s">
        <v>101</v>
      </c>
      <c r="B111" s="11"/>
      <c r="C111" s="11">
        <v>4548000</v>
      </c>
      <c r="D111" s="11">
        <v>4556000</v>
      </c>
      <c r="E111" s="11">
        <v>0</v>
      </c>
      <c r="F111" s="84">
        <f t="shared" si="20"/>
        <v>3000</v>
      </c>
      <c r="G111" s="17">
        <f t="shared" si="14"/>
        <v>40.090000000000003</v>
      </c>
      <c r="H111" s="17">
        <f t="shared" si="15"/>
        <v>0</v>
      </c>
      <c r="I111" s="17">
        <f t="shared" si="16"/>
        <v>0</v>
      </c>
      <c r="J111" s="18">
        <f t="shared" si="17"/>
        <v>0</v>
      </c>
      <c r="K111" s="18">
        <f t="shared" si="18"/>
        <v>0</v>
      </c>
      <c r="L111" s="18">
        <f t="shared" si="12"/>
        <v>40.090000000000003</v>
      </c>
      <c r="M111" s="18">
        <f t="shared" si="19"/>
        <v>0</v>
      </c>
      <c r="N111" s="18">
        <f t="shared" si="13"/>
        <v>40.090000000000003</v>
      </c>
      <c r="O111" s="8"/>
    </row>
    <row r="112" spans="1:15">
      <c r="A112" s="1" t="s">
        <v>102</v>
      </c>
      <c r="B112" s="11" t="s">
        <v>138</v>
      </c>
      <c r="C112" s="11">
        <v>0</v>
      </c>
      <c r="D112" s="11">
        <v>0</v>
      </c>
      <c r="E112" s="11">
        <v>0</v>
      </c>
      <c r="F112" s="84">
        <f t="shared" si="20"/>
        <v>0</v>
      </c>
      <c r="G112" s="17">
        <f t="shared" si="14"/>
        <v>11.79</v>
      </c>
      <c r="H112" s="17">
        <f t="shared" si="15"/>
        <v>0</v>
      </c>
      <c r="I112" s="17">
        <f t="shared" si="16"/>
        <v>0</v>
      </c>
      <c r="J112" s="18">
        <f t="shared" si="17"/>
        <v>0</v>
      </c>
      <c r="K112" s="18">
        <f t="shared" si="18"/>
        <v>0</v>
      </c>
      <c r="L112" s="18">
        <f t="shared" si="12"/>
        <v>11.79</v>
      </c>
      <c r="M112" s="18">
        <f t="shared" si="19"/>
        <v>0</v>
      </c>
      <c r="N112" s="18">
        <f t="shared" si="13"/>
        <v>11.79</v>
      </c>
      <c r="O112" s="8"/>
    </row>
    <row r="113" spans="1:15">
      <c r="A113" s="1" t="s">
        <v>103</v>
      </c>
      <c r="B113" s="11"/>
      <c r="C113" s="11">
        <v>1201000</v>
      </c>
      <c r="D113" s="11">
        <v>1222000</v>
      </c>
      <c r="E113" s="11">
        <v>0</v>
      </c>
      <c r="F113" s="84">
        <f t="shared" si="20"/>
        <v>7000</v>
      </c>
      <c r="G113" s="17">
        <f t="shared" si="14"/>
        <v>40.090000000000003</v>
      </c>
      <c r="H113" s="17">
        <f t="shared" si="15"/>
        <v>0</v>
      </c>
      <c r="I113" s="17">
        <f t="shared" si="16"/>
        <v>0</v>
      </c>
      <c r="J113" s="18">
        <f t="shared" si="17"/>
        <v>0</v>
      </c>
      <c r="K113" s="18">
        <f t="shared" si="18"/>
        <v>0</v>
      </c>
      <c r="L113" s="18">
        <f t="shared" si="12"/>
        <v>40.090000000000003</v>
      </c>
      <c r="M113" s="18">
        <f t="shared" ref="M113:M136" si="21">IF(   $H$5=1,    IF((F113-$H$6)&gt;0,((F113-$H$6)/$N$7)*$E$8,0),   IF(F113&gt;0,(F113/$N$4)*$E$8,0)    )</f>
        <v>0</v>
      </c>
      <c r="N113" s="18">
        <f t="shared" si="13"/>
        <v>40.090000000000003</v>
      </c>
      <c r="O113" s="8"/>
    </row>
    <row r="114" spans="1:15">
      <c r="A114" s="1" t="s">
        <v>104</v>
      </c>
      <c r="B114" s="11" t="s">
        <v>138</v>
      </c>
      <c r="C114" s="11">
        <v>0</v>
      </c>
      <c r="D114" s="11">
        <v>0</v>
      </c>
      <c r="E114" s="11">
        <v>0</v>
      </c>
      <c r="F114" s="84">
        <f t="shared" si="20"/>
        <v>0</v>
      </c>
      <c r="G114" s="17">
        <f t="shared" si="14"/>
        <v>11.79</v>
      </c>
      <c r="H114" s="17">
        <f t="shared" si="15"/>
        <v>0</v>
      </c>
      <c r="I114" s="17">
        <f t="shared" si="16"/>
        <v>0</v>
      </c>
      <c r="J114" s="18">
        <f t="shared" si="17"/>
        <v>0</v>
      </c>
      <c r="K114" s="18">
        <f t="shared" si="18"/>
        <v>0</v>
      </c>
      <c r="L114" s="18">
        <f t="shared" si="12"/>
        <v>11.79</v>
      </c>
      <c r="M114" s="18">
        <f t="shared" si="21"/>
        <v>0</v>
      </c>
      <c r="N114" s="18">
        <f t="shared" si="13"/>
        <v>11.79</v>
      </c>
      <c r="O114" s="8"/>
    </row>
    <row r="115" spans="1:15">
      <c r="A115" s="1" t="s">
        <v>105</v>
      </c>
      <c r="B115" s="11"/>
      <c r="C115" s="11">
        <v>1467000</v>
      </c>
      <c r="D115" s="11">
        <v>1475000</v>
      </c>
      <c r="E115" s="11">
        <v>0</v>
      </c>
      <c r="F115" s="84">
        <f t="shared" si="20"/>
        <v>3000</v>
      </c>
      <c r="G115" s="17">
        <f t="shared" si="14"/>
        <v>40.090000000000003</v>
      </c>
      <c r="H115" s="17">
        <f t="shared" si="15"/>
        <v>0</v>
      </c>
      <c r="I115" s="17">
        <f t="shared" si="16"/>
        <v>0</v>
      </c>
      <c r="J115" s="18">
        <f t="shared" si="17"/>
        <v>0</v>
      </c>
      <c r="K115" s="18">
        <f t="shared" si="18"/>
        <v>0</v>
      </c>
      <c r="L115" s="18">
        <f t="shared" si="12"/>
        <v>40.090000000000003</v>
      </c>
      <c r="M115" s="18">
        <f t="shared" si="21"/>
        <v>0</v>
      </c>
      <c r="N115" s="18">
        <f t="shared" si="13"/>
        <v>40.090000000000003</v>
      </c>
      <c r="O115" s="8"/>
    </row>
    <row r="116" spans="1:15">
      <c r="A116" s="1" t="s">
        <v>106</v>
      </c>
      <c r="B116" s="11"/>
      <c r="C116" s="11">
        <v>1791000</v>
      </c>
      <c r="D116" s="11">
        <v>1794000</v>
      </c>
      <c r="E116" s="11">
        <v>0</v>
      </c>
      <c r="F116" s="84">
        <f t="shared" si="20"/>
        <v>1000</v>
      </c>
      <c r="G116" s="17">
        <f t="shared" si="14"/>
        <v>40.090000000000003</v>
      </c>
      <c r="H116" s="17">
        <f t="shared" si="15"/>
        <v>0</v>
      </c>
      <c r="I116" s="17">
        <f t="shared" si="16"/>
        <v>0</v>
      </c>
      <c r="J116" s="18">
        <f t="shared" si="17"/>
        <v>0</v>
      </c>
      <c r="K116" s="18">
        <f t="shared" si="18"/>
        <v>0</v>
      </c>
      <c r="L116" s="18">
        <f t="shared" si="12"/>
        <v>40.090000000000003</v>
      </c>
      <c r="M116" s="18">
        <f t="shared" si="21"/>
        <v>0</v>
      </c>
      <c r="N116" s="18">
        <f t="shared" si="13"/>
        <v>40.090000000000003</v>
      </c>
      <c r="O116" s="8"/>
    </row>
    <row r="117" spans="1:15">
      <c r="A117" s="1" t="s">
        <v>107</v>
      </c>
      <c r="B117" s="11"/>
      <c r="C117" s="11">
        <v>322000</v>
      </c>
      <c r="D117" s="11">
        <v>329000</v>
      </c>
      <c r="E117" s="11">
        <v>0</v>
      </c>
      <c r="F117" s="84">
        <f t="shared" si="20"/>
        <v>3000</v>
      </c>
      <c r="G117" s="17">
        <f t="shared" si="14"/>
        <v>40.090000000000003</v>
      </c>
      <c r="H117" s="17">
        <f t="shared" si="15"/>
        <v>0</v>
      </c>
      <c r="I117" s="17">
        <f t="shared" si="16"/>
        <v>0</v>
      </c>
      <c r="J117" s="18">
        <f t="shared" si="17"/>
        <v>0</v>
      </c>
      <c r="K117" s="18">
        <f t="shared" si="18"/>
        <v>0</v>
      </c>
      <c r="L117" s="18">
        <f t="shared" si="12"/>
        <v>40.090000000000003</v>
      </c>
      <c r="M117" s="18">
        <f t="shared" si="21"/>
        <v>0</v>
      </c>
      <c r="N117" s="18">
        <f t="shared" si="13"/>
        <v>40.090000000000003</v>
      </c>
      <c r="O117" s="8"/>
    </row>
    <row r="118" spans="1:15">
      <c r="A118" s="1" t="s">
        <v>108</v>
      </c>
      <c r="B118" s="11"/>
      <c r="C118" s="11">
        <v>2588000</v>
      </c>
      <c r="D118" s="11">
        <v>2609000</v>
      </c>
      <c r="E118" s="11">
        <v>0</v>
      </c>
      <c r="F118" s="84">
        <f t="shared" si="20"/>
        <v>7000</v>
      </c>
      <c r="G118" s="17">
        <f t="shared" si="14"/>
        <v>40.090000000000003</v>
      </c>
      <c r="H118" s="17">
        <f t="shared" si="15"/>
        <v>0</v>
      </c>
      <c r="I118" s="17">
        <f t="shared" si="16"/>
        <v>0</v>
      </c>
      <c r="J118" s="18">
        <f t="shared" si="17"/>
        <v>0</v>
      </c>
      <c r="K118" s="18">
        <f t="shared" si="18"/>
        <v>0</v>
      </c>
      <c r="L118" s="18">
        <f t="shared" si="12"/>
        <v>40.090000000000003</v>
      </c>
      <c r="M118" s="18">
        <f t="shared" si="21"/>
        <v>0</v>
      </c>
      <c r="N118" s="18">
        <f t="shared" si="13"/>
        <v>40.090000000000003</v>
      </c>
      <c r="O118" s="8"/>
    </row>
    <row r="119" spans="1:15">
      <c r="A119" s="1" t="s">
        <v>109</v>
      </c>
      <c r="B119" s="11" t="s">
        <v>138</v>
      </c>
      <c r="C119" s="11">
        <v>0</v>
      </c>
      <c r="D119" s="11">
        <v>0</v>
      </c>
      <c r="E119" s="11">
        <v>0</v>
      </c>
      <c r="F119" s="84">
        <f t="shared" si="20"/>
        <v>0</v>
      </c>
      <c r="G119" s="17">
        <f t="shared" si="14"/>
        <v>11.79</v>
      </c>
      <c r="H119" s="17">
        <f t="shared" si="15"/>
        <v>0</v>
      </c>
      <c r="I119" s="17">
        <f t="shared" si="16"/>
        <v>0</v>
      </c>
      <c r="J119" s="18">
        <f t="shared" si="17"/>
        <v>0</v>
      </c>
      <c r="K119" s="18">
        <f t="shared" si="18"/>
        <v>0</v>
      </c>
      <c r="L119" s="18">
        <f t="shared" si="12"/>
        <v>11.79</v>
      </c>
      <c r="M119" s="18">
        <f t="shared" si="21"/>
        <v>0</v>
      </c>
      <c r="N119" s="18">
        <f t="shared" si="13"/>
        <v>11.79</v>
      </c>
      <c r="O119" s="8"/>
    </row>
    <row r="120" spans="1:15">
      <c r="A120" s="1" t="s">
        <v>110</v>
      </c>
      <c r="B120" s="11"/>
      <c r="C120" s="11">
        <v>3793000</v>
      </c>
      <c r="D120" s="11">
        <v>3834000</v>
      </c>
      <c r="E120" s="11">
        <v>0</v>
      </c>
      <c r="F120" s="84">
        <f t="shared" si="20"/>
        <v>14000</v>
      </c>
      <c r="G120" s="17">
        <f t="shared" si="14"/>
        <v>40.090000000000003</v>
      </c>
      <c r="H120" s="17">
        <f t="shared" si="15"/>
        <v>8.7200000000000006</v>
      </c>
      <c r="I120" s="17">
        <f t="shared" si="16"/>
        <v>0</v>
      </c>
      <c r="J120" s="18">
        <f t="shared" si="17"/>
        <v>0</v>
      </c>
      <c r="K120" s="18">
        <f t="shared" si="18"/>
        <v>0</v>
      </c>
      <c r="L120" s="18">
        <f t="shared" si="12"/>
        <v>48.81</v>
      </c>
      <c r="M120" s="18">
        <f t="shared" si="21"/>
        <v>0</v>
      </c>
      <c r="N120" s="18">
        <f t="shared" si="13"/>
        <v>48.81</v>
      </c>
      <c r="O120" s="8"/>
    </row>
    <row r="121" spans="1:15">
      <c r="A121" s="1" t="s">
        <v>111</v>
      </c>
      <c r="B121" s="11"/>
      <c r="C121" s="11">
        <v>3508000</v>
      </c>
      <c r="D121" s="11">
        <v>3522000</v>
      </c>
      <c r="E121" s="11">
        <v>0</v>
      </c>
      <c r="F121" s="84">
        <f t="shared" si="20"/>
        <v>5000</v>
      </c>
      <c r="G121" s="17">
        <f t="shared" si="14"/>
        <v>40.090000000000003</v>
      </c>
      <c r="H121" s="17">
        <f t="shared" si="15"/>
        <v>0</v>
      </c>
      <c r="I121" s="17">
        <f t="shared" si="16"/>
        <v>0</v>
      </c>
      <c r="J121" s="18">
        <f t="shared" si="17"/>
        <v>0</v>
      </c>
      <c r="K121" s="18">
        <f t="shared" si="18"/>
        <v>0</v>
      </c>
      <c r="L121" s="18">
        <f t="shared" si="12"/>
        <v>40.090000000000003</v>
      </c>
      <c r="M121" s="18">
        <f t="shared" si="21"/>
        <v>0</v>
      </c>
      <c r="N121" s="18">
        <f t="shared" si="13"/>
        <v>40.090000000000003</v>
      </c>
      <c r="O121" s="8"/>
    </row>
    <row r="122" spans="1:15">
      <c r="A122" s="1" t="s">
        <v>112</v>
      </c>
      <c r="B122" s="11"/>
      <c r="C122" s="11">
        <v>341000</v>
      </c>
      <c r="D122" s="11">
        <v>348000</v>
      </c>
      <c r="E122" s="11">
        <v>0</v>
      </c>
      <c r="F122" s="84">
        <f t="shared" si="20"/>
        <v>3000</v>
      </c>
      <c r="G122" s="17">
        <f t="shared" si="14"/>
        <v>40.090000000000003</v>
      </c>
      <c r="H122" s="17">
        <f t="shared" si="15"/>
        <v>0</v>
      </c>
      <c r="I122" s="17">
        <f t="shared" si="16"/>
        <v>0</v>
      </c>
      <c r="J122" s="18">
        <f t="shared" si="17"/>
        <v>0</v>
      </c>
      <c r="K122" s="18">
        <f t="shared" si="18"/>
        <v>0</v>
      </c>
      <c r="L122" s="18">
        <f t="shared" si="12"/>
        <v>40.090000000000003</v>
      </c>
      <c r="M122" s="18">
        <f t="shared" si="21"/>
        <v>0</v>
      </c>
      <c r="N122" s="18">
        <f t="shared" si="13"/>
        <v>40.090000000000003</v>
      </c>
      <c r="O122" s="8"/>
    </row>
    <row r="123" spans="1:15">
      <c r="A123" s="1" t="s">
        <v>113</v>
      </c>
      <c r="B123" s="11"/>
      <c r="C123" s="11">
        <v>1443000</v>
      </c>
      <c r="D123" s="11">
        <v>1459000</v>
      </c>
      <c r="E123" s="11">
        <v>0</v>
      </c>
      <c r="F123" s="84">
        <f t="shared" si="20"/>
        <v>6000</v>
      </c>
      <c r="G123" s="17">
        <f t="shared" si="14"/>
        <v>40.090000000000003</v>
      </c>
      <c r="H123" s="17">
        <f t="shared" si="15"/>
        <v>0</v>
      </c>
      <c r="I123" s="17">
        <f t="shared" si="16"/>
        <v>0</v>
      </c>
      <c r="J123" s="18">
        <f t="shared" si="17"/>
        <v>0</v>
      </c>
      <c r="K123" s="18">
        <f t="shared" si="18"/>
        <v>0</v>
      </c>
      <c r="L123" s="18">
        <f t="shared" si="12"/>
        <v>40.090000000000003</v>
      </c>
      <c r="M123" s="18">
        <f t="shared" si="21"/>
        <v>0</v>
      </c>
      <c r="N123" s="18">
        <f t="shared" si="13"/>
        <v>40.090000000000003</v>
      </c>
      <c r="O123" s="8"/>
    </row>
    <row r="124" spans="1:15">
      <c r="A124" s="1" t="s">
        <v>114</v>
      </c>
      <c r="B124" s="11"/>
      <c r="C124" s="11">
        <v>2578000</v>
      </c>
      <c r="D124" s="11">
        <v>2585000</v>
      </c>
      <c r="E124" s="11">
        <v>0</v>
      </c>
      <c r="F124" s="84">
        <f t="shared" si="20"/>
        <v>3000</v>
      </c>
      <c r="G124" s="17">
        <f t="shared" si="14"/>
        <v>40.090000000000003</v>
      </c>
      <c r="H124" s="17">
        <f t="shared" si="15"/>
        <v>0</v>
      </c>
      <c r="I124" s="17">
        <f t="shared" si="16"/>
        <v>0</v>
      </c>
      <c r="J124" s="18">
        <f t="shared" si="17"/>
        <v>0</v>
      </c>
      <c r="K124" s="18">
        <f t="shared" si="18"/>
        <v>0</v>
      </c>
      <c r="L124" s="18">
        <f t="shared" si="12"/>
        <v>40.090000000000003</v>
      </c>
      <c r="M124" s="18">
        <f t="shared" si="21"/>
        <v>0</v>
      </c>
      <c r="N124" s="18">
        <f t="shared" si="13"/>
        <v>40.090000000000003</v>
      </c>
      <c r="O124" s="8"/>
    </row>
    <row r="125" spans="1:15">
      <c r="A125" s="1" t="s">
        <v>115</v>
      </c>
      <c r="B125" s="11"/>
      <c r="C125" s="11">
        <v>2468000</v>
      </c>
      <c r="D125" s="11">
        <v>2501000</v>
      </c>
      <c r="E125" s="11">
        <v>0</v>
      </c>
      <c r="F125" s="84">
        <f t="shared" si="20"/>
        <v>11000</v>
      </c>
      <c r="G125" s="17">
        <f t="shared" si="14"/>
        <v>40.090000000000003</v>
      </c>
      <c r="H125" s="17">
        <f t="shared" si="15"/>
        <v>2.1800000000000002</v>
      </c>
      <c r="I125" s="17">
        <f t="shared" si="16"/>
        <v>0</v>
      </c>
      <c r="J125" s="18">
        <f t="shared" si="17"/>
        <v>0</v>
      </c>
      <c r="K125" s="18">
        <f t="shared" si="18"/>
        <v>0</v>
      </c>
      <c r="L125" s="18">
        <f t="shared" si="12"/>
        <v>42.27</v>
      </c>
      <c r="M125" s="18">
        <f t="shared" si="21"/>
        <v>0</v>
      </c>
      <c r="N125" s="18">
        <f t="shared" si="13"/>
        <v>42.27</v>
      </c>
      <c r="O125" s="8"/>
    </row>
    <row r="126" spans="1:15">
      <c r="A126" s="1" t="s">
        <v>116</v>
      </c>
      <c r="B126" s="11"/>
      <c r="C126" s="11">
        <v>4257000</v>
      </c>
      <c r="D126" s="11">
        <v>4263000</v>
      </c>
      <c r="E126" s="11">
        <v>0</v>
      </c>
      <c r="F126" s="84">
        <f t="shared" si="20"/>
        <v>2000</v>
      </c>
      <c r="G126" s="17">
        <f t="shared" si="14"/>
        <v>40.090000000000003</v>
      </c>
      <c r="H126" s="17">
        <f t="shared" si="15"/>
        <v>0</v>
      </c>
      <c r="I126" s="17">
        <f t="shared" si="16"/>
        <v>0</v>
      </c>
      <c r="J126" s="18">
        <f t="shared" si="17"/>
        <v>0</v>
      </c>
      <c r="K126" s="18">
        <f t="shared" si="18"/>
        <v>0</v>
      </c>
      <c r="L126" s="18">
        <f t="shared" si="12"/>
        <v>40.090000000000003</v>
      </c>
      <c r="M126" s="18">
        <f t="shared" si="21"/>
        <v>0</v>
      </c>
      <c r="N126" s="18">
        <f t="shared" si="13"/>
        <v>40.090000000000003</v>
      </c>
      <c r="O126" s="8"/>
    </row>
    <row r="127" spans="1:15">
      <c r="A127" s="1" t="s">
        <v>117</v>
      </c>
      <c r="B127" s="11"/>
      <c r="C127" s="11">
        <v>1890000</v>
      </c>
      <c r="D127" s="11">
        <v>1909000</v>
      </c>
      <c r="E127" s="11">
        <v>0</v>
      </c>
      <c r="F127" s="84">
        <f t="shared" si="20"/>
        <v>7000</v>
      </c>
      <c r="G127" s="17">
        <f t="shared" si="14"/>
        <v>40.090000000000003</v>
      </c>
      <c r="H127" s="17">
        <f t="shared" si="15"/>
        <v>0</v>
      </c>
      <c r="I127" s="17">
        <f t="shared" si="16"/>
        <v>0</v>
      </c>
      <c r="J127" s="18">
        <f t="shared" si="17"/>
        <v>0</v>
      </c>
      <c r="K127" s="18">
        <f t="shared" si="18"/>
        <v>0</v>
      </c>
      <c r="L127" s="18">
        <f t="shared" si="12"/>
        <v>40.090000000000003</v>
      </c>
      <c r="M127" s="18">
        <f t="shared" si="21"/>
        <v>0</v>
      </c>
      <c r="N127" s="18">
        <f t="shared" si="13"/>
        <v>40.090000000000003</v>
      </c>
      <c r="O127" s="8"/>
    </row>
    <row r="128" spans="1:15">
      <c r="A128" s="1" t="s">
        <v>118</v>
      </c>
      <c r="B128" s="11"/>
      <c r="C128" s="11">
        <v>1179000</v>
      </c>
      <c r="D128" s="11">
        <v>1179000</v>
      </c>
      <c r="E128" s="11">
        <v>22000</v>
      </c>
      <c r="F128" s="84">
        <f t="shared" si="20"/>
        <v>8000</v>
      </c>
      <c r="G128" s="17">
        <f t="shared" si="14"/>
        <v>40.090000000000003</v>
      </c>
      <c r="H128" s="17">
        <f t="shared" si="15"/>
        <v>0</v>
      </c>
      <c r="I128" s="17">
        <f t="shared" si="16"/>
        <v>0</v>
      </c>
      <c r="J128" s="18">
        <f t="shared" si="17"/>
        <v>0</v>
      </c>
      <c r="K128" s="18">
        <f t="shared" si="18"/>
        <v>0</v>
      </c>
      <c r="L128" s="18">
        <f t="shared" si="12"/>
        <v>40.090000000000003</v>
      </c>
      <c r="M128" s="18">
        <f t="shared" si="21"/>
        <v>0</v>
      </c>
      <c r="N128" s="18">
        <f t="shared" si="13"/>
        <v>40.090000000000003</v>
      </c>
      <c r="O128" s="8" t="s">
        <v>174</v>
      </c>
    </row>
    <row r="129" spans="1:15">
      <c r="A129" s="1" t="s">
        <v>119</v>
      </c>
      <c r="B129" s="11"/>
      <c r="C129" s="11">
        <v>6840000</v>
      </c>
      <c r="D129" s="11">
        <v>6851000</v>
      </c>
      <c r="E129" s="11">
        <v>0</v>
      </c>
      <c r="F129" s="84">
        <f t="shared" si="20"/>
        <v>4000</v>
      </c>
      <c r="G129" s="17">
        <f t="shared" si="14"/>
        <v>40.090000000000003</v>
      </c>
      <c r="H129" s="17">
        <f t="shared" si="15"/>
        <v>0</v>
      </c>
      <c r="I129" s="17">
        <f t="shared" si="16"/>
        <v>0</v>
      </c>
      <c r="J129" s="18">
        <f t="shared" si="17"/>
        <v>0</v>
      </c>
      <c r="K129" s="18">
        <f t="shared" si="18"/>
        <v>0</v>
      </c>
      <c r="L129" s="18">
        <f t="shared" si="12"/>
        <v>40.090000000000003</v>
      </c>
      <c r="M129" s="18">
        <f t="shared" si="21"/>
        <v>0</v>
      </c>
      <c r="N129" s="18">
        <f t="shared" si="13"/>
        <v>40.090000000000003</v>
      </c>
      <c r="O129" s="8"/>
    </row>
    <row r="130" spans="1:15">
      <c r="A130" s="1" t="s">
        <v>120</v>
      </c>
      <c r="B130" s="11"/>
      <c r="C130" s="11">
        <v>3693000</v>
      </c>
      <c r="D130" s="11">
        <v>3701000</v>
      </c>
      <c r="E130" s="11">
        <v>0</v>
      </c>
      <c r="F130" s="84">
        <f t="shared" si="20"/>
        <v>3000</v>
      </c>
      <c r="G130" s="17">
        <f t="shared" si="14"/>
        <v>40.090000000000003</v>
      </c>
      <c r="H130" s="17">
        <f t="shared" si="15"/>
        <v>0</v>
      </c>
      <c r="I130" s="17">
        <f t="shared" si="16"/>
        <v>0</v>
      </c>
      <c r="J130" s="18">
        <f t="shared" si="17"/>
        <v>0</v>
      </c>
      <c r="K130" s="18">
        <f t="shared" si="18"/>
        <v>0</v>
      </c>
      <c r="L130" s="18">
        <f t="shared" si="12"/>
        <v>40.090000000000003</v>
      </c>
      <c r="M130" s="18">
        <f t="shared" si="21"/>
        <v>0</v>
      </c>
      <c r="N130" s="18">
        <f t="shared" si="13"/>
        <v>40.090000000000003</v>
      </c>
      <c r="O130" s="8"/>
    </row>
    <row r="131" spans="1:15">
      <c r="A131" s="1" t="s">
        <v>121</v>
      </c>
      <c r="B131" s="11" t="s">
        <v>138</v>
      </c>
      <c r="C131" s="11">
        <v>0</v>
      </c>
      <c r="D131" s="11">
        <v>0</v>
      </c>
      <c r="E131" s="11">
        <v>0</v>
      </c>
      <c r="F131" s="84">
        <f t="shared" si="20"/>
        <v>0</v>
      </c>
      <c r="G131" s="17">
        <f t="shared" si="14"/>
        <v>11.79</v>
      </c>
      <c r="H131" s="17">
        <f t="shared" si="15"/>
        <v>0</v>
      </c>
      <c r="I131" s="17">
        <f t="shared" si="16"/>
        <v>0</v>
      </c>
      <c r="J131" s="18">
        <f t="shared" si="17"/>
        <v>0</v>
      </c>
      <c r="K131" s="18">
        <f t="shared" si="18"/>
        <v>0</v>
      </c>
      <c r="L131" s="18">
        <f t="shared" si="12"/>
        <v>11.79</v>
      </c>
      <c r="M131" s="18">
        <f t="shared" si="21"/>
        <v>0</v>
      </c>
      <c r="N131" s="18">
        <f t="shared" si="13"/>
        <v>11.79</v>
      </c>
      <c r="O131" s="8"/>
    </row>
    <row r="132" spans="1:15">
      <c r="A132" s="1" t="s">
        <v>122</v>
      </c>
      <c r="B132" s="11"/>
      <c r="C132" s="11">
        <v>1297000</v>
      </c>
      <c r="D132" s="11">
        <v>1331000</v>
      </c>
      <c r="E132" s="11">
        <v>0</v>
      </c>
      <c r="F132" s="84">
        <f t="shared" si="20"/>
        <v>12000</v>
      </c>
      <c r="G132" s="17">
        <f t="shared" si="14"/>
        <v>40.090000000000003</v>
      </c>
      <c r="H132" s="17">
        <f t="shared" si="15"/>
        <v>4.3600000000000003</v>
      </c>
      <c r="I132" s="17">
        <f t="shared" si="16"/>
        <v>0</v>
      </c>
      <c r="J132" s="18">
        <f t="shared" si="17"/>
        <v>0</v>
      </c>
      <c r="K132" s="18">
        <f t="shared" si="18"/>
        <v>0</v>
      </c>
      <c r="L132" s="18">
        <f t="shared" si="12"/>
        <v>44.45</v>
      </c>
      <c r="M132" s="18">
        <f t="shared" si="21"/>
        <v>0</v>
      </c>
      <c r="N132" s="18">
        <f t="shared" si="13"/>
        <v>44.45</v>
      </c>
      <c r="O132" s="8"/>
    </row>
    <row r="133" spans="1:15">
      <c r="A133" s="1" t="s">
        <v>123</v>
      </c>
      <c r="B133" s="11" t="s">
        <v>138</v>
      </c>
      <c r="C133" s="11">
        <v>0</v>
      </c>
      <c r="D133" s="11">
        <v>0</v>
      </c>
      <c r="E133" s="11">
        <v>0</v>
      </c>
      <c r="F133" s="84">
        <f t="shared" si="20"/>
        <v>0</v>
      </c>
      <c r="G133" s="17">
        <f t="shared" si="14"/>
        <v>11.79</v>
      </c>
      <c r="H133" s="17">
        <f t="shared" si="15"/>
        <v>0</v>
      </c>
      <c r="I133" s="17">
        <f t="shared" si="16"/>
        <v>0</v>
      </c>
      <c r="J133" s="18">
        <f t="shared" si="17"/>
        <v>0</v>
      </c>
      <c r="K133" s="18">
        <f t="shared" si="18"/>
        <v>0</v>
      </c>
      <c r="L133" s="18">
        <f t="shared" si="12"/>
        <v>11.79</v>
      </c>
      <c r="M133" s="18">
        <f t="shared" si="21"/>
        <v>0</v>
      </c>
      <c r="N133" s="18">
        <f t="shared" si="13"/>
        <v>11.79</v>
      </c>
      <c r="O133" s="8"/>
    </row>
    <row r="134" spans="1:15">
      <c r="A134" s="1" t="s">
        <v>124</v>
      </c>
      <c r="B134" s="11" t="s">
        <v>138</v>
      </c>
      <c r="C134" s="11">
        <v>0</v>
      </c>
      <c r="D134" s="11">
        <v>0</v>
      </c>
      <c r="E134" s="11">
        <v>0</v>
      </c>
      <c r="F134" s="84">
        <f t="shared" si="20"/>
        <v>0</v>
      </c>
      <c r="G134" s="17">
        <f t="shared" si="14"/>
        <v>11.79</v>
      </c>
      <c r="H134" s="17">
        <f t="shared" si="15"/>
        <v>0</v>
      </c>
      <c r="I134" s="17">
        <f t="shared" si="16"/>
        <v>0</v>
      </c>
      <c r="J134" s="18">
        <f t="shared" si="17"/>
        <v>0</v>
      </c>
      <c r="K134" s="18">
        <f t="shared" si="18"/>
        <v>0</v>
      </c>
      <c r="L134" s="18">
        <f t="shared" si="12"/>
        <v>11.79</v>
      </c>
      <c r="M134" s="18">
        <f t="shared" si="21"/>
        <v>0</v>
      </c>
      <c r="N134" s="18">
        <f t="shared" si="13"/>
        <v>11.79</v>
      </c>
      <c r="O134" s="8"/>
    </row>
    <row r="135" spans="1:15">
      <c r="A135" s="1" t="s">
        <v>125</v>
      </c>
      <c r="B135" s="11" t="s">
        <v>138</v>
      </c>
      <c r="C135" s="11">
        <v>0</v>
      </c>
      <c r="D135" s="11">
        <v>0</v>
      </c>
      <c r="E135" s="11">
        <v>0</v>
      </c>
      <c r="F135" s="84">
        <f t="shared" si="20"/>
        <v>0</v>
      </c>
      <c r="G135" s="17">
        <f t="shared" si="14"/>
        <v>11.79</v>
      </c>
      <c r="H135" s="17">
        <f t="shared" si="15"/>
        <v>0</v>
      </c>
      <c r="I135" s="17">
        <f t="shared" si="16"/>
        <v>0</v>
      </c>
      <c r="J135" s="18">
        <f t="shared" si="17"/>
        <v>0</v>
      </c>
      <c r="K135" s="18">
        <f t="shared" si="18"/>
        <v>0</v>
      </c>
      <c r="L135" s="18">
        <f t="shared" si="12"/>
        <v>11.79</v>
      </c>
      <c r="M135" s="18">
        <f t="shared" si="21"/>
        <v>0</v>
      </c>
      <c r="N135" s="18">
        <f t="shared" si="13"/>
        <v>11.79</v>
      </c>
      <c r="O135" s="8"/>
    </row>
    <row r="136" spans="1:15">
      <c r="A136" s="1" t="s">
        <v>126</v>
      </c>
      <c r="B136" s="11"/>
      <c r="C136" s="11">
        <v>1003000</v>
      </c>
      <c r="D136" s="11">
        <v>1041000</v>
      </c>
      <c r="E136" s="11">
        <v>0</v>
      </c>
      <c r="F136" s="84">
        <f t="shared" si="20"/>
        <v>13000</v>
      </c>
      <c r="G136" s="17">
        <f t="shared" si="14"/>
        <v>40.090000000000003</v>
      </c>
      <c r="H136" s="17">
        <f t="shared" si="15"/>
        <v>6.5400000000000009</v>
      </c>
      <c r="I136" s="17">
        <f t="shared" si="16"/>
        <v>0</v>
      </c>
      <c r="J136" s="18">
        <f t="shared" si="17"/>
        <v>0</v>
      </c>
      <c r="K136" s="18">
        <f t="shared" si="18"/>
        <v>0</v>
      </c>
      <c r="L136" s="18">
        <f t="shared" si="12"/>
        <v>46.63</v>
      </c>
      <c r="M136" s="18">
        <f t="shared" si="21"/>
        <v>0</v>
      </c>
      <c r="N136" s="18">
        <f t="shared" si="13"/>
        <v>46.63</v>
      </c>
      <c r="O136" s="8"/>
    </row>
    <row r="137" spans="1:15">
      <c r="B137" s="11"/>
      <c r="C137" s="83">
        <f>SUM(Table24[December])</f>
        <v>236682000</v>
      </c>
      <c r="D137" s="11"/>
      <c r="E137" s="11"/>
      <c r="F137" s="83">
        <f>SUM([Usage])</f>
        <v>937000</v>
      </c>
      <c r="G137" s="85"/>
      <c r="H137" s="85"/>
      <c r="I137" s="85"/>
      <c r="J137" s="85"/>
      <c r="K137" s="85"/>
      <c r="L137" s="85"/>
      <c r="M137" s="85"/>
      <c r="N137" s="85"/>
    </row>
    <row r="138" spans="1:15">
      <c r="E138" s="91"/>
      <c r="F138" s="83" t="s">
        <v>271</v>
      </c>
      <c r="G138" s="91"/>
      <c r="J138" s="1" t="s">
        <v>136</v>
      </c>
      <c r="M138" s="27">
        <f>SUM(M11:M136)</f>
        <v>0</v>
      </c>
      <c r="N138" s="5">
        <f>SUM(N11:N136)</f>
        <v>4972.3200000000061</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2">SUM(F11:F136)</f>
        <v>937000</v>
      </c>
      <c r="G140" s="75">
        <f t="shared" si="22"/>
        <v>4196.7500000000045</v>
      </c>
      <c r="H140" s="75">
        <f t="shared" si="22"/>
        <v>358.01000000000016</v>
      </c>
      <c r="I140" s="75">
        <f t="shared" si="22"/>
        <v>101.19999999999999</v>
      </c>
      <c r="J140" s="75">
        <f t="shared" si="22"/>
        <v>118</v>
      </c>
      <c r="K140" s="75">
        <f t="shared" si="22"/>
        <v>198.36</v>
      </c>
      <c r="L140" s="75">
        <f t="shared" si="22"/>
        <v>4972.3200000000061</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0</v>
      </c>
      <c r="G143" s="25">
        <f>SUM(G18:G130)-G145</f>
        <v>3287.3800000000028</v>
      </c>
      <c r="H143" s="80">
        <f>SUM(H18:H130)-H145</f>
        <v>100.28000000000002</v>
      </c>
      <c r="I143" s="25">
        <f>SUM(I18:I130)-I145</f>
        <v>0</v>
      </c>
      <c r="J143" s="25">
        <f>SUM(J18:J130)-J145</f>
        <v>0</v>
      </c>
      <c r="K143" s="25">
        <f>SUM(K18:K130)-K145</f>
        <v>0</v>
      </c>
      <c r="L143" s="25">
        <f>SUM(F143:K143)</f>
        <v>3387.660000000003</v>
      </c>
      <c r="M143" s="1"/>
    </row>
    <row r="144" spans="1:15" customFormat="1">
      <c r="A144" t="s">
        <v>255</v>
      </c>
      <c r="D144">
        <v>8</v>
      </c>
      <c r="E144" s="25">
        <f>SUM(M11:M15)+M17+SUM(M131:M136)</f>
        <v>0</v>
      </c>
      <c r="G144" s="34">
        <f>SUM(G11:G15)+G17+G132+G136</f>
        <v>320.72000000000003</v>
      </c>
      <c r="H144" s="34">
        <f>SUM(H11:H15)+H17+H132+H136</f>
        <v>104.64000000000001</v>
      </c>
      <c r="I144" s="34">
        <f>SUM(I11:I15)+I17+I132+I136</f>
        <v>101.19999999999999</v>
      </c>
      <c r="J144" s="34">
        <f>SUM(J11:J15)+J17+J132+J136</f>
        <v>118</v>
      </c>
      <c r="K144" s="34">
        <f>SUM(K11:K15)+K17+K132+K136</f>
        <v>198.36</v>
      </c>
      <c r="L144" s="25">
        <f t="shared" ref="L144:L147" si="23">SUM(F144:K144)</f>
        <v>842.92</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3"/>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23"/>
        <v>47.16</v>
      </c>
      <c r="M146" s="1"/>
    </row>
    <row r="147" spans="1:13" customFormat="1">
      <c r="A147" t="s">
        <v>253</v>
      </c>
      <c r="D147">
        <v>1</v>
      </c>
      <c r="E147" s="25">
        <f>M16</f>
        <v>0</v>
      </c>
      <c r="G147" s="25">
        <f>G16</f>
        <v>176</v>
      </c>
      <c r="H147" s="25">
        <f>H16</f>
        <v>153.09</v>
      </c>
      <c r="I147" s="25">
        <f>I16</f>
        <v>0</v>
      </c>
      <c r="J147" s="25">
        <f>J16</f>
        <v>0</v>
      </c>
      <c r="K147" s="25">
        <f>K16</f>
        <v>0</v>
      </c>
      <c r="L147" s="25">
        <f t="shared" si="23"/>
        <v>329.09000000000003</v>
      </c>
      <c r="M147" s="1"/>
    </row>
    <row r="148" spans="1:13" customFormat="1" ht="15.75" thickBot="1">
      <c r="B148" t="s">
        <v>257</v>
      </c>
      <c r="D148" s="73">
        <f>SUM(D143:D147)</f>
        <v>126</v>
      </c>
      <c r="E148" s="74">
        <f>SUM(E143:E147)</f>
        <v>0</v>
      </c>
      <c r="F148" s="73"/>
      <c r="G148" s="74">
        <f t="shared" ref="G148:L148" si="24">SUM(G143:G147)</f>
        <v>4196.7500000000036</v>
      </c>
      <c r="H148" s="74">
        <f t="shared" si="24"/>
        <v>358.01</v>
      </c>
      <c r="I148" s="74">
        <f t="shared" si="24"/>
        <v>101.19999999999999</v>
      </c>
      <c r="J148" s="74">
        <f t="shared" si="24"/>
        <v>118</v>
      </c>
      <c r="K148" s="74">
        <f t="shared" si="24"/>
        <v>198.36</v>
      </c>
      <c r="L148" s="74">
        <f t="shared" si="24"/>
        <v>4972.3200000000024</v>
      </c>
      <c r="M148" s="1"/>
    </row>
    <row r="149" spans="1:13" customFormat="1" ht="15.75" thickTop="1">
      <c r="D149" s="78"/>
      <c r="E149" s="78"/>
      <c r="F149" s="78"/>
      <c r="G149" s="79"/>
      <c r="H149" s="79"/>
      <c r="I149" s="79"/>
      <c r="J149" s="79"/>
      <c r="K149" s="79"/>
      <c r="L149" s="79"/>
      <c r="M149" s="1"/>
    </row>
    <row r="150" spans="1:13" customFormat="1">
      <c r="A150" t="s">
        <v>262</v>
      </c>
      <c r="D150" s="75"/>
      <c r="E150" s="81">
        <v>0</v>
      </c>
      <c r="F150" s="75"/>
      <c r="G150" s="81">
        <f>F140-G151-G152-(SUM(H153:K153))</f>
        <v>454000</v>
      </c>
      <c r="H150" s="81">
        <f>H143/2.18*1000</f>
        <v>46000.000000000007</v>
      </c>
      <c r="I150" s="81">
        <f>I143/2.53*1000</f>
        <v>0</v>
      </c>
      <c r="J150" s="81">
        <f>J143/2.95*1000</f>
        <v>0</v>
      </c>
      <c r="K150" s="81">
        <f>K143/3.42*1000</f>
        <v>0</v>
      </c>
      <c r="L150" s="81">
        <f>SUM(G150:K150)</f>
        <v>500000</v>
      </c>
      <c r="M150" s="1"/>
    </row>
    <row r="151" spans="1:13" customFormat="1">
      <c r="A151" t="s">
        <v>263</v>
      </c>
      <c r="D151" s="75"/>
      <c r="E151" s="81">
        <v>0</v>
      </c>
      <c r="F151" s="75"/>
      <c r="G151" s="81">
        <f>(SUM(F11:F15)+F17+SUM(F131:F136)-H151-I151-J151-K151)</f>
        <v>70000</v>
      </c>
      <c r="H151" s="81">
        <f>H144/2.18*1000</f>
        <v>48000</v>
      </c>
      <c r="I151" s="81">
        <f>I144/2.53*1000</f>
        <v>40000</v>
      </c>
      <c r="J151" s="81">
        <f>J144/2.95*1000</f>
        <v>40000</v>
      </c>
      <c r="K151" s="81">
        <f>K144/3.42*1000</f>
        <v>58000.000000000007</v>
      </c>
      <c r="L151" s="81">
        <f>SUM(G151:K151)</f>
        <v>256000</v>
      </c>
      <c r="M151" s="1"/>
    </row>
    <row r="152" spans="1:13" customFormat="1">
      <c r="A152" t="s">
        <v>264</v>
      </c>
      <c r="D152" s="75"/>
      <c r="E152" s="81">
        <v>0</v>
      </c>
      <c r="F152" s="75"/>
      <c r="G152" s="81">
        <f>IF(F16&gt;100000,100000,F16)</f>
        <v>100000</v>
      </c>
      <c r="H152" s="81">
        <f>H147/1.89*1000</f>
        <v>81000</v>
      </c>
      <c r="I152" s="81" t="s">
        <v>259</v>
      </c>
      <c r="J152" s="81" t="s">
        <v>259</v>
      </c>
      <c r="K152" s="81" t="s">
        <v>259</v>
      </c>
      <c r="L152" s="81">
        <f>SUM(G152:K152)</f>
        <v>181000</v>
      </c>
      <c r="M152" s="1"/>
    </row>
    <row r="153" spans="1:13" customFormat="1" ht="15.75" thickBot="1">
      <c r="B153" t="s">
        <v>265</v>
      </c>
      <c r="D153" s="77"/>
      <c r="E153" s="82">
        <f>SUM(E150:E152)</f>
        <v>0</v>
      </c>
      <c r="F153" s="77"/>
      <c r="G153" s="82">
        <f>G150+G151+G152</f>
        <v>624000</v>
      </c>
      <c r="H153" s="82">
        <f>SUM(H150:H152)</f>
        <v>175000</v>
      </c>
      <c r="I153" s="82">
        <f>SUM(I150:I152)</f>
        <v>40000</v>
      </c>
      <c r="J153" s="82">
        <f>SUM(J150:J152)</f>
        <v>40000</v>
      </c>
      <c r="K153" s="82">
        <f>SUM(K150:K152)</f>
        <v>58000.000000000007</v>
      </c>
      <c r="L153" s="82">
        <f>SUM(L150:L152)</f>
        <v>937000</v>
      </c>
      <c r="M153" s="1"/>
    </row>
    <row r="154" spans="1:13" ht="15.75" thickTop="1">
      <c r="E154" s="1" t="s">
        <v>274</v>
      </c>
    </row>
    <row r="155" spans="1:13">
      <c r="A155" s="92" t="s">
        <v>278</v>
      </c>
      <c r="E155" s="75" t="s">
        <v>275</v>
      </c>
    </row>
    <row r="156" spans="1:13">
      <c r="C156" s="11" t="s">
        <v>267</v>
      </c>
      <c r="D156" s="11" t="s">
        <v>150</v>
      </c>
      <c r="E156" s="75" t="s">
        <v>273</v>
      </c>
    </row>
    <row r="157" spans="1:13">
      <c r="B157" s="90" t="s">
        <v>268</v>
      </c>
      <c r="C157" s="6">
        <f>'Jan12'!L148</f>
        <v>4196.7500000000036</v>
      </c>
      <c r="D157" s="1">
        <f>'Jan12'!L153</f>
        <v>0</v>
      </c>
      <c r="E157" s="75" t="s">
        <v>276</v>
      </c>
    </row>
    <row r="158" spans="1:13">
      <c r="B158" s="90" t="s">
        <v>269</v>
      </c>
      <c r="C158" s="6">
        <f>'Feb12'!L148</f>
        <v>4196.7500000000036</v>
      </c>
      <c r="D158" s="1">
        <f>'Feb12'!L153</f>
        <v>0</v>
      </c>
    </row>
    <row r="159" spans="1:13">
      <c r="B159" s="90" t="s">
        <v>266</v>
      </c>
      <c r="C159" s="6" t="e">
        <f>'Mar12'!AE138</f>
        <v>#REF!</v>
      </c>
      <c r="D159" s="87">
        <f>'Mar12'!L153</f>
        <v>2710000</v>
      </c>
    </row>
    <row r="160" spans="1:13" ht="15.75" thickBot="1">
      <c r="B160" s="90"/>
      <c r="C160" s="88" t="e">
        <f>SUM(C157:C159)</f>
        <v>#REF!</v>
      </c>
      <c r="D160" s="89">
        <f>SUM(D157:D159)</f>
        <v>2710000</v>
      </c>
    </row>
    <row r="161" spans="2:4" ht="15.75" thickTop="1">
      <c r="B161" s="90"/>
      <c r="C161" s="6"/>
      <c r="D161" s="87"/>
    </row>
    <row r="162" spans="2:4">
      <c r="B162" s="90" t="s">
        <v>350</v>
      </c>
      <c r="C162" s="6">
        <f>Jan12recalc!L148</f>
        <v>4972.3200000000024</v>
      </c>
      <c r="D162" s="87">
        <f>Jan12recalc!L153</f>
        <v>937000</v>
      </c>
    </row>
    <row r="163" spans="2:4">
      <c r="B163" s="90" t="s">
        <v>351</v>
      </c>
      <c r="C163" s="6">
        <f>Feb12recalc!L148</f>
        <v>4972.3200000000024</v>
      </c>
      <c r="D163" s="87">
        <f>Feb12recalc!L153</f>
        <v>937000</v>
      </c>
    </row>
    <row r="164" spans="2:4">
      <c r="B164" s="90" t="s">
        <v>352</v>
      </c>
      <c r="C164" s="6">
        <f>L148</f>
        <v>4972.3200000000024</v>
      </c>
      <c r="D164" s="86">
        <f>L153</f>
        <v>937000</v>
      </c>
    </row>
    <row r="165" spans="2:4" ht="15.75" thickBot="1">
      <c r="C165" s="88">
        <f>SUM(C162:C164)</f>
        <v>14916.960000000006</v>
      </c>
      <c r="D165" s="89">
        <f>SUM(D162:D164)</f>
        <v>2811000</v>
      </c>
    </row>
    <row r="166" spans="2:4" ht="15.75" thickTop="1"/>
    <row r="167" spans="2:4" ht="15.75" thickBot="1">
      <c r="B167" s="90" t="s">
        <v>270</v>
      </c>
      <c r="C167" s="88" t="e">
        <f>C160-C165</f>
        <v>#REF!</v>
      </c>
      <c r="D167" s="89">
        <f>D160-D165</f>
        <v>-101000</v>
      </c>
    </row>
    <row r="168" spans="2:4" ht="15.75" thickTop="1"/>
  </sheetData>
  <pageMargins left="0.7" right="0.7" top="0.83" bottom="0.89" header="0.3" footer="0.2"/>
  <pageSetup paperSize="3" scale="45" orientation="portrait" r:id="rId1"/>
  <headerFooter>
    <oddHeader>&amp;LHi-Country
Customer Usage Summary</oddHeader>
    <oddFooter>&amp;L&amp;A
&amp;F&amp;Rpage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sheetPr>
    <pageSetUpPr fitToPage="1"/>
  </sheetPr>
  <dimension ref="A1:AH157"/>
  <sheetViews>
    <sheetView zoomScaleNormal="100" zoomScalePageLayoutView="4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 width="21.140625" style="1" customWidth="1"/>
    <col min="17" max="18" width="9.140625" style="1"/>
    <col min="19" max="19" width="10.28515625" style="1" bestFit="1" customWidth="1"/>
    <col min="20" max="27" width="9.140625" style="1"/>
    <col min="28" max="28" width="10.28515625" style="1" bestFit="1" customWidth="1"/>
    <col min="29" max="29" width="11.140625" style="1" customWidth="1"/>
    <col min="30" max="30" width="11.28515625" style="1" customWidth="1"/>
    <col min="31" max="31" width="13.85546875" style="1" customWidth="1"/>
    <col min="32" max="32" width="28.85546875" style="1" customWidth="1"/>
    <col min="33" max="33" width="12" style="1" bestFit="1" customWidth="1"/>
    <col min="34" max="16384" width="9.140625" style="1"/>
  </cols>
  <sheetData>
    <row r="1" spans="1:33" ht="46.5">
      <c r="A1" s="2" t="s">
        <v>141</v>
      </c>
    </row>
    <row r="2" spans="1:33" ht="28.5">
      <c r="A2" s="3" t="s">
        <v>142</v>
      </c>
    </row>
    <row r="3" spans="1:33" ht="15.75" thickBot="1">
      <c r="Y3" s="122"/>
      <c r="Z3" s="5">
        <v>2.1812175860045731</v>
      </c>
    </row>
    <row r="4" spans="1:33">
      <c r="A4" s="1" t="s">
        <v>143</v>
      </c>
      <c r="B4" s="23">
        <v>40969</v>
      </c>
      <c r="D4" s="1" t="s">
        <v>146</v>
      </c>
      <c r="G4" s="1" t="s">
        <v>156</v>
      </c>
      <c r="K4" s="1" t="s">
        <v>149</v>
      </c>
      <c r="N4" s="1">
        <f>SUM(F11:F136)</f>
        <v>2710000</v>
      </c>
      <c r="Y4" s="122"/>
      <c r="Z4" s="5">
        <v>2.5349285458972064</v>
      </c>
      <c r="AC4" s="251" t="s">
        <v>326</v>
      </c>
      <c r="AD4" s="252"/>
      <c r="AE4" s="253"/>
      <c r="AG4" s="123" t="s">
        <v>327</v>
      </c>
    </row>
    <row r="5" spans="1:33" ht="15.75" thickBot="1">
      <c r="A5" s="1" t="s">
        <v>165</v>
      </c>
      <c r="B5" s="24">
        <v>40998</v>
      </c>
      <c r="D5" s="1" t="s">
        <v>144</v>
      </c>
      <c r="G5" s="1" t="s">
        <v>155</v>
      </c>
      <c r="H5" s="1">
        <v>0</v>
      </c>
      <c r="K5" s="1" t="s">
        <v>154</v>
      </c>
      <c r="N5" s="1">
        <f>N4-F16</f>
        <v>2168000</v>
      </c>
      <c r="Y5" s="122"/>
      <c r="Z5" s="5">
        <v>2.9475913324386118</v>
      </c>
      <c r="AC5" s="254" t="s">
        <v>328</v>
      </c>
      <c r="AD5" s="255"/>
      <c r="AE5" s="256"/>
      <c r="AG5" s="124" t="s">
        <v>329</v>
      </c>
    </row>
    <row r="6" spans="1:33" ht="15.75" thickBot="1">
      <c r="B6" s="4"/>
      <c r="D6" s="1" t="s">
        <v>145</v>
      </c>
      <c r="G6" s="1" t="s">
        <v>158</v>
      </c>
      <c r="H6" s="1">
        <v>35000</v>
      </c>
      <c r="K6" s="1" t="s">
        <v>160</v>
      </c>
      <c r="N6" s="1">
        <f>SUMIF(F11:F15,"&gt;" &amp; $H$6)+SUMIF(F17:F136,"&gt;" &amp; $H$6)+SUMIF(F16,"&gt;" &amp; $H$7)</f>
        <v>1552000</v>
      </c>
      <c r="Y6" s="122"/>
      <c r="Z6" s="5">
        <v>3.4192059456287898</v>
      </c>
      <c r="AG6" s="125" t="s">
        <v>330</v>
      </c>
    </row>
    <row r="7" spans="1:33" ht="15.75" thickBot="1">
      <c r="B7" s="4"/>
      <c r="D7" s="1" t="s">
        <v>150</v>
      </c>
      <c r="E7" s="12">
        <f>E6-E5</f>
        <v>0</v>
      </c>
      <c r="G7" s="1" t="s">
        <v>159</v>
      </c>
      <c r="H7" s="12">
        <v>100000</v>
      </c>
      <c r="K7" s="1" t="s">
        <v>161</v>
      </c>
      <c r="N7" s="1">
        <f>(SUMIF(F11:F15,"&gt;" &amp; $H$6)-(COUNTIF(F11:F15,"&gt;" &amp; $H$6)*$H$6))+(SUMIF(F17:F136,"&gt;" &amp; $H$6)-(COUNTIF(F17:F136,"&gt;" &amp; $H$6)*$H$6))+(SUMIF(F16,"&gt;" &amp; $H$7)-(COUNTIF(F16,"&gt;" &amp; $H$7)*$H$7))</f>
        <v>1032000</v>
      </c>
      <c r="T7" s="126" t="s">
        <v>331</v>
      </c>
      <c r="U7" s="127" t="s">
        <v>332</v>
      </c>
      <c r="V7" s="127" t="s">
        <v>333</v>
      </c>
      <c r="W7" s="1" t="s">
        <v>334</v>
      </c>
    </row>
    <row r="8" spans="1:33" ht="15.75" thickBot="1">
      <c r="D8" s="1" t="s">
        <v>147</v>
      </c>
      <c r="E8" s="25">
        <v>0</v>
      </c>
      <c r="H8" s="6"/>
      <c r="AB8" s="128" t="s">
        <v>335</v>
      </c>
      <c r="AC8" s="129" t="s">
        <v>335</v>
      </c>
      <c r="AD8" s="129"/>
      <c r="AE8" s="129" t="s">
        <v>172</v>
      </c>
      <c r="AG8" s="1" t="s">
        <v>336</v>
      </c>
    </row>
    <row r="9" spans="1:33">
      <c r="R9" s="1" t="s">
        <v>337</v>
      </c>
      <c r="S9" s="1" t="s">
        <v>335</v>
      </c>
      <c r="T9" s="257" t="s">
        <v>338</v>
      </c>
      <c r="U9" s="258"/>
      <c r="V9" s="258"/>
      <c r="W9" s="259"/>
      <c r="X9" s="257" t="s">
        <v>339</v>
      </c>
      <c r="Y9" s="258"/>
      <c r="Z9" s="258"/>
      <c r="AA9" s="258"/>
      <c r="AB9" s="130" t="s">
        <v>340</v>
      </c>
      <c r="AC9" s="131" t="s">
        <v>341</v>
      </c>
      <c r="AD9" s="131" t="s">
        <v>258</v>
      </c>
      <c r="AE9" s="131" t="s">
        <v>342</v>
      </c>
      <c r="AG9" s="1" t="s">
        <v>343</v>
      </c>
    </row>
    <row r="10" spans="1:33" ht="15.75" thickBot="1">
      <c r="A10" s="7" t="s">
        <v>0</v>
      </c>
      <c r="B10" s="10" t="s">
        <v>137</v>
      </c>
      <c r="C10" s="13" t="s">
        <v>177</v>
      </c>
      <c r="D10" s="26" t="s">
        <v>172</v>
      </c>
      <c r="E10" s="10" t="s">
        <v>140</v>
      </c>
      <c r="F10" s="10" t="s">
        <v>157</v>
      </c>
      <c r="G10" s="21" t="s">
        <v>132</v>
      </c>
      <c r="H10" s="21" t="s">
        <v>128</v>
      </c>
      <c r="I10" s="21" t="s">
        <v>129</v>
      </c>
      <c r="J10" s="22" t="s">
        <v>130</v>
      </c>
      <c r="K10" s="22" t="s">
        <v>131</v>
      </c>
      <c r="L10" s="22" t="s">
        <v>162</v>
      </c>
      <c r="M10" s="22" t="s">
        <v>148</v>
      </c>
      <c r="N10" s="22" t="s">
        <v>135</v>
      </c>
      <c r="O10" s="9" t="s">
        <v>127</v>
      </c>
      <c r="P10" s="132" t="s">
        <v>344</v>
      </c>
      <c r="Q10" s="1" t="s">
        <v>157</v>
      </c>
      <c r="R10" s="1" t="s">
        <v>345</v>
      </c>
      <c r="S10" s="1" t="s">
        <v>340</v>
      </c>
      <c r="T10" s="133" t="s">
        <v>128</v>
      </c>
      <c r="U10" s="134" t="s">
        <v>129</v>
      </c>
      <c r="V10" s="134" t="s">
        <v>130</v>
      </c>
      <c r="W10" s="135" t="s">
        <v>131</v>
      </c>
      <c r="X10" s="133" t="s">
        <v>128</v>
      </c>
      <c r="Y10" s="134" t="s">
        <v>129</v>
      </c>
      <c r="Z10" s="134" t="s">
        <v>130</v>
      </c>
      <c r="AA10" s="134" t="s">
        <v>131</v>
      </c>
      <c r="AB10" s="136" t="s">
        <v>346</v>
      </c>
      <c r="AC10" s="131" t="s">
        <v>347</v>
      </c>
      <c r="AD10" s="131" t="s">
        <v>348</v>
      </c>
      <c r="AE10" s="131" t="s">
        <v>349</v>
      </c>
    </row>
    <row r="11" spans="1:33">
      <c r="A11" s="1" t="s">
        <v>1</v>
      </c>
      <c r="B11" s="11"/>
      <c r="C11" s="11">
        <v>7771000</v>
      </c>
      <c r="D11" s="11">
        <v>7992000</v>
      </c>
      <c r="E11" s="11">
        <v>0</v>
      </c>
      <c r="F11" s="11">
        <f t="shared" ref="F11:F74" si="0">($D11-$C11)+$E11</f>
        <v>221000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619.02</v>
      </c>
      <c r="L11" s="18">
        <f>SUM(G11:K11)</f>
        <v>735.71</v>
      </c>
      <c r="M11" s="18">
        <f>IF(   $H$5=1,    IF((F11-$H$6)&gt;0,((F11-$H$6)/$N$7)*$E$8,0),   IF(F11&gt;0,(F11/$N$4)*$E$8,0)    )</f>
        <v>0</v>
      </c>
      <c r="N11" s="18">
        <f>SUM(L11:M11)</f>
        <v>735.71</v>
      </c>
      <c r="O11" s="8"/>
      <c r="P11" s="137" t="e">
        <f>[1]!Table2[[#This Row],[Usage]]-30000</f>
        <v>#REF!</v>
      </c>
      <c r="Q11" s="1">
        <f>F11</f>
        <v>221000</v>
      </c>
      <c r="R11" s="1" t="e">
        <f>IF([1]!Table2[[#This Row],[Usage above 30000]]&gt;0,[1]!Table2[[#This Row],[Usage above 30000]],0)</f>
        <v>#REF!</v>
      </c>
      <c r="S11" s="138" t="e">
        <f>R11/3</f>
        <v>#REF!</v>
      </c>
      <c r="T11" s="138" t="e">
        <f>IF(S11&gt;10000,10000,S11)</f>
        <v>#REF!</v>
      </c>
      <c r="U11" s="138" t="e">
        <f>IF(S11&gt;20000,10000,S11-T11)</f>
        <v>#REF!</v>
      </c>
      <c r="V11" s="138" t="e">
        <f>IF(S11&gt;30000,10000,S11-U11-T11)</f>
        <v>#REF!</v>
      </c>
      <c r="W11" s="138" t="e">
        <f>IF(S11&gt;30000,S11-30000,0)</f>
        <v>#REF!</v>
      </c>
      <c r="X11" s="5" t="e">
        <f>T11/1000*2.18</f>
        <v>#REF!</v>
      </c>
      <c r="Y11" s="5" t="e">
        <f>U11/1000*2.53</f>
        <v>#REF!</v>
      </c>
      <c r="Z11" s="5" t="e">
        <f>V11/1000*2.95</f>
        <v>#REF!</v>
      </c>
      <c r="AA11" s="5" t="e">
        <f>W11/1000*3.42</f>
        <v>#REF!</v>
      </c>
      <c r="AB11" s="6" t="e">
        <f>SUM(X11:AA11)</f>
        <v>#REF!</v>
      </c>
      <c r="AC11" s="139" t="e">
        <f>AB11*3</f>
        <v>#REF!</v>
      </c>
      <c r="AD11" s="140" t="e">
        <f>[1]!Table2[[#This Row],[Base Rate ]]</f>
        <v>#REF!</v>
      </c>
      <c r="AE11" s="141" t="e">
        <f>SUM(AC11:AD11)</f>
        <v>#REF!</v>
      </c>
      <c r="AG11" s="6" t="e">
        <f>[1]!Table2[[#This Row],[Total Due]]-AE11</f>
        <v>#REF!</v>
      </c>
    </row>
    <row r="12" spans="1:33">
      <c r="A12" s="1" t="s">
        <v>2</v>
      </c>
      <c r="B12" s="11"/>
      <c r="C12" s="11">
        <v>6677000</v>
      </c>
      <c r="D12" s="11">
        <v>6836000</v>
      </c>
      <c r="E12" s="11">
        <v>0</v>
      </c>
      <c r="F12" s="11">
        <f t="shared" si="0"/>
        <v>159000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406.98</v>
      </c>
      <c r="L12" s="18">
        <f t="shared" ref="L12:L75" si="1">SUM(G12:K12)</f>
        <v>523.67000000000007</v>
      </c>
      <c r="M12" s="18">
        <f>IF(   $H$5=1,    IF((F12-$H$6)&gt;0,((F12-$H$6)/$N$7)*$E$8,0),   IF(F12&gt;0,(F12/$N$4)*$E$8,0)    )</f>
        <v>0</v>
      </c>
      <c r="N12" s="18">
        <f t="shared" ref="N12:N75" si="2">SUM(L12:M12)</f>
        <v>523.67000000000007</v>
      </c>
      <c r="O12" s="8"/>
      <c r="P12" s="137" t="e">
        <f>[1]!Table2[[#This Row],[Usage]]-30000</f>
        <v>#REF!</v>
      </c>
      <c r="Q12" s="1">
        <f t="shared" ref="Q12:Q75" si="3">F12</f>
        <v>159000</v>
      </c>
      <c r="R12" s="1" t="e">
        <f>IF([1]!Table2[[#This Row],[Usage above 30000]]&gt;0,[1]!Table2[[#This Row],[Usage above 30000]],0)</f>
        <v>#REF!</v>
      </c>
      <c r="S12" s="138" t="e">
        <f t="shared" ref="S12:S75" si="4">R12/3</f>
        <v>#REF!</v>
      </c>
      <c r="T12" s="138" t="e">
        <f>IF(S12&gt;10000,10000,S12)</f>
        <v>#REF!</v>
      </c>
      <c r="U12" s="138" t="e">
        <f>IF(S12&gt;20000,10000,S12-T12)</f>
        <v>#REF!</v>
      </c>
      <c r="V12" s="138" t="e">
        <f>IF(S12&gt;30000,10000,S12-U12-T12)</f>
        <v>#REF!</v>
      </c>
      <c r="W12" s="138" t="e">
        <f>IF(S12&gt;30000,S12-30000,0)</f>
        <v>#REF!</v>
      </c>
      <c r="X12" s="5" t="e">
        <f t="shared" ref="X12:X75" si="5">T12/1000*2.18</f>
        <v>#REF!</v>
      </c>
      <c r="Y12" s="5" t="e">
        <f t="shared" ref="Y12:Y75" si="6">U12/1000*2.53</f>
        <v>#REF!</v>
      </c>
      <c r="Z12" s="5" t="e">
        <f t="shared" ref="Z12:Z75" si="7">V12/1000*2.95</f>
        <v>#REF!</v>
      </c>
      <c r="AA12" s="5" t="e">
        <f t="shared" ref="AA12:AA75" si="8">W12/1000*3.42</f>
        <v>#REF!</v>
      </c>
      <c r="AB12" s="6" t="e">
        <f t="shared" ref="AB12:AB75" si="9">SUM(X12:AA12)</f>
        <v>#REF!</v>
      </c>
      <c r="AC12" s="142" t="e">
        <f t="shared" ref="AC12:AC75" si="10">AB12*3</f>
        <v>#REF!</v>
      </c>
      <c r="AD12" s="143" t="e">
        <f>[1]!Table2[[#This Row],[Base Rate ]]</f>
        <v>#REF!</v>
      </c>
      <c r="AE12" s="144" t="e">
        <f t="shared" ref="AE12:AE75" si="11">SUM(AC12:AD12)</f>
        <v>#REF!</v>
      </c>
      <c r="AG12" s="6" t="e">
        <f>[1]!Table2[[#This Row],[Total Due]]-AE12</f>
        <v>#REF!</v>
      </c>
    </row>
    <row r="13" spans="1:33">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c r="P13" s="137" t="e">
        <f>[1]!Table2[[#This Row],[Usage]]-30000</f>
        <v>#REF!</v>
      </c>
      <c r="Q13" s="1">
        <f t="shared" si="3"/>
        <v>0</v>
      </c>
      <c r="R13" s="1" t="e">
        <f>IF([1]!Table2[[#This Row],[Usage above 30000]]&gt;0,[1]!Table2[[#This Row],[Usage above 30000]],0)</f>
        <v>#REF!</v>
      </c>
      <c r="S13" s="138" t="e">
        <f t="shared" si="4"/>
        <v>#REF!</v>
      </c>
      <c r="T13" s="138" t="e">
        <f t="shared" ref="T13:T76" si="12">IF(S13&gt;10000,10000,S13)</f>
        <v>#REF!</v>
      </c>
      <c r="U13" s="138" t="e">
        <f t="shared" ref="U13:U76" si="13">IF(S13&gt;20000,10000,S13-T13)</f>
        <v>#REF!</v>
      </c>
      <c r="V13" s="138" t="e">
        <f t="shared" ref="V13:V76" si="14">IF(S13&gt;30000,10000,S13-U13-T13)</f>
        <v>#REF!</v>
      </c>
      <c r="W13" s="138" t="e">
        <f t="shared" ref="W13:W76" si="15">IF(S13&gt;30000,S13-30000,0)</f>
        <v>#REF!</v>
      </c>
      <c r="X13" s="5" t="e">
        <f t="shared" si="5"/>
        <v>#REF!</v>
      </c>
      <c r="Y13" s="5" t="e">
        <f t="shared" si="6"/>
        <v>#REF!</v>
      </c>
      <c r="Z13" s="5" t="e">
        <f t="shared" si="7"/>
        <v>#REF!</v>
      </c>
      <c r="AA13" s="5" t="e">
        <f t="shared" si="8"/>
        <v>#REF!</v>
      </c>
      <c r="AB13" s="6" t="e">
        <f t="shared" si="9"/>
        <v>#REF!</v>
      </c>
      <c r="AC13" s="142" t="e">
        <f t="shared" si="10"/>
        <v>#REF!</v>
      </c>
      <c r="AD13" s="143" t="e">
        <f>[1]!Table2[[#This Row],[Base Rate ]]</f>
        <v>#REF!</v>
      </c>
      <c r="AE13" s="144" t="e">
        <f t="shared" si="11"/>
        <v>#REF!</v>
      </c>
      <c r="AG13" s="6" t="e">
        <f>[1]!Table2[[#This Row],[Total Due]]-AE13</f>
        <v>#REF!</v>
      </c>
    </row>
    <row r="14" spans="1:33">
      <c r="A14" s="1" t="s">
        <v>4</v>
      </c>
      <c r="B14" s="11"/>
      <c r="C14" s="11">
        <v>3358000</v>
      </c>
      <c r="D14" s="11">
        <v>3485000</v>
      </c>
      <c r="E14" s="11">
        <v>0</v>
      </c>
      <c r="F14" s="11">
        <f t="shared" si="0"/>
        <v>127000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297.54000000000002</v>
      </c>
      <c r="L14" s="18">
        <f t="shared" si="1"/>
        <v>414.23</v>
      </c>
      <c r="M14" s="18">
        <f>IF(   $H$5=1,    IF((F14-$H$6)&gt;0,((F14-$H$6)/$N$7)*$E$8,0),   IF(F14&gt;0,(F14/$N$4)*$E$8,0)    )</f>
        <v>0</v>
      </c>
      <c r="N14" s="18">
        <f t="shared" si="2"/>
        <v>414.23</v>
      </c>
      <c r="O14" s="8"/>
      <c r="P14" s="137" t="e">
        <f>[1]!Table2[[#This Row],[Usage]]-30000</f>
        <v>#REF!</v>
      </c>
      <c r="Q14" s="1">
        <f t="shared" si="3"/>
        <v>127000</v>
      </c>
      <c r="R14" s="1" t="e">
        <f>IF([1]!Table2[[#This Row],[Usage above 30000]]&gt;0,[1]!Table2[[#This Row],[Usage above 30000]],0)</f>
        <v>#REF!</v>
      </c>
      <c r="S14" s="138" t="e">
        <f t="shared" si="4"/>
        <v>#REF!</v>
      </c>
      <c r="T14" s="138" t="e">
        <f t="shared" si="12"/>
        <v>#REF!</v>
      </c>
      <c r="U14" s="138" t="e">
        <f t="shared" si="13"/>
        <v>#REF!</v>
      </c>
      <c r="V14" s="138" t="e">
        <f t="shared" si="14"/>
        <v>#REF!</v>
      </c>
      <c r="W14" s="138" t="e">
        <f t="shared" si="15"/>
        <v>#REF!</v>
      </c>
      <c r="X14" s="5" t="e">
        <f t="shared" si="5"/>
        <v>#REF!</v>
      </c>
      <c r="Y14" s="5" t="e">
        <f t="shared" si="6"/>
        <v>#REF!</v>
      </c>
      <c r="Z14" s="5" t="e">
        <f t="shared" si="7"/>
        <v>#REF!</v>
      </c>
      <c r="AA14" s="5" t="e">
        <f t="shared" si="8"/>
        <v>#REF!</v>
      </c>
      <c r="AB14" s="6" t="e">
        <f t="shared" si="9"/>
        <v>#REF!</v>
      </c>
      <c r="AC14" s="142" t="e">
        <f t="shared" si="10"/>
        <v>#REF!</v>
      </c>
      <c r="AD14" s="143" t="e">
        <f>[1]!Table2[[#This Row],[Base Rate ]]</f>
        <v>#REF!</v>
      </c>
      <c r="AE14" s="144" t="e">
        <f t="shared" si="11"/>
        <v>#REF!</v>
      </c>
      <c r="AG14" s="6" t="e">
        <f>[1]!Table2[[#This Row],[Total Due]]-AE14</f>
        <v>#REF!</v>
      </c>
    </row>
    <row r="15" spans="1:33">
      <c r="A15" s="1" t="s">
        <v>5</v>
      </c>
      <c r="B15" s="11"/>
      <c r="C15" s="11">
        <v>2280000</v>
      </c>
      <c r="D15" s="11">
        <v>2424000</v>
      </c>
      <c r="E15" s="11">
        <v>0</v>
      </c>
      <c r="F15" s="11">
        <f t="shared" si="0"/>
        <v>144000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355.68</v>
      </c>
      <c r="L15" s="18">
        <f t="shared" si="1"/>
        <v>472.37</v>
      </c>
      <c r="M15" s="18">
        <f>IF(   $H$5=1,    IF((F15-$H$6)&gt;0,((F15-$H$6)/$N$7)*$E$8,0),   IF(F15&gt;0,(F15/$N$4)*$E$8,0)    )</f>
        <v>0</v>
      </c>
      <c r="N15" s="18">
        <f t="shared" si="2"/>
        <v>472.37</v>
      </c>
      <c r="O15" s="8"/>
      <c r="P15" s="137" t="e">
        <f>[1]!Table2[[#This Row],[Usage]]-30000</f>
        <v>#REF!</v>
      </c>
      <c r="Q15" s="1">
        <f t="shared" si="3"/>
        <v>144000</v>
      </c>
      <c r="R15" s="1" t="e">
        <f>IF([1]!Table2[[#This Row],[Usage above 30000]]&gt;0,[1]!Table2[[#This Row],[Usage above 30000]],0)</f>
        <v>#REF!</v>
      </c>
      <c r="S15" s="138" t="e">
        <f t="shared" si="4"/>
        <v>#REF!</v>
      </c>
      <c r="T15" s="138" t="e">
        <f t="shared" si="12"/>
        <v>#REF!</v>
      </c>
      <c r="U15" s="138" t="e">
        <f t="shared" si="13"/>
        <v>#REF!</v>
      </c>
      <c r="V15" s="138" t="e">
        <f t="shared" si="14"/>
        <v>#REF!</v>
      </c>
      <c r="W15" s="138" t="e">
        <f t="shared" si="15"/>
        <v>#REF!</v>
      </c>
      <c r="X15" s="5" t="e">
        <f t="shared" si="5"/>
        <v>#REF!</v>
      </c>
      <c r="Y15" s="5" t="e">
        <f t="shared" si="6"/>
        <v>#REF!</v>
      </c>
      <c r="Z15" s="5" t="e">
        <f t="shared" si="7"/>
        <v>#REF!</v>
      </c>
      <c r="AA15" s="5" t="e">
        <f t="shared" si="8"/>
        <v>#REF!</v>
      </c>
      <c r="AB15" s="6" t="e">
        <f t="shared" si="9"/>
        <v>#REF!</v>
      </c>
      <c r="AC15" s="142" t="e">
        <f t="shared" si="10"/>
        <v>#REF!</v>
      </c>
      <c r="AD15" s="143" t="e">
        <f>[1]!Table2[[#This Row],[Base Rate ]]</f>
        <v>#REF!</v>
      </c>
      <c r="AE15" s="144" t="e">
        <f t="shared" si="11"/>
        <v>#REF!</v>
      </c>
      <c r="AG15" s="6" t="e">
        <f>[1]!Table2[[#This Row],[Total Due]]-AE15</f>
        <v>#REF!</v>
      </c>
    </row>
    <row r="16" spans="1:33">
      <c r="A16" s="1" t="s">
        <v>6</v>
      </c>
      <c r="B16" s="11"/>
      <c r="C16" s="11">
        <v>25128000</v>
      </c>
      <c r="D16" s="11">
        <v>25670000</v>
      </c>
      <c r="E16" s="11">
        <v>0</v>
      </c>
      <c r="F16" s="11">
        <f t="shared" si="0"/>
        <v>542000</v>
      </c>
      <c r="G16" s="17">
        <v>176</v>
      </c>
      <c r="H16" s="17">
        <f>IF(($F16-100000)&gt;=0,($F16-100000)/1000*1.89,0)</f>
        <v>835.38</v>
      </c>
      <c r="I16" s="17"/>
      <c r="J16" s="18"/>
      <c r="K16" s="18"/>
      <c r="L16" s="18">
        <f t="shared" si="1"/>
        <v>1011.38</v>
      </c>
      <c r="M16" s="18">
        <f>IF(   $H$5=1,     IF((F16-$H$7)&gt;0,((F16-$H$7)/$N$7)*$E$8,0),   IF(F16&gt;0,(F16/$N$4)*$E$8,0)    )</f>
        <v>0</v>
      </c>
      <c r="N16" s="18">
        <f t="shared" si="2"/>
        <v>1011.38</v>
      </c>
      <c r="O16" s="8" t="s">
        <v>133</v>
      </c>
      <c r="P16" s="137" t="e">
        <f>[1]!Table2[[#This Row],[Usage]]-300000</f>
        <v>#REF!</v>
      </c>
      <c r="Q16" s="1">
        <f t="shared" si="3"/>
        <v>542000</v>
      </c>
      <c r="R16" s="1" t="e">
        <f>IF([1]!Table2[[#This Row],[Usage above 30000]]&gt;0,[1]!Table2[[#This Row],[Usage above 30000]],0)</f>
        <v>#REF!</v>
      </c>
      <c r="S16" s="138" t="e">
        <f t="shared" si="4"/>
        <v>#REF!</v>
      </c>
      <c r="T16" s="138"/>
      <c r="U16" s="138"/>
      <c r="V16" s="138"/>
      <c r="W16" s="138"/>
      <c r="X16" s="5" t="e">
        <f>S16/1000*1.89</f>
        <v>#REF!</v>
      </c>
      <c r="Y16" s="5"/>
      <c r="Z16" s="5"/>
      <c r="AA16" s="5"/>
      <c r="AB16" s="6" t="e">
        <f t="shared" si="9"/>
        <v>#REF!</v>
      </c>
      <c r="AC16" s="142" t="e">
        <f t="shared" si="10"/>
        <v>#REF!</v>
      </c>
      <c r="AD16" s="143" t="e">
        <f>[1]!Table2[[#This Row],[Base Rate ]]</f>
        <v>#REF!</v>
      </c>
      <c r="AE16" s="144" t="e">
        <f t="shared" si="11"/>
        <v>#REF!</v>
      </c>
      <c r="AG16" s="6" t="e">
        <f>[1]!Table2[[#This Row],[Total Due]]-AE16</f>
        <v>#REF!</v>
      </c>
    </row>
    <row r="17" spans="1:33">
      <c r="A17" s="1" t="s">
        <v>7</v>
      </c>
      <c r="B17" s="11"/>
      <c r="C17" s="11">
        <v>550000</v>
      </c>
      <c r="D17" s="11">
        <v>589000</v>
      </c>
      <c r="E17" s="11">
        <v>0</v>
      </c>
      <c r="F17" s="11">
        <f t="shared" si="0"/>
        <v>39000</v>
      </c>
      <c r="G17" s="17">
        <f t="shared" ref="G17:G80" si="16">IF(OR($F17&gt;0,$B17=""),40.09,11.79)</f>
        <v>40.090000000000003</v>
      </c>
      <c r="H17" s="17">
        <f t="shared" ref="H17:H80" si="17">IF(AND((($F17-10000)&gt;=0),(($F17-10000)&lt;= 10000)),($F17-10000)/1000*2.18,IF(($F17-10000)&gt;=10000,2.18*10,0))</f>
        <v>21.8</v>
      </c>
      <c r="I17" s="17">
        <f t="shared" ref="I17:I80" si="18">IF(AND((($F17-20000)&gt;=0),(($F17-20000)&lt;=10000)),($F17-20000)/1000*2.53,IF(($F17-20000)&gt;=10000,2.53*10,0))</f>
        <v>25.299999999999997</v>
      </c>
      <c r="J17" s="18">
        <f t="shared" ref="J17:J80" si="19">IF(AND((($F17-30000)&gt;=0),(($F17-30000)&lt;=10000)),($F17-30000)/1000*2.95,IF(($F17-30000)&gt;=10000,2.95*10,0))</f>
        <v>26.55</v>
      </c>
      <c r="K17" s="18">
        <f t="shared" ref="K17:K80" si="20">IF((($F17-40000)&gt;=0),($F17-40000)/1000*3.42,0)</f>
        <v>0</v>
      </c>
      <c r="L17" s="18">
        <f t="shared" si="1"/>
        <v>113.74</v>
      </c>
      <c r="M17" s="18">
        <f t="shared" ref="M17:M48" si="21">IF(   $H$5=1,    IF((F17-$H$6)&gt;0,((F17-$H$6)/$N$7)*$E$8,0),   IF(F17&gt;0,(F17/$N$4)*$E$8,0)    )</f>
        <v>0</v>
      </c>
      <c r="N17" s="18">
        <f t="shared" si="2"/>
        <v>113.74</v>
      </c>
      <c r="O17" s="8"/>
      <c r="P17" s="137" t="e">
        <f>[1]!Table2[[#This Row],[Usage]]-30000</f>
        <v>#REF!</v>
      </c>
      <c r="Q17" s="1">
        <f t="shared" si="3"/>
        <v>39000</v>
      </c>
      <c r="R17" s="1" t="e">
        <f>IF([1]!Table2[[#This Row],[Usage above 30000]]&gt;0,[1]!Table2[[#This Row],[Usage above 30000]],0)</f>
        <v>#REF!</v>
      </c>
      <c r="S17" s="138" t="e">
        <f t="shared" si="4"/>
        <v>#REF!</v>
      </c>
      <c r="T17" s="138" t="e">
        <f t="shared" si="12"/>
        <v>#REF!</v>
      </c>
      <c r="U17" s="138" t="e">
        <f t="shared" si="13"/>
        <v>#REF!</v>
      </c>
      <c r="V17" s="138" t="e">
        <f t="shared" si="14"/>
        <v>#REF!</v>
      </c>
      <c r="W17" s="138" t="e">
        <f t="shared" si="15"/>
        <v>#REF!</v>
      </c>
      <c r="X17" s="5" t="e">
        <f t="shared" si="5"/>
        <v>#REF!</v>
      </c>
      <c r="Y17" s="5" t="e">
        <f t="shared" si="6"/>
        <v>#REF!</v>
      </c>
      <c r="Z17" s="5" t="e">
        <f t="shared" si="7"/>
        <v>#REF!</v>
      </c>
      <c r="AA17" s="5" t="e">
        <f t="shared" si="8"/>
        <v>#REF!</v>
      </c>
      <c r="AB17" s="6" t="e">
        <f t="shared" si="9"/>
        <v>#REF!</v>
      </c>
      <c r="AC17" s="142" t="e">
        <f t="shared" si="10"/>
        <v>#REF!</v>
      </c>
      <c r="AD17" s="143" t="e">
        <f>[1]!Table2[[#This Row],[Base Rate ]]</f>
        <v>#REF!</v>
      </c>
      <c r="AE17" s="144" t="e">
        <f t="shared" si="11"/>
        <v>#REF!</v>
      </c>
      <c r="AG17" s="6" t="e">
        <f>[1]!Table2[[#This Row],[Total Due]]-AE17</f>
        <v>#REF!</v>
      </c>
    </row>
    <row r="18" spans="1:33">
      <c r="A18" s="1" t="s">
        <v>8</v>
      </c>
      <c r="B18" s="11"/>
      <c r="C18" s="11">
        <v>2218000</v>
      </c>
      <c r="D18" s="11">
        <v>2218000</v>
      </c>
      <c r="E18" s="11">
        <v>32000</v>
      </c>
      <c r="F18" s="11">
        <f t="shared" si="0"/>
        <v>32000</v>
      </c>
      <c r="G18" s="17">
        <f t="shared" si="16"/>
        <v>40.090000000000003</v>
      </c>
      <c r="H18" s="17">
        <f t="shared" si="17"/>
        <v>21.8</v>
      </c>
      <c r="I18" s="17">
        <f t="shared" si="18"/>
        <v>25.299999999999997</v>
      </c>
      <c r="J18" s="18">
        <f t="shared" si="19"/>
        <v>5.9</v>
      </c>
      <c r="K18" s="18">
        <f t="shared" si="20"/>
        <v>0</v>
      </c>
      <c r="L18" s="18">
        <f t="shared" si="1"/>
        <v>93.09</v>
      </c>
      <c r="M18" s="18">
        <f t="shared" si="21"/>
        <v>0</v>
      </c>
      <c r="N18" s="18">
        <f t="shared" si="2"/>
        <v>93.09</v>
      </c>
      <c r="O18" s="8" t="s">
        <v>174</v>
      </c>
      <c r="P18" s="137" t="e">
        <f>[1]!Table2[[#This Row],[Usage]]-30000</f>
        <v>#REF!</v>
      </c>
      <c r="Q18" s="1">
        <f t="shared" si="3"/>
        <v>32000</v>
      </c>
      <c r="R18" s="1" t="e">
        <f>IF([1]!Table2[[#This Row],[Usage above 30000]]&gt;0,[1]!Table2[[#This Row],[Usage above 30000]],0)</f>
        <v>#REF!</v>
      </c>
      <c r="S18" s="138" t="e">
        <f t="shared" si="4"/>
        <v>#REF!</v>
      </c>
      <c r="T18" s="138" t="e">
        <f t="shared" si="12"/>
        <v>#REF!</v>
      </c>
      <c r="U18" s="138" t="e">
        <f t="shared" si="13"/>
        <v>#REF!</v>
      </c>
      <c r="V18" s="138" t="e">
        <f t="shared" si="14"/>
        <v>#REF!</v>
      </c>
      <c r="W18" s="138" t="e">
        <f t="shared" si="15"/>
        <v>#REF!</v>
      </c>
      <c r="X18" s="5" t="e">
        <f t="shared" si="5"/>
        <v>#REF!</v>
      </c>
      <c r="Y18" s="5" t="e">
        <f t="shared" si="6"/>
        <v>#REF!</v>
      </c>
      <c r="Z18" s="5" t="e">
        <f t="shared" si="7"/>
        <v>#REF!</v>
      </c>
      <c r="AA18" s="5" t="e">
        <f t="shared" si="8"/>
        <v>#REF!</v>
      </c>
      <c r="AB18" s="6" t="e">
        <f t="shared" si="9"/>
        <v>#REF!</v>
      </c>
      <c r="AC18" s="142" t="e">
        <f t="shared" si="10"/>
        <v>#REF!</v>
      </c>
      <c r="AD18" s="143" t="e">
        <f>[1]!Table2[[#This Row],[Base Rate ]]</f>
        <v>#REF!</v>
      </c>
      <c r="AE18" s="144" t="e">
        <f t="shared" si="11"/>
        <v>#REF!</v>
      </c>
      <c r="AG18" s="6" t="e">
        <f>[1]!Table2[[#This Row],[Total Due]]-AE18</f>
        <v>#REF!</v>
      </c>
    </row>
    <row r="19" spans="1:33">
      <c r="A19" s="1" t="s">
        <v>9</v>
      </c>
      <c r="B19" s="11"/>
      <c r="C19" s="11">
        <v>227000</v>
      </c>
      <c r="D19" s="11">
        <v>280000</v>
      </c>
      <c r="E19" s="11">
        <v>0</v>
      </c>
      <c r="F19" s="11">
        <f t="shared" si="0"/>
        <v>53000</v>
      </c>
      <c r="G19" s="17">
        <f t="shared" si="16"/>
        <v>40.090000000000003</v>
      </c>
      <c r="H19" s="17">
        <f t="shared" si="17"/>
        <v>21.8</v>
      </c>
      <c r="I19" s="17">
        <f t="shared" si="18"/>
        <v>25.299999999999997</v>
      </c>
      <c r="J19" s="18">
        <f t="shared" si="19"/>
        <v>29.5</v>
      </c>
      <c r="K19" s="18">
        <f t="shared" si="20"/>
        <v>44.46</v>
      </c>
      <c r="L19" s="18">
        <f t="shared" si="1"/>
        <v>161.15</v>
      </c>
      <c r="M19" s="18">
        <f t="shared" si="21"/>
        <v>0</v>
      </c>
      <c r="N19" s="18">
        <f t="shared" si="2"/>
        <v>161.15</v>
      </c>
      <c r="O19" s="8"/>
      <c r="P19" s="137" t="e">
        <f>[1]!Table2[[#This Row],[Usage]]-30000</f>
        <v>#REF!</v>
      </c>
      <c r="Q19" s="1">
        <f t="shared" si="3"/>
        <v>53000</v>
      </c>
      <c r="R19" s="1" t="e">
        <f>IF([1]!Table2[[#This Row],[Usage above 30000]]&gt;0,[1]!Table2[[#This Row],[Usage above 30000]],0)</f>
        <v>#REF!</v>
      </c>
      <c r="S19" s="138" t="e">
        <f t="shared" si="4"/>
        <v>#REF!</v>
      </c>
      <c r="T19" s="138" t="e">
        <f t="shared" si="12"/>
        <v>#REF!</v>
      </c>
      <c r="U19" s="138" t="e">
        <f t="shared" si="13"/>
        <v>#REF!</v>
      </c>
      <c r="V19" s="138" t="e">
        <f t="shared" si="14"/>
        <v>#REF!</v>
      </c>
      <c r="W19" s="138" t="e">
        <f t="shared" si="15"/>
        <v>#REF!</v>
      </c>
      <c r="X19" s="5" t="e">
        <f t="shared" si="5"/>
        <v>#REF!</v>
      </c>
      <c r="Y19" s="5" t="e">
        <f t="shared" si="6"/>
        <v>#REF!</v>
      </c>
      <c r="Z19" s="5" t="e">
        <f t="shared" si="7"/>
        <v>#REF!</v>
      </c>
      <c r="AA19" s="5" t="e">
        <f t="shared" si="8"/>
        <v>#REF!</v>
      </c>
      <c r="AB19" s="6" t="e">
        <f t="shared" si="9"/>
        <v>#REF!</v>
      </c>
      <c r="AC19" s="142" t="e">
        <f t="shared" si="10"/>
        <v>#REF!</v>
      </c>
      <c r="AD19" s="143" t="e">
        <f>[1]!Table2[[#This Row],[Base Rate ]]</f>
        <v>#REF!</v>
      </c>
      <c r="AE19" s="144" t="e">
        <f t="shared" si="11"/>
        <v>#REF!</v>
      </c>
      <c r="AG19" s="6" t="e">
        <f>[1]!Table2[[#This Row],[Total Due]]-AE19</f>
        <v>#REF!</v>
      </c>
    </row>
    <row r="20" spans="1:33">
      <c r="A20" s="1" t="s">
        <v>10</v>
      </c>
      <c r="B20" s="11"/>
      <c r="C20" s="11">
        <v>1529000</v>
      </c>
      <c r="D20" s="11">
        <v>1559000</v>
      </c>
      <c r="E20" s="11">
        <v>0</v>
      </c>
      <c r="F20" s="11">
        <f t="shared" si="0"/>
        <v>30000</v>
      </c>
      <c r="G20" s="17">
        <f t="shared" si="16"/>
        <v>40.090000000000003</v>
      </c>
      <c r="H20" s="17">
        <f t="shared" si="17"/>
        <v>21.8</v>
      </c>
      <c r="I20" s="17">
        <f t="shared" si="18"/>
        <v>25.299999999999997</v>
      </c>
      <c r="J20" s="18">
        <f t="shared" si="19"/>
        <v>0</v>
      </c>
      <c r="K20" s="18">
        <f t="shared" si="20"/>
        <v>0</v>
      </c>
      <c r="L20" s="18">
        <f t="shared" si="1"/>
        <v>87.19</v>
      </c>
      <c r="M20" s="18">
        <f t="shared" si="21"/>
        <v>0</v>
      </c>
      <c r="N20" s="18">
        <f t="shared" si="2"/>
        <v>87.19</v>
      </c>
      <c r="O20" s="8"/>
      <c r="P20" s="137" t="e">
        <f>[1]!Table2[[#This Row],[Usage]]-30000</f>
        <v>#REF!</v>
      </c>
      <c r="Q20" s="1">
        <f t="shared" si="3"/>
        <v>30000</v>
      </c>
      <c r="R20" s="1" t="e">
        <f>IF([1]!Table2[[#This Row],[Usage above 30000]]&gt;0,[1]!Table2[[#This Row],[Usage above 30000]],0)</f>
        <v>#REF!</v>
      </c>
      <c r="S20" s="138" t="e">
        <f t="shared" si="4"/>
        <v>#REF!</v>
      </c>
      <c r="T20" s="138" t="e">
        <f t="shared" si="12"/>
        <v>#REF!</v>
      </c>
      <c r="U20" s="138" t="e">
        <f t="shared" si="13"/>
        <v>#REF!</v>
      </c>
      <c r="V20" s="138" t="e">
        <f t="shared" si="14"/>
        <v>#REF!</v>
      </c>
      <c r="W20" s="138" t="e">
        <f t="shared" si="15"/>
        <v>#REF!</v>
      </c>
      <c r="X20" s="5" t="e">
        <f t="shared" si="5"/>
        <v>#REF!</v>
      </c>
      <c r="Y20" s="5" t="e">
        <f t="shared" si="6"/>
        <v>#REF!</v>
      </c>
      <c r="Z20" s="5" t="e">
        <f t="shared" si="7"/>
        <v>#REF!</v>
      </c>
      <c r="AA20" s="5" t="e">
        <f t="shared" si="8"/>
        <v>#REF!</v>
      </c>
      <c r="AB20" s="6" t="e">
        <f t="shared" si="9"/>
        <v>#REF!</v>
      </c>
      <c r="AC20" s="142" t="e">
        <f t="shared" si="10"/>
        <v>#REF!</v>
      </c>
      <c r="AD20" s="143" t="e">
        <f>[1]!Table2[[#This Row],[Base Rate ]]</f>
        <v>#REF!</v>
      </c>
      <c r="AE20" s="144" t="e">
        <f t="shared" si="11"/>
        <v>#REF!</v>
      </c>
      <c r="AG20" s="6" t="e">
        <f>[1]!Table2[[#This Row],[Total Due]]-AE20</f>
        <v>#REF!</v>
      </c>
    </row>
    <row r="21" spans="1:33">
      <c r="A21" s="1" t="s">
        <v>11</v>
      </c>
      <c r="B21" s="11"/>
      <c r="C21" s="11">
        <v>1980000</v>
      </c>
      <c r="D21" s="11">
        <v>2012000</v>
      </c>
      <c r="E21" s="11">
        <v>0</v>
      </c>
      <c r="F21" s="11">
        <f t="shared" si="0"/>
        <v>32000</v>
      </c>
      <c r="G21" s="17">
        <f t="shared" si="16"/>
        <v>40.090000000000003</v>
      </c>
      <c r="H21" s="17">
        <f t="shared" si="17"/>
        <v>21.8</v>
      </c>
      <c r="I21" s="17">
        <f t="shared" si="18"/>
        <v>25.299999999999997</v>
      </c>
      <c r="J21" s="18">
        <f t="shared" si="19"/>
        <v>5.9</v>
      </c>
      <c r="K21" s="18">
        <f t="shared" si="20"/>
        <v>0</v>
      </c>
      <c r="L21" s="18">
        <f t="shared" si="1"/>
        <v>93.09</v>
      </c>
      <c r="M21" s="18">
        <f t="shared" si="21"/>
        <v>0</v>
      </c>
      <c r="N21" s="18">
        <f t="shared" si="2"/>
        <v>93.09</v>
      </c>
      <c r="O21" s="8"/>
      <c r="P21" s="137" t="e">
        <f>[1]!Table2[[#This Row],[Usage]]-30000</f>
        <v>#REF!</v>
      </c>
      <c r="Q21" s="1">
        <f t="shared" si="3"/>
        <v>32000</v>
      </c>
      <c r="R21" s="1" t="e">
        <f>IF([1]!Table2[[#This Row],[Usage above 30000]]&gt;0,[1]!Table2[[#This Row],[Usage above 30000]],0)</f>
        <v>#REF!</v>
      </c>
      <c r="S21" s="138" t="e">
        <f t="shared" si="4"/>
        <v>#REF!</v>
      </c>
      <c r="T21" s="138" t="e">
        <f t="shared" si="12"/>
        <v>#REF!</v>
      </c>
      <c r="U21" s="138" t="e">
        <f t="shared" si="13"/>
        <v>#REF!</v>
      </c>
      <c r="V21" s="138" t="e">
        <f t="shared" si="14"/>
        <v>#REF!</v>
      </c>
      <c r="W21" s="138" t="e">
        <f t="shared" si="15"/>
        <v>#REF!</v>
      </c>
      <c r="X21" s="5" t="e">
        <f t="shared" si="5"/>
        <v>#REF!</v>
      </c>
      <c r="Y21" s="5" t="e">
        <f t="shared" si="6"/>
        <v>#REF!</v>
      </c>
      <c r="Z21" s="5" t="e">
        <f t="shared" si="7"/>
        <v>#REF!</v>
      </c>
      <c r="AA21" s="5" t="e">
        <f t="shared" si="8"/>
        <v>#REF!</v>
      </c>
      <c r="AB21" s="6" t="e">
        <f t="shared" si="9"/>
        <v>#REF!</v>
      </c>
      <c r="AC21" s="142" t="e">
        <f t="shared" si="10"/>
        <v>#REF!</v>
      </c>
      <c r="AD21" s="143" t="e">
        <f>[1]!Table2[[#This Row],[Base Rate ]]</f>
        <v>#REF!</v>
      </c>
      <c r="AE21" s="144" t="e">
        <f t="shared" si="11"/>
        <v>#REF!</v>
      </c>
      <c r="AG21" s="6" t="e">
        <f>[1]!Table2[[#This Row],[Total Due]]-AE21</f>
        <v>#REF!</v>
      </c>
    </row>
    <row r="22" spans="1:33">
      <c r="A22" s="1" t="s">
        <v>12</v>
      </c>
      <c r="B22" s="11"/>
      <c r="C22" s="11">
        <v>2238000</v>
      </c>
      <c r="D22" s="11">
        <v>2257000</v>
      </c>
      <c r="E22" s="11">
        <v>0</v>
      </c>
      <c r="F22" s="11">
        <f t="shared" si="0"/>
        <v>19000</v>
      </c>
      <c r="G22" s="17">
        <f t="shared" si="16"/>
        <v>40.090000000000003</v>
      </c>
      <c r="H22" s="17">
        <f t="shared" si="17"/>
        <v>19.62</v>
      </c>
      <c r="I22" s="17">
        <f t="shared" si="18"/>
        <v>0</v>
      </c>
      <c r="J22" s="18">
        <f t="shared" si="19"/>
        <v>0</v>
      </c>
      <c r="K22" s="18">
        <f t="shared" si="20"/>
        <v>0</v>
      </c>
      <c r="L22" s="18">
        <f t="shared" si="1"/>
        <v>59.710000000000008</v>
      </c>
      <c r="M22" s="18">
        <f t="shared" si="21"/>
        <v>0</v>
      </c>
      <c r="N22" s="18">
        <f t="shared" si="2"/>
        <v>59.710000000000008</v>
      </c>
      <c r="O22" s="8"/>
      <c r="P22" s="137" t="e">
        <f>[1]!Table2[[#This Row],[Usage]]-30000</f>
        <v>#REF!</v>
      </c>
      <c r="Q22" s="1">
        <f t="shared" si="3"/>
        <v>19000</v>
      </c>
      <c r="R22" s="1" t="e">
        <f>IF([1]!Table2[[#This Row],[Usage above 30000]]&gt;0,[1]!Table2[[#This Row],[Usage above 30000]],0)</f>
        <v>#REF!</v>
      </c>
      <c r="S22" s="138" t="e">
        <f t="shared" si="4"/>
        <v>#REF!</v>
      </c>
      <c r="T22" s="138" t="e">
        <f t="shared" si="12"/>
        <v>#REF!</v>
      </c>
      <c r="U22" s="138" t="e">
        <f t="shared" si="13"/>
        <v>#REF!</v>
      </c>
      <c r="V22" s="138" t="e">
        <f t="shared" si="14"/>
        <v>#REF!</v>
      </c>
      <c r="W22" s="138" t="e">
        <f t="shared" si="15"/>
        <v>#REF!</v>
      </c>
      <c r="X22" s="5" t="e">
        <f t="shared" si="5"/>
        <v>#REF!</v>
      </c>
      <c r="Y22" s="5" t="e">
        <f t="shared" si="6"/>
        <v>#REF!</v>
      </c>
      <c r="Z22" s="5" t="e">
        <f t="shared" si="7"/>
        <v>#REF!</v>
      </c>
      <c r="AA22" s="5" t="e">
        <f t="shared" si="8"/>
        <v>#REF!</v>
      </c>
      <c r="AB22" s="6" t="e">
        <f t="shared" si="9"/>
        <v>#REF!</v>
      </c>
      <c r="AC22" s="142" t="e">
        <f t="shared" si="10"/>
        <v>#REF!</v>
      </c>
      <c r="AD22" s="143" t="e">
        <f>[1]!Table2[[#This Row],[Base Rate ]]</f>
        <v>#REF!</v>
      </c>
      <c r="AE22" s="144" t="e">
        <f t="shared" si="11"/>
        <v>#REF!</v>
      </c>
      <c r="AG22" s="6" t="e">
        <f>[1]!Table2[[#This Row],[Total Due]]-AE22</f>
        <v>#REF!</v>
      </c>
    </row>
    <row r="23" spans="1:33">
      <c r="A23" s="1" t="s">
        <v>13</v>
      </c>
      <c r="B23" s="11" t="s">
        <v>138</v>
      </c>
      <c r="C23" s="11">
        <v>0</v>
      </c>
      <c r="D23" s="11">
        <v>0</v>
      </c>
      <c r="E23" s="11">
        <v>0</v>
      </c>
      <c r="F23" s="11">
        <f t="shared" si="0"/>
        <v>0</v>
      </c>
      <c r="G23" s="17">
        <f t="shared" si="16"/>
        <v>11.79</v>
      </c>
      <c r="H23" s="17">
        <f t="shared" si="17"/>
        <v>0</v>
      </c>
      <c r="I23" s="17">
        <f t="shared" si="18"/>
        <v>0</v>
      </c>
      <c r="J23" s="18">
        <f t="shared" si="19"/>
        <v>0</v>
      </c>
      <c r="K23" s="18">
        <f t="shared" si="20"/>
        <v>0</v>
      </c>
      <c r="L23" s="18">
        <f t="shared" si="1"/>
        <v>11.79</v>
      </c>
      <c r="M23" s="18">
        <f t="shared" si="21"/>
        <v>0</v>
      </c>
      <c r="N23" s="18">
        <f t="shared" si="2"/>
        <v>11.79</v>
      </c>
      <c r="O23" s="8"/>
      <c r="P23" s="137" t="e">
        <f>[1]!Table2[[#This Row],[Usage]]-30000</f>
        <v>#REF!</v>
      </c>
      <c r="Q23" s="1">
        <f t="shared" si="3"/>
        <v>0</v>
      </c>
      <c r="R23" s="1" t="e">
        <f>IF([1]!Table2[[#This Row],[Usage above 30000]]&gt;0,[1]!Table2[[#This Row],[Usage above 30000]],0)</f>
        <v>#REF!</v>
      </c>
      <c r="S23" s="138" t="e">
        <f t="shared" si="4"/>
        <v>#REF!</v>
      </c>
      <c r="T23" s="138" t="e">
        <f t="shared" si="12"/>
        <v>#REF!</v>
      </c>
      <c r="U23" s="138" t="e">
        <f t="shared" si="13"/>
        <v>#REF!</v>
      </c>
      <c r="V23" s="138" t="e">
        <f t="shared" si="14"/>
        <v>#REF!</v>
      </c>
      <c r="W23" s="138" t="e">
        <f t="shared" si="15"/>
        <v>#REF!</v>
      </c>
      <c r="X23" s="5" t="e">
        <f t="shared" si="5"/>
        <v>#REF!</v>
      </c>
      <c r="Y23" s="5" t="e">
        <f t="shared" si="6"/>
        <v>#REF!</v>
      </c>
      <c r="Z23" s="5" t="e">
        <f t="shared" si="7"/>
        <v>#REF!</v>
      </c>
      <c r="AA23" s="5" t="e">
        <f t="shared" si="8"/>
        <v>#REF!</v>
      </c>
      <c r="AB23" s="6" t="e">
        <f t="shared" si="9"/>
        <v>#REF!</v>
      </c>
      <c r="AC23" s="142" t="e">
        <f t="shared" si="10"/>
        <v>#REF!</v>
      </c>
      <c r="AD23" s="143" t="e">
        <f>[1]!Table2[[#This Row],[Base Rate ]]</f>
        <v>#REF!</v>
      </c>
      <c r="AE23" s="144" t="e">
        <f t="shared" si="11"/>
        <v>#REF!</v>
      </c>
      <c r="AG23" s="6" t="e">
        <f>[1]!Table2[[#This Row],[Total Due]]-AE23</f>
        <v>#REF!</v>
      </c>
    </row>
    <row r="24" spans="1:33">
      <c r="A24" s="1" t="s">
        <v>14</v>
      </c>
      <c r="B24" s="11"/>
      <c r="C24" s="11">
        <v>6412000</v>
      </c>
      <c r="D24" s="11">
        <v>6425000</v>
      </c>
      <c r="E24" s="11">
        <v>0</v>
      </c>
      <c r="F24" s="11">
        <f t="shared" si="0"/>
        <v>13000</v>
      </c>
      <c r="G24" s="17">
        <f t="shared" si="16"/>
        <v>40.090000000000003</v>
      </c>
      <c r="H24" s="17">
        <f t="shared" si="17"/>
        <v>6.5400000000000009</v>
      </c>
      <c r="I24" s="17">
        <f t="shared" si="18"/>
        <v>0</v>
      </c>
      <c r="J24" s="18">
        <f t="shared" si="19"/>
        <v>0</v>
      </c>
      <c r="K24" s="18">
        <f t="shared" si="20"/>
        <v>0</v>
      </c>
      <c r="L24" s="18">
        <f t="shared" si="1"/>
        <v>46.63</v>
      </c>
      <c r="M24" s="18">
        <f t="shared" si="21"/>
        <v>0</v>
      </c>
      <c r="N24" s="18">
        <f t="shared" si="2"/>
        <v>46.63</v>
      </c>
      <c r="O24" s="8"/>
      <c r="P24" s="137" t="e">
        <f>[1]!Table2[[#This Row],[Usage]]-30000</f>
        <v>#REF!</v>
      </c>
      <c r="Q24" s="1">
        <f t="shared" si="3"/>
        <v>13000</v>
      </c>
      <c r="R24" s="1" t="e">
        <f>IF([1]!Table2[[#This Row],[Usage above 30000]]&gt;0,[1]!Table2[[#This Row],[Usage above 30000]],0)</f>
        <v>#REF!</v>
      </c>
      <c r="S24" s="138" t="e">
        <f t="shared" si="4"/>
        <v>#REF!</v>
      </c>
      <c r="T24" s="138" t="e">
        <f t="shared" si="12"/>
        <v>#REF!</v>
      </c>
      <c r="U24" s="138" t="e">
        <f t="shared" si="13"/>
        <v>#REF!</v>
      </c>
      <c r="V24" s="138" t="e">
        <f t="shared" si="14"/>
        <v>#REF!</v>
      </c>
      <c r="W24" s="138" t="e">
        <f t="shared" si="15"/>
        <v>#REF!</v>
      </c>
      <c r="X24" s="5" t="e">
        <f t="shared" si="5"/>
        <v>#REF!</v>
      </c>
      <c r="Y24" s="5" t="e">
        <f t="shared" si="6"/>
        <v>#REF!</v>
      </c>
      <c r="Z24" s="5" t="e">
        <f t="shared" si="7"/>
        <v>#REF!</v>
      </c>
      <c r="AA24" s="5" t="e">
        <f t="shared" si="8"/>
        <v>#REF!</v>
      </c>
      <c r="AB24" s="6" t="e">
        <f t="shared" si="9"/>
        <v>#REF!</v>
      </c>
      <c r="AC24" s="142" t="e">
        <f t="shared" si="10"/>
        <v>#REF!</v>
      </c>
      <c r="AD24" s="143" t="e">
        <f>[1]!Table2[[#This Row],[Base Rate ]]</f>
        <v>#REF!</v>
      </c>
      <c r="AE24" s="144" t="e">
        <f t="shared" si="11"/>
        <v>#REF!</v>
      </c>
      <c r="AG24" s="6" t="e">
        <f>[1]!Table2[[#This Row],[Total Due]]-AE24</f>
        <v>#REF!</v>
      </c>
    </row>
    <row r="25" spans="1:33">
      <c r="A25" s="1" t="s">
        <v>15</v>
      </c>
      <c r="B25" s="11"/>
      <c r="C25" s="11">
        <v>2666000</v>
      </c>
      <c r="D25" s="11">
        <v>2675000</v>
      </c>
      <c r="E25" s="11">
        <v>0</v>
      </c>
      <c r="F25" s="11">
        <f t="shared" si="0"/>
        <v>9000</v>
      </c>
      <c r="G25" s="17">
        <f t="shared" si="16"/>
        <v>40.090000000000003</v>
      </c>
      <c r="H25" s="17">
        <f t="shared" si="17"/>
        <v>0</v>
      </c>
      <c r="I25" s="17">
        <f t="shared" si="18"/>
        <v>0</v>
      </c>
      <c r="J25" s="18">
        <f t="shared" si="19"/>
        <v>0</v>
      </c>
      <c r="K25" s="18">
        <f>IF((($F25-40000)&gt;=0),($F25-40000)/1000*3.42,0)</f>
        <v>0</v>
      </c>
      <c r="L25" s="18">
        <f t="shared" si="1"/>
        <v>40.090000000000003</v>
      </c>
      <c r="M25" s="18">
        <f t="shared" si="21"/>
        <v>0</v>
      </c>
      <c r="N25" s="18">
        <f t="shared" si="2"/>
        <v>40.090000000000003</v>
      </c>
      <c r="O25" s="8"/>
      <c r="P25" s="137" t="e">
        <f>[1]!Table2[[#This Row],[Usage]]-30000</f>
        <v>#REF!</v>
      </c>
      <c r="Q25" s="1">
        <f t="shared" si="3"/>
        <v>9000</v>
      </c>
      <c r="R25" s="1" t="e">
        <f>IF([1]!Table2[[#This Row],[Usage above 30000]]&gt;0,[1]!Table2[[#This Row],[Usage above 30000]],0)</f>
        <v>#REF!</v>
      </c>
      <c r="S25" s="138" t="e">
        <f t="shared" si="4"/>
        <v>#REF!</v>
      </c>
      <c r="T25" s="138" t="e">
        <f t="shared" si="12"/>
        <v>#REF!</v>
      </c>
      <c r="U25" s="138" t="e">
        <f t="shared" si="13"/>
        <v>#REF!</v>
      </c>
      <c r="V25" s="138" t="e">
        <f t="shared" si="14"/>
        <v>#REF!</v>
      </c>
      <c r="W25" s="138" t="e">
        <f t="shared" si="15"/>
        <v>#REF!</v>
      </c>
      <c r="X25" s="5" t="e">
        <f t="shared" si="5"/>
        <v>#REF!</v>
      </c>
      <c r="Y25" s="5" t="e">
        <f t="shared" si="6"/>
        <v>#REF!</v>
      </c>
      <c r="Z25" s="5" t="e">
        <f t="shared" si="7"/>
        <v>#REF!</v>
      </c>
      <c r="AA25" s="5" t="e">
        <f t="shared" si="8"/>
        <v>#REF!</v>
      </c>
      <c r="AB25" s="6" t="e">
        <f t="shared" si="9"/>
        <v>#REF!</v>
      </c>
      <c r="AC25" s="142" t="e">
        <f t="shared" si="10"/>
        <v>#REF!</v>
      </c>
      <c r="AD25" s="143" t="e">
        <f>[1]!Table2[[#This Row],[Base Rate ]]</f>
        <v>#REF!</v>
      </c>
      <c r="AE25" s="144" t="e">
        <f t="shared" si="11"/>
        <v>#REF!</v>
      </c>
      <c r="AG25" s="6" t="e">
        <f>[1]!Table2[[#This Row],[Total Due]]-AE25</f>
        <v>#REF!</v>
      </c>
    </row>
    <row r="26" spans="1:33">
      <c r="A26" s="1" t="s">
        <v>16</v>
      </c>
      <c r="B26" s="11"/>
      <c r="C26" s="11">
        <v>1585000</v>
      </c>
      <c r="D26" s="11">
        <v>1593000</v>
      </c>
      <c r="E26" s="11">
        <v>0</v>
      </c>
      <c r="F26" s="11">
        <f t="shared" si="0"/>
        <v>8000</v>
      </c>
      <c r="G26" s="17">
        <f t="shared" si="16"/>
        <v>40.090000000000003</v>
      </c>
      <c r="H26" s="17">
        <f t="shared" si="17"/>
        <v>0</v>
      </c>
      <c r="I26" s="17">
        <f t="shared" si="18"/>
        <v>0</v>
      </c>
      <c r="J26" s="18">
        <f t="shared" si="19"/>
        <v>0</v>
      </c>
      <c r="K26" s="18">
        <f t="shared" si="20"/>
        <v>0</v>
      </c>
      <c r="L26" s="18">
        <f t="shared" si="1"/>
        <v>40.090000000000003</v>
      </c>
      <c r="M26" s="18">
        <f t="shared" si="21"/>
        <v>0</v>
      </c>
      <c r="N26" s="18">
        <f t="shared" si="2"/>
        <v>40.090000000000003</v>
      </c>
      <c r="O26" s="8"/>
      <c r="P26" s="137" t="e">
        <f>[1]!Table2[[#This Row],[Usage]]-30000</f>
        <v>#REF!</v>
      </c>
      <c r="Q26" s="1">
        <f t="shared" si="3"/>
        <v>8000</v>
      </c>
      <c r="R26" s="1" t="e">
        <f>IF([1]!Table2[[#This Row],[Usage above 30000]]&gt;0,[1]!Table2[[#This Row],[Usage above 30000]],0)</f>
        <v>#REF!</v>
      </c>
      <c r="S26" s="138" t="e">
        <f t="shared" si="4"/>
        <v>#REF!</v>
      </c>
      <c r="T26" s="138" t="e">
        <f t="shared" si="12"/>
        <v>#REF!</v>
      </c>
      <c r="U26" s="138" t="e">
        <f t="shared" si="13"/>
        <v>#REF!</v>
      </c>
      <c r="V26" s="138" t="e">
        <f t="shared" si="14"/>
        <v>#REF!</v>
      </c>
      <c r="W26" s="138" t="e">
        <f t="shared" si="15"/>
        <v>#REF!</v>
      </c>
      <c r="X26" s="5" t="e">
        <f t="shared" si="5"/>
        <v>#REF!</v>
      </c>
      <c r="Y26" s="5" t="e">
        <f t="shared" si="6"/>
        <v>#REF!</v>
      </c>
      <c r="Z26" s="5" t="e">
        <f t="shared" si="7"/>
        <v>#REF!</v>
      </c>
      <c r="AA26" s="5" t="e">
        <f t="shared" si="8"/>
        <v>#REF!</v>
      </c>
      <c r="AB26" s="6" t="e">
        <f t="shared" si="9"/>
        <v>#REF!</v>
      </c>
      <c r="AC26" s="142" t="e">
        <f t="shared" si="10"/>
        <v>#REF!</v>
      </c>
      <c r="AD26" s="143" t="e">
        <f>[1]!Table2[[#This Row],[Base Rate ]]</f>
        <v>#REF!</v>
      </c>
      <c r="AE26" s="144" t="e">
        <f t="shared" si="11"/>
        <v>#REF!</v>
      </c>
      <c r="AG26" s="6" t="e">
        <f>[1]!Table2[[#This Row],[Total Due]]-AE26</f>
        <v>#REF!</v>
      </c>
    </row>
    <row r="27" spans="1:33">
      <c r="A27" s="1" t="s">
        <v>17</v>
      </c>
      <c r="B27" s="11"/>
      <c r="C27" s="11">
        <v>1176000</v>
      </c>
      <c r="D27" s="11">
        <v>1193000</v>
      </c>
      <c r="E27" s="11">
        <v>0</v>
      </c>
      <c r="F27" s="11">
        <f t="shared" si="0"/>
        <v>17000</v>
      </c>
      <c r="G27" s="17">
        <f t="shared" si="16"/>
        <v>40.090000000000003</v>
      </c>
      <c r="H27" s="17">
        <f t="shared" si="17"/>
        <v>15.260000000000002</v>
      </c>
      <c r="I27" s="17">
        <f t="shared" si="18"/>
        <v>0</v>
      </c>
      <c r="J27" s="18">
        <f t="shared" si="19"/>
        <v>0</v>
      </c>
      <c r="K27" s="18">
        <f t="shared" si="20"/>
        <v>0</v>
      </c>
      <c r="L27" s="18">
        <f t="shared" si="1"/>
        <v>55.350000000000009</v>
      </c>
      <c r="M27" s="18">
        <f t="shared" si="21"/>
        <v>0</v>
      </c>
      <c r="N27" s="18">
        <f t="shared" si="2"/>
        <v>55.350000000000009</v>
      </c>
      <c r="O27" s="8"/>
      <c r="P27" s="137" t="e">
        <f>[1]!Table2[[#This Row],[Usage]]-30000</f>
        <v>#REF!</v>
      </c>
      <c r="Q27" s="1">
        <f t="shared" si="3"/>
        <v>17000</v>
      </c>
      <c r="R27" s="1" t="e">
        <f>IF([1]!Table2[[#This Row],[Usage above 30000]]&gt;0,[1]!Table2[[#This Row],[Usage above 30000]],0)</f>
        <v>#REF!</v>
      </c>
      <c r="S27" s="138" t="e">
        <f t="shared" si="4"/>
        <v>#REF!</v>
      </c>
      <c r="T27" s="138" t="e">
        <f t="shared" si="12"/>
        <v>#REF!</v>
      </c>
      <c r="U27" s="138" t="e">
        <f t="shared" si="13"/>
        <v>#REF!</v>
      </c>
      <c r="V27" s="138" t="e">
        <f t="shared" si="14"/>
        <v>#REF!</v>
      </c>
      <c r="W27" s="138" t="e">
        <f t="shared" si="15"/>
        <v>#REF!</v>
      </c>
      <c r="X27" s="5" t="e">
        <f t="shared" si="5"/>
        <v>#REF!</v>
      </c>
      <c r="Y27" s="5" t="e">
        <f t="shared" si="6"/>
        <v>#REF!</v>
      </c>
      <c r="Z27" s="5" t="e">
        <f t="shared" si="7"/>
        <v>#REF!</v>
      </c>
      <c r="AA27" s="5" t="e">
        <f t="shared" si="8"/>
        <v>#REF!</v>
      </c>
      <c r="AB27" s="6" t="e">
        <f t="shared" si="9"/>
        <v>#REF!</v>
      </c>
      <c r="AC27" s="142" t="e">
        <f t="shared" si="10"/>
        <v>#REF!</v>
      </c>
      <c r="AD27" s="143" t="e">
        <f>[1]!Table2[[#This Row],[Base Rate ]]</f>
        <v>#REF!</v>
      </c>
      <c r="AE27" s="144" t="e">
        <f t="shared" si="11"/>
        <v>#REF!</v>
      </c>
      <c r="AG27" s="6" t="e">
        <f>[1]!Table2[[#This Row],[Total Due]]-AE27</f>
        <v>#REF!</v>
      </c>
    </row>
    <row r="28" spans="1:33">
      <c r="A28" s="1" t="s">
        <v>18</v>
      </c>
      <c r="B28" s="11"/>
      <c r="C28" s="11">
        <v>4038000</v>
      </c>
      <c r="D28" s="11">
        <v>4058000</v>
      </c>
      <c r="E28" s="11">
        <v>0</v>
      </c>
      <c r="F28" s="11">
        <f t="shared" si="0"/>
        <v>20000</v>
      </c>
      <c r="G28" s="17">
        <f t="shared" si="16"/>
        <v>40.090000000000003</v>
      </c>
      <c r="H28" s="17">
        <f t="shared" si="17"/>
        <v>21.8</v>
      </c>
      <c r="I28" s="17">
        <f t="shared" si="18"/>
        <v>0</v>
      </c>
      <c r="J28" s="18">
        <f t="shared" si="19"/>
        <v>0</v>
      </c>
      <c r="K28" s="18">
        <f t="shared" si="20"/>
        <v>0</v>
      </c>
      <c r="L28" s="18">
        <f t="shared" si="1"/>
        <v>61.89</v>
      </c>
      <c r="M28" s="18">
        <f t="shared" si="21"/>
        <v>0</v>
      </c>
      <c r="N28" s="18">
        <f t="shared" si="2"/>
        <v>61.89</v>
      </c>
      <c r="O28" s="8"/>
      <c r="P28" s="137" t="e">
        <f>[1]!Table2[[#This Row],[Usage]]-30000</f>
        <v>#REF!</v>
      </c>
      <c r="Q28" s="1">
        <f t="shared" si="3"/>
        <v>20000</v>
      </c>
      <c r="R28" s="1" t="e">
        <f>IF([1]!Table2[[#This Row],[Usage above 30000]]&gt;0,[1]!Table2[[#This Row],[Usage above 30000]],0)</f>
        <v>#REF!</v>
      </c>
      <c r="S28" s="138" t="e">
        <f t="shared" si="4"/>
        <v>#REF!</v>
      </c>
      <c r="T28" s="138" t="e">
        <f t="shared" si="12"/>
        <v>#REF!</v>
      </c>
      <c r="U28" s="138" t="e">
        <f t="shared" si="13"/>
        <v>#REF!</v>
      </c>
      <c r="V28" s="138" t="e">
        <f t="shared" si="14"/>
        <v>#REF!</v>
      </c>
      <c r="W28" s="138" t="e">
        <f t="shared" si="15"/>
        <v>#REF!</v>
      </c>
      <c r="X28" s="5" t="e">
        <f t="shared" si="5"/>
        <v>#REF!</v>
      </c>
      <c r="Y28" s="5" t="e">
        <f t="shared" si="6"/>
        <v>#REF!</v>
      </c>
      <c r="Z28" s="5" t="e">
        <f t="shared" si="7"/>
        <v>#REF!</v>
      </c>
      <c r="AA28" s="5" t="e">
        <f t="shared" si="8"/>
        <v>#REF!</v>
      </c>
      <c r="AB28" s="6" t="e">
        <f t="shared" si="9"/>
        <v>#REF!</v>
      </c>
      <c r="AC28" s="142" t="e">
        <f t="shared" si="10"/>
        <v>#REF!</v>
      </c>
      <c r="AD28" s="143" t="e">
        <f>[1]!Table2[[#This Row],[Base Rate ]]</f>
        <v>#REF!</v>
      </c>
      <c r="AE28" s="144" t="e">
        <f t="shared" si="11"/>
        <v>#REF!</v>
      </c>
      <c r="AG28" s="6" t="e">
        <f>[1]!Table2[[#This Row],[Total Due]]-AE28</f>
        <v>#REF!</v>
      </c>
    </row>
    <row r="29" spans="1:33">
      <c r="A29" s="1" t="s">
        <v>19</v>
      </c>
      <c r="B29" s="11"/>
      <c r="C29" s="11">
        <v>1169000</v>
      </c>
      <c r="D29" s="11">
        <v>1182000</v>
      </c>
      <c r="E29" s="11">
        <v>0</v>
      </c>
      <c r="F29" s="11">
        <f t="shared" si="0"/>
        <v>13000</v>
      </c>
      <c r="G29" s="17">
        <f t="shared" si="16"/>
        <v>40.090000000000003</v>
      </c>
      <c r="H29" s="17">
        <f t="shared" si="17"/>
        <v>6.5400000000000009</v>
      </c>
      <c r="I29" s="17">
        <f t="shared" si="18"/>
        <v>0</v>
      </c>
      <c r="J29" s="18">
        <f t="shared" si="19"/>
        <v>0</v>
      </c>
      <c r="K29" s="18">
        <f t="shared" si="20"/>
        <v>0</v>
      </c>
      <c r="L29" s="18">
        <f t="shared" si="1"/>
        <v>46.63</v>
      </c>
      <c r="M29" s="18">
        <f t="shared" si="21"/>
        <v>0</v>
      </c>
      <c r="N29" s="18">
        <f t="shared" si="2"/>
        <v>46.63</v>
      </c>
      <c r="O29" s="8"/>
      <c r="P29" s="137" t="e">
        <f>[1]!Table2[[#This Row],[Usage]]-30000</f>
        <v>#REF!</v>
      </c>
      <c r="Q29" s="1">
        <f t="shared" si="3"/>
        <v>13000</v>
      </c>
      <c r="R29" s="1" t="e">
        <f>IF([1]!Table2[[#This Row],[Usage above 30000]]&gt;0,[1]!Table2[[#This Row],[Usage above 30000]],0)</f>
        <v>#REF!</v>
      </c>
      <c r="S29" s="138" t="e">
        <f t="shared" si="4"/>
        <v>#REF!</v>
      </c>
      <c r="T29" s="138" t="e">
        <f t="shared" si="12"/>
        <v>#REF!</v>
      </c>
      <c r="U29" s="138" t="e">
        <f t="shared" si="13"/>
        <v>#REF!</v>
      </c>
      <c r="V29" s="138" t="e">
        <f t="shared" si="14"/>
        <v>#REF!</v>
      </c>
      <c r="W29" s="138" t="e">
        <f t="shared" si="15"/>
        <v>#REF!</v>
      </c>
      <c r="X29" s="5" t="e">
        <f t="shared" si="5"/>
        <v>#REF!</v>
      </c>
      <c r="Y29" s="5" t="e">
        <f t="shared" si="6"/>
        <v>#REF!</v>
      </c>
      <c r="Z29" s="5" t="e">
        <f t="shared" si="7"/>
        <v>#REF!</v>
      </c>
      <c r="AA29" s="5" t="e">
        <f t="shared" si="8"/>
        <v>#REF!</v>
      </c>
      <c r="AB29" s="6" t="e">
        <f t="shared" si="9"/>
        <v>#REF!</v>
      </c>
      <c r="AC29" s="142" t="e">
        <f t="shared" si="10"/>
        <v>#REF!</v>
      </c>
      <c r="AD29" s="143" t="e">
        <f>[1]!Table2[[#This Row],[Base Rate ]]</f>
        <v>#REF!</v>
      </c>
      <c r="AE29" s="144" t="e">
        <f t="shared" si="11"/>
        <v>#REF!</v>
      </c>
      <c r="AG29" s="6" t="e">
        <f>[1]!Table2[[#This Row],[Total Due]]-AE29</f>
        <v>#REF!</v>
      </c>
    </row>
    <row r="30" spans="1:33">
      <c r="A30" s="1" t="s">
        <v>20</v>
      </c>
      <c r="B30" s="11"/>
      <c r="C30" s="11">
        <v>2219000</v>
      </c>
      <c r="D30" s="11">
        <v>2228000</v>
      </c>
      <c r="E30" s="11">
        <v>0</v>
      </c>
      <c r="F30" s="11">
        <f t="shared" si="0"/>
        <v>9000</v>
      </c>
      <c r="G30" s="17">
        <f t="shared" si="16"/>
        <v>40.090000000000003</v>
      </c>
      <c r="H30" s="17">
        <f t="shared" si="17"/>
        <v>0</v>
      </c>
      <c r="I30" s="17">
        <f t="shared" si="18"/>
        <v>0</v>
      </c>
      <c r="J30" s="18">
        <f t="shared" si="19"/>
        <v>0</v>
      </c>
      <c r="K30" s="18">
        <f t="shared" si="20"/>
        <v>0</v>
      </c>
      <c r="L30" s="18">
        <f t="shared" si="1"/>
        <v>40.090000000000003</v>
      </c>
      <c r="M30" s="18">
        <f t="shared" si="21"/>
        <v>0</v>
      </c>
      <c r="N30" s="18">
        <f t="shared" si="2"/>
        <v>40.090000000000003</v>
      </c>
      <c r="O30" s="8"/>
      <c r="P30" s="137" t="e">
        <f>[1]!Table2[[#This Row],[Usage]]-30000</f>
        <v>#REF!</v>
      </c>
      <c r="Q30" s="1">
        <f t="shared" si="3"/>
        <v>9000</v>
      </c>
      <c r="R30" s="1" t="e">
        <f>IF([1]!Table2[[#This Row],[Usage above 30000]]&gt;0,[1]!Table2[[#This Row],[Usage above 30000]],0)</f>
        <v>#REF!</v>
      </c>
      <c r="S30" s="138" t="e">
        <f t="shared" si="4"/>
        <v>#REF!</v>
      </c>
      <c r="T30" s="138" t="e">
        <f t="shared" si="12"/>
        <v>#REF!</v>
      </c>
      <c r="U30" s="138" t="e">
        <f t="shared" si="13"/>
        <v>#REF!</v>
      </c>
      <c r="V30" s="138" t="e">
        <f t="shared" si="14"/>
        <v>#REF!</v>
      </c>
      <c r="W30" s="138" t="e">
        <f t="shared" si="15"/>
        <v>#REF!</v>
      </c>
      <c r="X30" s="5" t="e">
        <f t="shared" si="5"/>
        <v>#REF!</v>
      </c>
      <c r="Y30" s="5" t="e">
        <f t="shared" si="6"/>
        <v>#REF!</v>
      </c>
      <c r="Z30" s="5" t="e">
        <f t="shared" si="7"/>
        <v>#REF!</v>
      </c>
      <c r="AA30" s="5" t="e">
        <f t="shared" si="8"/>
        <v>#REF!</v>
      </c>
      <c r="AB30" s="6" t="e">
        <f t="shared" si="9"/>
        <v>#REF!</v>
      </c>
      <c r="AC30" s="142" t="e">
        <f t="shared" si="10"/>
        <v>#REF!</v>
      </c>
      <c r="AD30" s="143" t="e">
        <f>[1]!Table2[[#This Row],[Base Rate ]]</f>
        <v>#REF!</v>
      </c>
      <c r="AE30" s="144" t="e">
        <f t="shared" si="11"/>
        <v>#REF!</v>
      </c>
      <c r="AG30" s="6" t="e">
        <f>[1]!Table2[[#This Row],[Total Due]]-AE30</f>
        <v>#REF!</v>
      </c>
    </row>
    <row r="31" spans="1:33">
      <c r="A31" s="1" t="s">
        <v>21</v>
      </c>
      <c r="B31" s="11" t="s">
        <v>138</v>
      </c>
      <c r="C31" s="11">
        <v>0</v>
      </c>
      <c r="D31" s="11">
        <v>0</v>
      </c>
      <c r="E31" s="11">
        <v>0</v>
      </c>
      <c r="F31" s="11">
        <f t="shared" si="0"/>
        <v>0</v>
      </c>
      <c r="G31" s="17">
        <f t="shared" si="16"/>
        <v>11.79</v>
      </c>
      <c r="H31" s="17">
        <f t="shared" si="17"/>
        <v>0</v>
      </c>
      <c r="I31" s="17">
        <f t="shared" si="18"/>
        <v>0</v>
      </c>
      <c r="J31" s="18">
        <f t="shared" si="19"/>
        <v>0</v>
      </c>
      <c r="K31" s="18">
        <f t="shared" si="20"/>
        <v>0</v>
      </c>
      <c r="L31" s="18">
        <f t="shared" si="1"/>
        <v>11.79</v>
      </c>
      <c r="M31" s="18">
        <f t="shared" si="21"/>
        <v>0</v>
      </c>
      <c r="N31" s="18">
        <f t="shared" si="2"/>
        <v>11.79</v>
      </c>
      <c r="O31" s="8"/>
      <c r="P31" s="137" t="e">
        <f>[1]!Table2[[#This Row],[Usage]]-30000</f>
        <v>#REF!</v>
      </c>
      <c r="Q31" s="1">
        <f t="shared" si="3"/>
        <v>0</v>
      </c>
      <c r="R31" s="1" t="e">
        <f>IF([1]!Table2[[#This Row],[Usage above 30000]]&gt;0,[1]!Table2[[#This Row],[Usage above 30000]],0)</f>
        <v>#REF!</v>
      </c>
      <c r="S31" s="138" t="e">
        <f t="shared" si="4"/>
        <v>#REF!</v>
      </c>
      <c r="T31" s="138" t="e">
        <f t="shared" si="12"/>
        <v>#REF!</v>
      </c>
      <c r="U31" s="138" t="e">
        <f t="shared" si="13"/>
        <v>#REF!</v>
      </c>
      <c r="V31" s="138" t="e">
        <f t="shared" si="14"/>
        <v>#REF!</v>
      </c>
      <c r="W31" s="138" t="e">
        <f t="shared" si="15"/>
        <v>#REF!</v>
      </c>
      <c r="X31" s="5" t="e">
        <f t="shared" si="5"/>
        <v>#REF!</v>
      </c>
      <c r="Y31" s="5" t="e">
        <f t="shared" si="6"/>
        <v>#REF!</v>
      </c>
      <c r="Z31" s="5" t="e">
        <f t="shared" si="7"/>
        <v>#REF!</v>
      </c>
      <c r="AA31" s="5" t="e">
        <f t="shared" si="8"/>
        <v>#REF!</v>
      </c>
      <c r="AB31" s="6" t="e">
        <f t="shared" si="9"/>
        <v>#REF!</v>
      </c>
      <c r="AC31" s="142" t="e">
        <f t="shared" si="10"/>
        <v>#REF!</v>
      </c>
      <c r="AD31" s="143" t="e">
        <f>[1]!Table2[[#This Row],[Base Rate ]]</f>
        <v>#REF!</v>
      </c>
      <c r="AE31" s="144" t="e">
        <f t="shared" si="11"/>
        <v>#REF!</v>
      </c>
      <c r="AG31" s="6" t="e">
        <f>[1]!Table2[[#This Row],[Total Due]]-AE31</f>
        <v>#REF!</v>
      </c>
    </row>
    <row r="32" spans="1:33">
      <c r="A32" s="1" t="s">
        <v>22</v>
      </c>
      <c r="B32" s="11"/>
      <c r="C32" s="11">
        <v>635000</v>
      </c>
      <c r="D32" s="11">
        <v>667000</v>
      </c>
      <c r="E32" s="11">
        <v>0</v>
      </c>
      <c r="F32" s="11">
        <f t="shared" si="0"/>
        <v>32000</v>
      </c>
      <c r="G32" s="17">
        <f t="shared" si="16"/>
        <v>40.090000000000003</v>
      </c>
      <c r="H32" s="17">
        <f t="shared" si="17"/>
        <v>21.8</v>
      </c>
      <c r="I32" s="17">
        <f t="shared" si="18"/>
        <v>25.299999999999997</v>
      </c>
      <c r="J32" s="18">
        <f t="shared" si="19"/>
        <v>5.9</v>
      </c>
      <c r="K32" s="18">
        <f t="shared" si="20"/>
        <v>0</v>
      </c>
      <c r="L32" s="18">
        <f t="shared" si="1"/>
        <v>93.09</v>
      </c>
      <c r="M32" s="18">
        <f t="shared" si="21"/>
        <v>0</v>
      </c>
      <c r="N32" s="18">
        <f t="shared" si="2"/>
        <v>93.09</v>
      </c>
      <c r="O32" s="8"/>
      <c r="P32" s="137" t="e">
        <f>[1]!Table2[[#This Row],[Usage]]-30000</f>
        <v>#REF!</v>
      </c>
      <c r="Q32" s="1">
        <f t="shared" si="3"/>
        <v>32000</v>
      </c>
      <c r="R32" s="1" t="e">
        <f>IF([1]!Table2[[#This Row],[Usage above 30000]]&gt;0,[1]!Table2[[#This Row],[Usage above 30000]],0)</f>
        <v>#REF!</v>
      </c>
      <c r="S32" s="138" t="e">
        <f t="shared" si="4"/>
        <v>#REF!</v>
      </c>
      <c r="T32" s="138" t="e">
        <f t="shared" si="12"/>
        <v>#REF!</v>
      </c>
      <c r="U32" s="138" t="e">
        <f t="shared" si="13"/>
        <v>#REF!</v>
      </c>
      <c r="V32" s="138" t="e">
        <f t="shared" si="14"/>
        <v>#REF!</v>
      </c>
      <c r="W32" s="138" t="e">
        <f t="shared" si="15"/>
        <v>#REF!</v>
      </c>
      <c r="X32" s="5" t="e">
        <f t="shared" si="5"/>
        <v>#REF!</v>
      </c>
      <c r="Y32" s="5" t="e">
        <f t="shared" si="6"/>
        <v>#REF!</v>
      </c>
      <c r="Z32" s="5" t="e">
        <f t="shared" si="7"/>
        <v>#REF!</v>
      </c>
      <c r="AA32" s="5" t="e">
        <f t="shared" si="8"/>
        <v>#REF!</v>
      </c>
      <c r="AB32" s="6" t="e">
        <f t="shared" si="9"/>
        <v>#REF!</v>
      </c>
      <c r="AC32" s="142" t="e">
        <f t="shared" si="10"/>
        <v>#REF!</v>
      </c>
      <c r="AD32" s="143" t="e">
        <f>[1]!Table2[[#This Row],[Base Rate ]]</f>
        <v>#REF!</v>
      </c>
      <c r="AE32" s="144" t="e">
        <f t="shared" si="11"/>
        <v>#REF!</v>
      </c>
      <c r="AG32" s="6" t="e">
        <f>[1]!Table2[[#This Row],[Total Due]]-AE32</f>
        <v>#REF!</v>
      </c>
    </row>
    <row r="33" spans="1:33">
      <c r="A33" s="1" t="s">
        <v>23</v>
      </c>
      <c r="B33" s="11" t="s">
        <v>138</v>
      </c>
      <c r="C33" s="11">
        <v>0</v>
      </c>
      <c r="D33" s="11">
        <v>0</v>
      </c>
      <c r="E33" s="11">
        <v>0</v>
      </c>
      <c r="F33" s="11">
        <f t="shared" si="0"/>
        <v>0</v>
      </c>
      <c r="G33" s="17">
        <f t="shared" si="16"/>
        <v>11.79</v>
      </c>
      <c r="H33" s="17">
        <f t="shared" si="17"/>
        <v>0</v>
      </c>
      <c r="I33" s="17">
        <f t="shared" si="18"/>
        <v>0</v>
      </c>
      <c r="J33" s="18">
        <f t="shared" si="19"/>
        <v>0</v>
      </c>
      <c r="K33" s="18">
        <f t="shared" si="20"/>
        <v>0</v>
      </c>
      <c r="L33" s="18">
        <f t="shared" si="1"/>
        <v>11.79</v>
      </c>
      <c r="M33" s="18">
        <f t="shared" si="21"/>
        <v>0</v>
      </c>
      <c r="N33" s="18">
        <f t="shared" si="2"/>
        <v>11.79</v>
      </c>
      <c r="O33" s="8"/>
      <c r="P33" s="137" t="e">
        <f>[1]!Table2[[#This Row],[Usage]]-30000</f>
        <v>#REF!</v>
      </c>
      <c r="Q33" s="1">
        <f t="shared" si="3"/>
        <v>0</v>
      </c>
      <c r="R33" s="1" t="e">
        <f>IF([1]!Table2[[#This Row],[Usage above 30000]]&gt;0,[1]!Table2[[#This Row],[Usage above 30000]],0)</f>
        <v>#REF!</v>
      </c>
      <c r="S33" s="138" t="e">
        <f t="shared" si="4"/>
        <v>#REF!</v>
      </c>
      <c r="T33" s="138" t="e">
        <f t="shared" si="12"/>
        <v>#REF!</v>
      </c>
      <c r="U33" s="138" t="e">
        <f t="shared" si="13"/>
        <v>#REF!</v>
      </c>
      <c r="V33" s="138" t="e">
        <f t="shared" si="14"/>
        <v>#REF!</v>
      </c>
      <c r="W33" s="138" t="e">
        <f t="shared" si="15"/>
        <v>#REF!</v>
      </c>
      <c r="X33" s="5" t="e">
        <f t="shared" si="5"/>
        <v>#REF!</v>
      </c>
      <c r="Y33" s="5" t="e">
        <f t="shared" si="6"/>
        <v>#REF!</v>
      </c>
      <c r="Z33" s="5" t="e">
        <f t="shared" si="7"/>
        <v>#REF!</v>
      </c>
      <c r="AA33" s="5" t="e">
        <f t="shared" si="8"/>
        <v>#REF!</v>
      </c>
      <c r="AB33" s="6" t="e">
        <f t="shared" si="9"/>
        <v>#REF!</v>
      </c>
      <c r="AC33" s="142" t="e">
        <f t="shared" si="10"/>
        <v>#REF!</v>
      </c>
      <c r="AD33" s="143" t="e">
        <f>[1]!Table2[[#This Row],[Base Rate ]]</f>
        <v>#REF!</v>
      </c>
      <c r="AE33" s="144" t="e">
        <f t="shared" si="11"/>
        <v>#REF!</v>
      </c>
      <c r="AG33" s="6" t="e">
        <f>[1]!Table2[[#This Row],[Total Due]]-AE33</f>
        <v>#REF!</v>
      </c>
    </row>
    <row r="34" spans="1:33">
      <c r="A34" s="1" t="s">
        <v>24</v>
      </c>
      <c r="B34" s="11" t="s">
        <v>138</v>
      </c>
      <c r="C34" s="11">
        <v>0</v>
      </c>
      <c r="D34" s="11">
        <v>0</v>
      </c>
      <c r="E34" s="11">
        <v>0</v>
      </c>
      <c r="F34" s="11">
        <f t="shared" si="0"/>
        <v>0</v>
      </c>
      <c r="G34" s="17">
        <f t="shared" si="16"/>
        <v>11.79</v>
      </c>
      <c r="H34" s="17">
        <f t="shared" si="17"/>
        <v>0</v>
      </c>
      <c r="I34" s="17">
        <f t="shared" si="18"/>
        <v>0</v>
      </c>
      <c r="J34" s="18">
        <f t="shared" si="19"/>
        <v>0</v>
      </c>
      <c r="K34" s="18">
        <f t="shared" si="20"/>
        <v>0</v>
      </c>
      <c r="L34" s="18">
        <f t="shared" si="1"/>
        <v>11.79</v>
      </c>
      <c r="M34" s="18">
        <f t="shared" si="21"/>
        <v>0</v>
      </c>
      <c r="N34" s="18">
        <f t="shared" si="2"/>
        <v>11.79</v>
      </c>
      <c r="O34" s="8"/>
      <c r="P34" s="137" t="e">
        <f>[1]!Table2[[#This Row],[Usage]]-30000</f>
        <v>#REF!</v>
      </c>
      <c r="Q34" s="1">
        <f t="shared" si="3"/>
        <v>0</v>
      </c>
      <c r="R34" s="1" t="e">
        <f>IF([1]!Table2[[#This Row],[Usage above 30000]]&gt;0,[1]!Table2[[#This Row],[Usage above 30000]],0)</f>
        <v>#REF!</v>
      </c>
      <c r="S34" s="138" t="e">
        <f t="shared" si="4"/>
        <v>#REF!</v>
      </c>
      <c r="T34" s="138" t="e">
        <f t="shared" si="12"/>
        <v>#REF!</v>
      </c>
      <c r="U34" s="138" t="e">
        <f t="shared" si="13"/>
        <v>#REF!</v>
      </c>
      <c r="V34" s="138" t="e">
        <f t="shared" si="14"/>
        <v>#REF!</v>
      </c>
      <c r="W34" s="138" t="e">
        <f t="shared" si="15"/>
        <v>#REF!</v>
      </c>
      <c r="X34" s="5" t="e">
        <f t="shared" si="5"/>
        <v>#REF!</v>
      </c>
      <c r="Y34" s="5" t="e">
        <f t="shared" si="6"/>
        <v>#REF!</v>
      </c>
      <c r="Z34" s="5" t="e">
        <f t="shared" si="7"/>
        <v>#REF!</v>
      </c>
      <c r="AA34" s="5" t="e">
        <f t="shared" si="8"/>
        <v>#REF!</v>
      </c>
      <c r="AB34" s="6" t="e">
        <f t="shared" si="9"/>
        <v>#REF!</v>
      </c>
      <c r="AC34" s="142" t="e">
        <f t="shared" si="10"/>
        <v>#REF!</v>
      </c>
      <c r="AD34" s="143" t="e">
        <f>[1]!Table2[[#This Row],[Base Rate ]]</f>
        <v>#REF!</v>
      </c>
      <c r="AE34" s="144" t="e">
        <f t="shared" si="11"/>
        <v>#REF!</v>
      </c>
      <c r="AG34" s="6" t="e">
        <f>[1]!Table2[[#This Row],[Total Due]]-AE34</f>
        <v>#REF!</v>
      </c>
    </row>
    <row r="35" spans="1:33">
      <c r="A35" s="1" t="s">
        <v>25</v>
      </c>
      <c r="B35" s="11"/>
      <c r="C35" s="11">
        <v>2401000</v>
      </c>
      <c r="D35" s="11">
        <v>2444000</v>
      </c>
      <c r="E35" s="11">
        <v>0</v>
      </c>
      <c r="F35" s="11">
        <f t="shared" si="0"/>
        <v>43000</v>
      </c>
      <c r="G35" s="17">
        <f t="shared" si="16"/>
        <v>40.090000000000003</v>
      </c>
      <c r="H35" s="17">
        <f t="shared" si="17"/>
        <v>21.8</v>
      </c>
      <c r="I35" s="17">
        <f t="shared" si="18"/>
        <v>25.299999999999997</v>
      </c>
      <c r="J35" s="18">
        <f t="shared" si="19"/>
        <v>29.5</v>
      </c>
      <c r="K35" s="18">
        <f t="shared" si="20"/>
        <v>10.26</v>
      </c>
      <c r="L35" s="18">
        <f t="shared" si="1"/>
        <v>126.95</v>
      </c>
      <c r="M35" s="18">
        <f t="shared" si="21"/>
        <v>0</v>
      </c>
      <c r="N35" s="18">
        <f t="shared" si="2"/>
        <v>126.95</v>
      </c>
      <c r="O35" s="8"/>
      <c r="P35" s="137" t="e">
        <f>[1]!Table2[[#This Row],[Usage]]-30000</f>
        <v>#REF!</v>
      </c>
      <c r="Q35" s="1">
        <f t="shared" si="3"/>
        <v>43000</v>
      </c>
      <c r="R35" s="1" t="e">
        <f>IF([1]!Table2[[#This Row],[Usage above 30000]]&gt;0,[1]!Table2[[#This Row],[Usage above 30000]],0)</f>
        <v>#REF!</v>
      </c>
      <c r="S35" s="138" t="e">
        <f t="shared" si="4"/>
        <v>#REF!</v>
      </c>
      <c r="T35" s="138" t="e">
        <f t="shared" si="12"/>
        <v>#REF!</v>
      </c>
      <c r="U35" s="138" t="e">
        <f t="shared" si="13"/>
        <v>#REF!</v>
      </c>
      <c r="V35" s="138" t="e">
        <f t="shared" si="14"/>
        <v>#REF!</v>
      </c>
      <c r="W35" s="138" t="e">
        <f t="shared" si="15"/>
        <v>#REF!</v>
      </c>
      <c r="X35" s="5" t="e">
        <f t="shared" si="5"/>
        <v>#REF!</v>
      </c>
      <c r="Y35" s="5" t="e">
        <f t="shared" si="6"/>
        <v>#REF!</v>
      </c>
      <c r="Z35" s="5" t="e">
        <f t="shared" si="7"/>
        <v>#REF!</v>
      </c>
      <c r="AA35" s="5" t="e">
        <f t="shared" si="8"/>
        <v>#REF!</v>
      </c>
      <c r="AB35" s="6" t="e">
        <f t="shared" si="9"/>
        <v>#REF!</v>
      </c>
      <c r="AC35" s="142" t="e">
        <f t="shared" si="10"/>
        <v>#REF!</v>
      </c>
      <c r="AD35" s="143" t="e">
        <f>[1]!Table2[[#This Row],[Base Rate ]]</f>
        <v>#REF!</v>
      </c>
      <c r="AE35" s="144" t="e">
        <f t="shared" si="11"/>
        <v>#REF!</v>
      </c>
      <c r="AG35" s="6" t="e">
        <f>[1]!Table2[[#This Row],[Total Due]]-AE35</f>
        <v>#REF!</v>
      </c>
    </row>
    <row r="36" spans="1:33">
      <c r="A36" s="1" t="s">
        <v>26</v>
      </c>
      <c r="B36" s="11"/>
      <c r="C36" s="11">
        <v>371000</v>
      </c>
      <c r="D36" s="11">
        <v>391000</v>
      </c>
      <c r="E36" s="11">
        <v>0</v>
      </c>
      <c r="F36" s="11">
        <f t="shared" si="0"/>
        <v>20000</v>
      </c>
      <c r="G36" s="17">
        <f t="shared" si="16"/>
        <v>40.090000000000003</v>
      </c>
      <c r="H36" s="17">
        <f t="shared" si="17"/>
        <v>21.8</v>
      </c>
      <c r="I36" s="17">
        <f t="shared" si="18"/>
        <v>0</v>
      </c>
      <c r="J36" s="18">
        <f t="shared" si="19"/>
        <v>0</v>
      </c>
      <c r="K36" s="18">
        <f t="shared" si="20"/>
        <v>0</v>
      </c>
      <c r="L36" s="18">
        <f t="shared" si="1"/>
        <v>61.89</v>
      </c>
      <c r="M36" s="18">
        <f t="shared" si="21"/>
        <v>0</v>
      </c>
      <c r="N36" s="18">
        <f t="shared" si="2"/>
        <v>61.89</v>
      </c>
      <c r="O36" s="8"/>
      <c r="P36" s="137" t="e">
        <f>[1]!Table2[[#This Row],[Usage]]-30000</f>
        <v>#REF!</v>
      </c>
      <c r="Q36" s="1">
        <f t="shared" si="3"/>
        <v>20000</v>
      </c>
      <c r="R36" s="1" t="e">
        <f>IF([1]!Table2[[#This Row],[Usage above 30000]]&gt;0,[1]!Table2[[#This Row],[Usage above 30000]],0)</f>
        <v>#REF!</v>
      </c>
      <c r="S36" s="138" t="e">
        <f t="shared" si="4"/>
        <v>#REF!</v>
      </c>
      <c r="T36" s="138" t="e">
        <f t="shared" si="12"/>
        <v>#REF!</v>
      </c>
      <c r="U36" s="138" t="e">
        <f t="shared" si="13"/>
        <v>#REF!</v>
      </c>
      <c r="V36" s="138" t="e">
        <f t="shared" si="14"/>
        <v>#REF!</v>
      </c>
      <c r="W36" s="138" t="e">
        <f t="shared" si="15"/>
        <v>#REF!</v>
      </c>
      <c r="X36" s="5" t="e">
        <f t="shared" si="5"/>
        <v>#REF!</v>
      </c>
      <c r="Y36" s="5" t="e">
        <f t="shared" si="6"/>
        <v>#REF!</v>
      </c>
      <c r="Z36" s="5" t="e">
        <f t="shared" si="7"/>
        <v>#REF!</v>
      </c>
      <c r="AA36" s="5" t="e">
        <f t="shared" si="8"/>
        <v>#REF!</v>
      </c>
      <c r="AB36" s="6" t="e">
        <f t="shared" si="9"/>
        <v>#REF!</v>
      </c>
      <c r="AC36" s="142" t="e">
        <f t="shared" si="10"/>
        <v>#REF!</v>
      </c>
      <c r="AD36" s="143" t="e">
        <f>[1]!Table2[[#This Row],[Base Rate ]]</f>
        <v>#REF!</v>
      </c>
      <c r="AE36" s="144" t="e">
        <f t="shared" si="11"/>
        <v>#REF!</v>
      </c>
      <c r="AG36" s="6" t="e">
        <f>[1]!Table2[[#This Row],[Total Due]]-AE36</f>
        <v>#REF!</v>
      </c>
    </row>
    <row r="37" spans="1:33">
      <c r="A37" s="1" t="s">
        <v>27</v>
      </c>
      <c r="B37" s="11"/>
      <c r="C37" s="11">
        <v>2135000</v>
      </c>
      <c r="D37" s="11">
        <v>2148000</v>
      </c>
      <c r="E37" s="11">
        <v>0</v>
      </c>
      <c r="F37" s="11">
        <f t="shared" si="0"/>
        <v>13000</v>
      </c>
      <c r="G37" s="17">
        <f t="shared" si="16"/>
        <v>40.090000000000003</v>
      </c>
      <c r="H37" s="17">
        <f t="shared" si="17"/>
        <v>6.5400000000000009</v>
      </c>
      <c r="I37" s="17">
        <f t="shared" si="18"/>
        <v>0</v>
      </c>
      <c r="J37" s="18">
        <f t="shared" si="19"/>
        <v>0</v>
      </c>
      <c r="K37" s="18">
        <f t="shared" si="20"/>
        <v>0</v>
      </c>
      <c r="L37" s="18">
        <f t="shared" si="1"/>
        <v>46.63</v>
      </c>
      <c r="M37" s="18">
        <f t="shared" si="21"/>
        <v>0</v>
      </c>
      <c r="N37" s="18">
        <f t="shared" si="2"/>
        <v>46.63</v>
      </c>
      <c r="O37" s="8"/>
      <c r="P37" s="137" t="e">
        <f>[1]!Table2[[#This Row],[Usage]]-30000</f>
        <v>#REF!</v>
      </c>
      <c r="Q37" s="1">
        <f t="shared" si="3"/>
        <v>13000</v>
      </c>
      <c r="R37" s="1" t="e">
        <f>IF([1]!Table2[[#This Row],[Usage above 30000]]&gt;0,[1]!Table2[[#This Row],[Usage above 30000]],0)</f>
        <v>#REF!</v>
      </c>
      <c r="S37" s="138" t="e">
        <f t="shared" si="4"/>
        <v>#REF!</v>
      </c>
      <c r="T37" s="138" t="e">
        <f t="shared" si="12"/>
        <v>#REF!</v>
      </c>
      <c r="U37" s="138" t="e">
        <f t="shared" si="13"/>
        <v>#REF!</v>
      </c>
      <c r="V37" s="138" t="e">
        <f t="shared" si="14"/>
        <v>#REF!</v>
      </c>
      <c r="W37" s="138" t="e">
        <f t="shared" si="15"/>
        <v>#REF!</v>
      </c>
      <c r="X37" s="5" t="e">
        <f t="shared" si="5"/>
        <v>#REF!</v>
      </c>
      <c r="Y37" s="5" t="e">
        <f t="shared" si="6"/>
        <v>#REF!</v>
      </c>
      <c r="Z37" s="5" t="e">
        <f t="shared" si="7"/>
        <v>#REF!</v>
      </c>
      <c r="AA37" s="5" t="e">
        <f t="shared" si="8"/>
        <v>#REF!</v>
      </c>
      <c r="AB37" s="6" t="e">
        <f t="shared" si="9"/>
        <v>#REF!</v>
      </c>
      <c r="AC37" s="142" t="e">
        <f t="shared" si="10"/>
        <v>#REF!</v>
      </c>
      <c r="AD37" s="143" t="e">
        <f>[1]!Table2[[#This Row],[Base Rate ]]</f>
        <v>#REF!</v>
      </c>
      <c r="AE37" s="144" t="e">
        <f t="shared" si="11"/>
        <v>#REF!</v>
      </c>
      <c r="AG37" s="6" t="e">
        <f>[1]!Table2[[#This Row],[Total Due]]-AE37</f>
        <v>#REF!</v>
      </c>
    </row>
    <row r="38" spans="1:33">
      <c r="A38" s="1" t="s">
        <v>28</v>
      </c>
      <c r="B38" s="11"/>
      <c r="C38" s="11">
        <v>1354000</v>
      </c>
      <c r="D38" s="11">
        <v>1376000</v>
      </c>
      <c r="E38" s="11">
        <v>0</v>
      </c>
      <c r="F38" s="11">
        <f t="shared" si="0"/>
        <v>22000</v>
      </c>
      <c r="G38" s="17">
        <f t="shared" si="16"/>
        <v>40.090000000000003</v>
      </c>
      <c r="H38" s="17">
        <f t="shared" si="17"/>
        <v>21.8</v>
      </c>
      <c r="I38" s="17">
        <f t="shared" si="18"/>
        <v>5.0599999999999996</v>
      </c>
      <c r="J38" s="18">
        <f t="shared" si="19"/>
        <v>0</v>
      </c>
      <c r="K38" s="18">
        <f t="shared" si="20"/>
        <v>0</v>
      </c>
      <c r="L38" s="18">
        <f t="shared" si="1"/>
        <v>66.95</v>
      </c>
      <c r="M38" s="18">
        <f t="shared" si="21"/>
        <v>0</v>
      </c>
      <c r="N38" s="18">
        <f t="shared" si="2"/>
        <v>66.95</v>
      </c>
      <c r="O38" s="8"/>
      <c r="P38" s="137" t="e">
        <f>[1]!Table2[[#This Row],[Usage]]-30000</f>
        <v>#REF!</v>
      </c>
      <c r="Q38" s="1">
        <f t="shared" si="3"/>
        <v>22000</v>
      </c>
      <c r="R38" s="1" t="e">
        <f>IF([1]!Table2[[#This Row],[Usage above 30000]]&gt;0,[1]!Table2[[#This Row],[Usage above 30000]],0)</f>
        <v>#REF!</v>
      </c>
      <c r="S38" s="138" t="e">
        <f t="shared" si="4"/>
        <v>#REF!</v>
      </c>
      <c r="T38" s="138" t="e">
        <f t="shared" si="12"/>
        <v>#REF!</v>
      </c>
      <c r="U38" s="138" t="e">
        <f t="shared" si="13"/>
        <v>#REF!</v>
      </c>
      <c r="V38" s="138" t="e">
        <f t="shared" si="14"/>
        <v>#REF!</v>
      </c>
      <c r="W38" s="138" t="e">
        <f t="shared" si="15"/>
        <v>#REF!</v>
      </c>
      <c r="X38" s="5" t="e">
        <f t="shared" si="5"/>
        <v>#REF!</v>
      </c>
      <c r="Y38" s="5" t="e">
        <f t="shared" si="6"/>
        <v>#REF!</v>
      </c>
      <c r="Z38" s="5" t="e">
        <f t="shared" si="7"/>
        <v>#REF!</v>
      </c>
      <c r="AA38" s="5" t="e">
        <f t="shared" si="8"/>
        <v>#REF!</v>
      </c>
      <c r="AB38" s="6" t="e">
        <f t="shared" si="9"/>
        <v>#REF!</v>
      </c>
      <c r="AC38" s="142" t="e">
        <f t="shared" si="10"/>
        <v>#REF!</v>
      </c>
      <c r="AD38" s="143" t="e">
        <f>[1]!Table2[[#This Row],[Base Rate ]]</f>
        <v>#REF!</v>
      </c>
      <c r="AE38" s="144" t="e">
        <f t="shared" si="11"/>
        <v>#REF!</v>
      </c>
      <c r="AG38" s="6" t="e">
        <f>[1]!Table2[[#This Row],[Total Due]]-AE38</f>
        <v>#REF!</v>
      </c>
    </row>
    <row r="39" spans="1:33">
      <c r="A39" s="1" t="s">
        <v>29</v>
      </c>
      <c r="B39" s="11" t="s">
        <v>138</v>
      </c>
      <c r="C39" s="11">
        <v>0</v>
      </c>
      <c r="D39" s="11">
        <v>0</v>
      </c>
      <c r="E39" s="11">
        <v>0</v>
      </c>
      <c r="F39" s="11">
        <f t="shared" si="0"/>
        <v>0</v>
      </c>
      <c r="G39" s="17">
        <f t="shared" si="16"/>
        <v>11.79</v>
      </c>
      <c r="H39" s="17">
        <f t="shared" si="17"/>
        <v>0</v>
      </c>
      <c r="I39" s="17">
        <f t="shared" si="18"/>
        <v>0</v>
      </c>
      <c r="J39" s="18">
        <f t="shared" si="19"/>
        <v>0</v>
      </c>
      <c r="K39" s="18">
        <f t="shared" si="20"/>
        <v>0</v>
      </c>
      <c r="L39" s="18">
        <f t="shared" si="1"/>
        <v>11.79</v>
      </c>
      <c r="M39" s="18">
        <f t="shared" si="21"/>
        <v>0</v>
      </c>
      <c r="N39" s="18">
        <f t="shared" si="2"/>
        <v>11.79</v>
      </c>
      <c r="O39" s="8"/>
      <c r="P39" s="137" t="e">
        <f>[1]!Table2[[#This Row],[Usage]]-30000</f>
        <v>#REF!</v>
      </c>
      <c r="Q39" s="1">
        <f t="shared" si="3"/>
        <v>0</v>
      </c>
      <c r="R39" s="1" t="e">
        <f>IF([1]!Table2[[#This Row],[Usage above 30000]]&gt;0,[1]!Table2[[#This Row],[Usage above 30000]],0)</f>
        <v>#REF!</v>
      </c>
      <c r="S39" s="138" t="e">
        <f t="shared" si="4"/>
        <v>#REF!</v>
      </c>
      <c r="T39" s="138" t="e">
        <f t="shared" si="12"/>
        <v>#REF!</v>
      </c>
      <c r="U39" s="138" t="e">
        <f t="shared" si="13"/>
        <v>#REF!</v>
      </c>
      <c r="V39" s="138" t="e">
        <f t="shared" si="14"/>
        <v>#REF!</v>
      </c>
      <c r="W39" s="138" t="e">
        <f t="shared" si="15"/>
        <v>#REF!</v>
      </c>
      <c r="X39" s="5" t="e">
        <f t="shared" si="5"/>
        <v>#REF!</v>
      </c>
      <c r="Y39" s="5" t="e">
        <f t="shared" si="6"/>
        <v>#REF!</v>
      </c>
      <c r="Z39" s="5" t="e">
        <f t="shared" si="7"/>
        <v>#REF!</v>
      </c>
      <c r="AA39" s="5" t="e">
        <f t="shared" si="8"/>
        <v>#REF!</v>
      </c>
      <c r="AB39" s="6" t="e">
        <f t="shared" si="9"/>
        <v>#REF!</v>
      </c>
      <c r="AC39" s="142" t="e">
        <f t="shared" si="10"/>
        <v>#REF!</v>
      </c>
      <c r="AD39" s="143" t="e">
        <f>[1]!Table2[[#This Row],[Base Rate ]]</f>
        <v>#REF!</v>
      </c>
      <c r="AE39" s="144" t="e">
        <f t="shared" si="11"/>
        <v>#REF!</v>
      </c>
      <c r="AG39" s="6" t="e">
        <f>[1]!Table2[[#This Row],[Total Due]]-AE39</f>
        <v>#REF!</v>
      </c>
    </row>
    <row r="40" spans="1:33">
      <c r="A40" s="1" t="s">
        <v>30</v>
      </c>
      <c r="B40" s="11" t="s">
        <v>138</v>
      </c>
      <c r="C40" s="11">
        <v>0</v>
      </c>
      <c r="D40" s="11">
        <v>0</v>
      </c>
      <c r="E40" s="11">
        <v>0</v>
      </c>
      <c r="F40" s="11">
        <f t="shared" si="0"/>
        <v>0</v>
      </c>
      <c r="G40" s="17">
        <f t="shared" si="16"/>
        <v>11.79</v>
      </c>
      <c r="H40" s="17">
        <f t="shared" si="17"/>
        <v>0</v>
      </c>
      <c r="I40" s="17">
        <f t="shared" si="18"/>
        <v>0</v>
      </c>
      <c r="J40" s="18">
        <f t="shared" si="19"/>
        <v>0</v>
      </c>
      <c r="K40" s="18">
        <f t="shared" si="20"/>
        <v>0</v>
      </c>
      <c r="L40" s="18">
        <f t="shared" si="1"/>
        <v>11.79</v>
      </c>
      <c r="M40" s="18">
        <f t="shared" si="21"/>
        <v>0</v>
      </c>
      <c r="N40" s="18">
        <f t="shared" si="2"/>
        <v>11.79</v>
      </c>
      <c r="O40" s="8"/>
      <c r="P40" s="137" t="e">
        <f>[1]!Table2[[#This Row],[Usage]]-30000</f>
        <v>#REF!</v>
      </c>
      <c r="Q40" s="1">
        <f t="shared" si="3"/>
        <v>0</v>
      </c>
      <c r="R40" s="1" t="e">
        <f>IF([1]!Table2[[#This Row],[Usage above 30000]]&gt;0,[1]!Table2[[#This Row],[Usage above 30000]],0)</f>
        <v>#REF!</v>
      </c>
      <c r="S40" s="138" t="e">
        <f t="shared" si="4"/>
        <v>#REF!</v>
      </c>
      <c r="T40" s="138" t="e">
        <f t="shared" si="12"/>
        <v>#REF!</v>
      </c>
      <c r="U40" s="138" t="e">
        <f t="shared" si="13"/>
        <v>#REF!</v>
      </c>
      <c r="V40" s="138" t="e">
        <f t="shared" si="14"/>
        <v>#REF!</v>
      </c>
      <c r="W40" s="138" t="e">
        <f t="shared" si="15"/>
        <v>#REF!</v>
      </c>
      <c r="X40" s="5" t="e">
        <f t="shared" si="5"/>
        <v>#REF!</v>
      </c>
      <c r="Y40" s="5" t="e">
        <f t="shared" si="6"/>
        <v>#REF!</v>
      </c>
      <c r="Z40" s="5" t="e">
        <f t="shared" si="7"/>
        <v>#REF!</v>
      </c>
      <c r="AA40" s="5" t="e">
        <f t="shared" si="8"/>
        <v>#REF!</v>
      </c>
      <c r="AB40" s="6" t="e">
        <f t="shared" si="9"/>
        <v>#REF!</v>
      </c>
      <c r="AC40" s="142" t="e">
        <f t="shared" si="10"/>
        <v>#REF!</v>
      </c>
      <c r="AD40" s="143" t="e">
        <f>[1]!Table2[[#This Row],[Base Rate ]]</f>
        <v>#REF!</v>
      </c>
      <c r="AE40" s="144" t="e">
        <f t="shared" si="11"/>
        <v>#REF!</v>
      </c>
      <c r="AG40" s="6" t="e">
        <f>[1]!Table2[[#This Row],[Total Due]]-AE40</f>
        <v>#REF!</v>
      </c>
    </row>
    <row r="41" spans="1:33">
      <c r="A41" s="1" t="s">
        <v>31</v>
      </c>
      <c r="B41" s="11"/>
      <c r="C41" s="11">
        <v>519000</v>
      </c>
      <c r="D41" s="11">
        <v>529000</v>
      </c>
      <c r="E41" s="11">
        <v>0</v>
      </c>
      <c r="F41" s="11">
        <f t="shared" si="0"/>
        <v>10000</v>
      </c>
      <c r="G41" s="17">
        <f t="shared" si="16"/>
        <v>40.090000000000003</v>
      </c>
      <c r="H41" s="17">
        <f t="shared" si="17"/>
        <v>0</v>
      </c>
      <c r="I41" s="17">
        <f t="shared" si="18"/>
        <v>0</v>
      </c>
      <c r="J41" s="18">
        <f t="shared" si="19"/>
        <v>0</v>
      </c>
      <c r="K41" s="18">
        <f t="shared" si="20"/>
        <v>0</v>
      </c>
      <c r="L41" s="18">
        <f t="shared" si="1"/>
        <v>40.090000000000003</v>
      </c>
      <c r="M41" s="18">
        <f t="shared" si="21"/>
        <v>0</v>
      </c>
      <c r="N41" s="18">
        <f t="shared" si="2"/>
        <v>40.090000000000003</v>
      </c>
      <c r="O41" s="8"/>
      <c r="P41" s="137" t="e">
        <f>[1]!Table2[[#This Row],[Usage]]-30000</f>
        <v>#REF!</v>
      </c>
      <c r="Q41" s="1">
        <f t="shared" si="3"/>
        <v>10000</v>
      </c>
      <c r="R41" s="1" t="e">
        <f>IF([1]!Table2[[#This Row],[Usage above 30000]]&gt;0,[1]!Table2[[#This Row],[Usage above 30000]],0)</f>
        <v>#REF!</v>
      </c>
      <c r="S41" s="138" t="e">
        <f t="shared" si="4"/>
        <v>#REF!</v>
      </c>
      <c r="T41" s="138" t="e">
        <f t="shared" si="12"/>
        <v>#REF!</v>
      </c>
      <c r="U41" s="138" t="e">
        <f t="shared" si="13"/>
        <v>#REF!</v>
      </c>
      <c r="V41" s="138" t="e">
        <f t="shared" si="14"/>
        <v>#REF!</v>
      </c>
      <c r="W41" s="138" t="e">
        <f t="shared" si="15"/>
        <v>#REF!</v>
      </c>
      <c r="X41" s="5" t="e">
        <f t="shared" si="5"/>
        <v>#REF!</v>
      </c>
      <c r="Y41" s="5" t="e">
        <f t="shared" si="6"/>
        <v>#REF!</v>
      </c>
      <c r="Z41" s="5" t="e">
        <f t="shared" si="7"/>
        <v>#REF!</v>
      </c>
      <c r="AA41" s="5" t="e">
        <f t="shared" si="8"/>
        <v>#REF!</v>
      </c>
      <c r="AB41" s="6" t="e">
        <f t="shared" si="9"/>
        <v>#REF!</v>
      </c>
      <c r="AC41" s="142" t="e">
        <f t="shared" si="10"/>
        <v>#REF!</v>
      </c>
      <c r="AD41" s="143" t="e">
        <f>[1]!Table2[[#This Row],[Base Rate ]]</f>
        <v>#REF!</v>
      </c>
      <c r="AE41" s="144" t="e">
        <f t="shared" si="11"/>
        <v>#REF!</v>
      </c>
      <c r="AG41" s="6" t="e">
        <f>[1]!Table2[[#This Row],[Total Due]]-AE41</f>
        <v>#REF!</v>
      </c>
    </row>
    <row r="42" spans="1:33">
      <c r="A42" s="1" t="s">
        <v>32</v>
      </c>
      <c r="B42" s="11"/>
      <c r="C42" s="11">
        <v>3880000</v>
      </c>
      <c r="D42" s="11">
        <v>3890000</v>
      </c>
      <c r="E42" s="11">
        <v>0</v>
      </c>
      <c r="F42" s="11">
        <f t="shared" si="0"/>
        <v>10000</v>
      </c>
      <c r="G42" s="17">
        <f t="shared" si="16"/>
        <v>40.090000000000003</v>
      </c>
      <c r="H42" s="17">
        <f t="shared" si="17"/>
        <v>0</v>
      </c>
      <c r="I42" s="17">
        <f t="shared" si="18"/>
        <v>0</v>
      </c>
      <c r="J42" s="18">
        <f t="shared" si="19"/>
        <v>0</v>
      </c>
      <c r="K42" s="18">
        <f t="shared" si="20"/>
        <v>0</v>
      </c>
      <c r="L42" s="18">
        <f t="shared" si="1"/>
        <v>40.090000000000003</v>
      </c>
      <c r="M42" s="18">
        <f t="shared" si="21"/>
        <v>0</v>
      </c>
      <c r="N42" s="18">
        <f t="shared" si="2"/>
        <v>40.090000000000003</v>
      </c>
      <c r="O42" s="8"/>
      <c r="P42" s="137" t="e">
        <f>[1]!Table2[[#This Row],[Usage]]-30000</f>
        <v>#REF!</v>
      </c>
      <c r="Q42" s="1">
        <f t="shared" si="3"/>
        <v>10000</v>
      </c>
      <c r="R42" s="1" t="e">
        <f>IF([1]!Table2[[#This Row],[Usage above 30000]]&gt;0,[1]!Table2[[#This Row],[Usage above 30000]],0)</f>
        <v>#REF!</v>
      </c>
      <c r="S42" s="138" t="e">
        <f t="shared" si="4"/>
        <v>#REF!</v>
      </c>
      <c r="T42" s="138" t="e">
        <f t="shared" si="12"/>
        <v>#REF!</v>
      </c>
      <c r="U42" s="138" t="e">
        <f t="shared" si="13"/>
        <v>#REF!</v>
      </c>
      <c r="V42" s="138" t="e">
        <f t="shared" si="14"/>
        <v>#REF!</v>
      </c>
      <c r="W42" s="138" t="e">
        <f t="shared" si="15"/>
        <v>#REF!</v>
      </c>
      <c r="X42" s="5" t="e">
        <f t="shared" si="5"/>
        <v>#REF!</v>
      </c>
      <c r="Y42" s="5" t="e">
        <f t="shared" si="6"/>
        <v>#REF!</v>
      </c>
      <c r="Z42" s="5" t="e">
        <f t="shared" si="7"/>
        <v>#REF!</v>
      </c>
      <c r="AA42" s="5" t="e">
        <f t="shared" si="8"/>
        <v>#REF!</v>
      </c>
      <c r="AB42" s="6" t="e">
        <f t="shared" si="9"/>
        <v>#REF!</v>
      </c>
      <c r="AC42" s="142" t="e">
        <f t="shared" si="10"/>
        <v>#REF!</v>
      </c>
      <c r="AD42" s="143" t="e">
        <f>[1]!Table2[[#This Row],[Base Rate ]]</f>
        <v>#REF!</v>
      </c>
      <c r="AE42" s="144" t="e">
        <f t="shared" si="11"/>
        <v>#REF!</v>
      </c>
      <c r="AG42" s="6" t="e">
        <f>[1]!Table2[[#This Row],[Total Due]]-AE42</f>
        <v>#REF!</v>
      </c>
    </row>
    <row r="43" spans="1:33">
      <c r="A43" s="1" t="s">
        <v>33</v>
      </c>
      <c r="B43" s="11"/>
      <c r="C43" s="11">
        <v>1187000</v>
      </c>
      <c r="D43" s="11">
        <v>1197000</v>
      </c>
      <c r="E43" s="11">
        <v>0</v>
      </c>
      <c r="F43" s="11">
        <f t="shared" si="0"/>
        <v>10000</v>
      </c>
      <c r="G43" s="17">
        <f t="shared" si="16"/>
        <v>40.090000000000003</v>
      </c>
      <c r="H43" s="17">
        <f t="shared" si="17"/>
        <v>0</v>
      </c>
      <c r="I43" s="17">
        <f t="shared" si="18"/>
        <v>0</v>
      </c>
      <c r="J43" s="18">
        <f t="shared" si="19"/>
        <v>0</v>
      </c>
      <c r="K43" s="18">
        <f t="shared" si="20"/>
        <v>0</v>
      </c>
      <c r="L43" s="18">
        <f t="shared" si="1"/>
        <v>40.090000000000003</v>
      </c>
      <c r="M43" s="18">
        <f t="shared" si="21"/>
        <v>0</v>
      </c>
      <c r="N43" s="18">
        <f t="shared" si="2"/>
        <v>40.090000000000003</v>
      </c>
      <c r="O43" s="8"/>
      <c r="P43" s="137" t="e">
        <f>[1]!Table2[[#This Row],[Usage]]-30000</f>
        <v>#REF!</v>
      </c>
      <c r="Q43" s="1">
        <f t="shared" si="3"/>
        <v>10000</v>
      </c>
      <c r="R43" s="1" t="e">
        <f>IF([1]!Table2[[#This Row],[Usage above 30000]]&gt;0,[1]!Table2[[#This Row],[Usage above 30000]],0)</f>
        <v>#REF!</v>
      </c>
      <c r="S43" s="138" t="e">
        <f t="shared" si="4"/>
        <v>#REF!</v>
      </c>
      <c r="T43" s="138" t="e">
        <f t="shared" si="12"/>
        <v>#REF!</v>
      </c>
      <c r="U43" s="138" t="e">
        <f t="shared" si="13"/>
        <v>#REF!</v>
      </c>
      <c r="V43" s="138" t="e">
        <f t="shared" si="14"/>
        <v>#REF!</v>
      </c>
      <c r="W43" s="138" t="e">
        <f t="shared" si="15"/>
        <v>#REF!</v>
      </c>
      <c r="X43" s="5" t="e">
        <f t="shared" si="5"/>
        <v>#REF!</v>
      </c>
      <c r="Y43" s="5" t="e">
        <f t="shared" si="6"/>
        <v>#REF!</v>
      </c>
      <c r="Z43" s="5" t="e">
        <f t="shared" si="7"/>
        <v>#REF!</v>
      </c>
      <c r="AA43" s="5" t="e">
        <f t="shared" si="8"/>
        <v>#REF!</v>
      </c>
      <c r="AB43" s="6" t="e">
        <f t="shared" si="9"/>
        <v>#REF!</v>
      </c>
      <c r="AC43" s="142" t="e">
        <f t="shared" si="10"/>
        <v>#REF!</v>
      </c>
      <c r="AD43" s="143" t="e">
        <f>[1]!Table2[[#This Row],[Base Rate ]]</f>
        <v>#REF!</v>
      </c>
      <c r="AE43" s="144" t="e">
        <f t="shared" si="11"/>
        <v>#REF!</v>
      </c>
      <c r="AG43" s="6" t="e">
        <f>[1]!Table2[[#This Row],[Total Due]]-AE43</f>
        <v>#REF!</v>
      </c>
    </row>
    <row r="44" spans="1:33">
      <c r="A44" s="1" t="s">
        <v>34</v>
      </c>
      <c r="B44" s="11"/>
      <c r="C44" s="11">
        <v>224000</v>
      </c>
      <c r="D44" s="11">
        <v>257000</v>
      </c>
      <c r="E44" s="11">
        <v>0</v>
      </c>
      <c r="F44" s="11">
        <f t="shared" si="0"/>
        <v>33000</v>
      </c>
      <c r="G44" s="17">
        <f t="shared" si="16"/>
        <v>40.090000000000003</v>
      </c>
      <c r="H44" s="17">
        <f t="shared" si="17"/>
        <v>21.8</v>
      </c>
      <c r="I44" s="17">
        <f t="shared" si="18"/>
        <v>25.299999999999997</v>
      </c>
      <c r="J44" s="18">
        <f t="shared" si="19"/>
        <v>8.8500000000000014</v>
      </c>
      <c r="K44" s="18">
        <f t="shared" si="20"/>
        <v>0</v>
      </c>
      <c r="L44" s="18">
        <f t="shared" si="1"/>
        <v>96.039999999999992</v>
      </c>
      <c r="M44" s="18">
        <f t="shared" si="21"/>
        <v>0</v>
      </c>
      <c r="N44" s="18">
        <f t="shared" si="2"/>
        <v>96.039999999999992</v>
      </c>
      <c r="O44" s="8" t="s">
        <v>175</v>
      </c>
      <c r="P44" s="137" t="e">
        <f>[1]!Table2[[#This Row],[Usage]]-30000</f>
        <v>#REF!</v>
      </c>
      <c r="Q44" s="1">
        <f t="shared" si="3"/>
        <v>33000</v>
      </c>
      <c r="R44" s="1" t="e">
        <f>IF([1]!Table2[[#This Row],[Usage above 30000]]&gt;0,[1]!Table2[[#This Row],[Usage above 30000]],0)</f>
        <v>#REF!</v>
      </c>
      <c r="S44" s="138" t="e">
        <f t="shared" si="4"/>
        <v>#REF!</v>
      </c>
      <c r="T44" s="138" t="e">
        <f t="shared" si="12"/>
        <v>#REF!</v>
      </c>
      <c r="U44" s="138" t="e">
        <f t="shared" si="13"/>
        <v>#REF!</v>
      </c>
      <c r="V44" s="138" t="e">
        <f t="shared" si="14"/>
        <v>#REF!</v>
      </c>
      <c r="W44" s="138" t="e">
        <f t="shared" si="15"/>
        <v>#REF!</v>
      </c>
      <c r="X44" s="5" t="e">
        <f t="shared" si="5"/>
        <v>#REF!</v>
      </c>
      <c r="Y44" s="5" t="e">
        <f t="shared" si="6"/>
        <v>#REF!</v>
      </c>
      <c r="Z44" s="5" t="e">
        <f t="shared" si="7"/>
        <v>#REF!</v>
      </c>
      <c r="AA44" s="5" t="e">
        <f t="shared" si="8"/>
        <v>#REF!</v>
      </c>
      <c r="AB44" s="6" t="e">
        <f t="shared" si="9"/>
        <v>#REF!</v>
      </c>
      <c r="AC44" s="142" t="e">
        <f t="shared" si="10"/>
        <v>#REF!</v>
      </c>
      <c r="AD44" s="143" t="e">
        <f>[1]!Table2[[#This Row],[Base Rate ]]</f>
        <v>#REF!</v>
      </c>
      <c r="AE44" s="144" t="e">
        <f t="shared" si="11"/>
        <v>#REF!</v>
      </c>
      <c r="AG44" s="6" t="e">
        <f>[1]!Table2[[#This Row],[Total Due]]-AE44</f>
        <v>#REF!</v>
      </c>
    </row>
    <row r="45" spans="1:33">
      <c r="A45" s="1" t="s">
        <v>35</v>
      </c>
      <c r="B45" s="11"/>
      <c r="C45" s="11">
        <v>1534000</v>
      </c>
      <c r="D45" s="11">
        <v>1592000</v>
      </c>
      <c r="E45" s="11">
        <v>0</v>
      </c>
      <c r="F45" s="11">
        <f t="shared" si="0"/>
        <v>58000</v>
      </c>
      <c r="G45" s="17">
        <f t="shared" si="16"/>
        <v>40.090000000000003</v>
      </c>
      <c r="H45" s="17">
        <f t="shared" si="17"/>
        <v>21.8</v>
      </c>
      <c r="I45" s="17">
        <f t="shared" si="18"/>
        <v>25.299999999999997</v>
      </c>
      <c r="J45" s="18">
        <f t="shared" si="19"/>
        <v>29.5</v>
      </c>
      <c r="K45" s="18">
        <f t="shared" si="20"/>
        <v>61.56</v>
      </c>
      <c r="L45" s="18">
        <f t="shared" si="1"/>
        <v>178.25</v>
      </c>
      <c r="M45" s="18">
        <f t="shared" si="21"/>
        <v>0</v>
      </c>
      <c r="N45" s="18">
        <f t="shared" si="2"/>
        <v>178.25</v>
      </c>
      <c r="O45" s="8"/>
      <c r="P45" s="137" t="e">
        <f>[1]!Table2[[#This Row],[Usage]]-30000</f>
        <v>#REF!</v>
      </c>
      <c r="Q45" s="1">
        <f t="shared" si="3"/>
        <v>58000</v>
      </c>
      <c r="R45" s="1" t="e">
        <f>IF([1]!Table2[[#This Row],[Usage above 30000]]&gt;0,[1]!Table2[[#This Row],[Usage above 30000]],0)</f>
        <v>#REF!</v>
      </c>
      <c r="S45" s="138" t="e">
        <f t="shared" si="4"/>
        <v>#REF!</v>
      </c>
      <c r="T45" s="138" t="e">
        <f t="shared" si="12"/>
        <v>#REF!</v>
      </c>
      <c r="U45" s="138" t="e">
        <f t="shared" si="13"/>
        <v>#REF!</v>
      </c>
      <c r="V45" s="138" t="e">
        <f t="shared" si="14"/>
        <v>#REF!</v>
      </c>
      <c r="W45" s="138" t="e">
        <f t="shared" si="15"/>
        <v>#REF!</v>
      </c>
      <c r="X45" s="5" t="e">
        <f t="shared" si="5"/>
        <v>#REF!</v>
      </c>
      <c r="Y45" s="5" t="e">
        <f t="shared" si="6"/>
        <v>#REF!</v>
      </c>
      <c r="Z45" s="5" t="e">
        <f t="shared" si="7"/>
        <v>#REF!</v>
      </c>
      <c r="AA45" s="5" t="e">
        <f t="shared" si="8"/>
        <v>#REF!</v>
      </c>
      <c r="AB45" s="6" t="e">
        <f t="shared" si="9"/>
        <v>#REF!</v>
      </c>
      <c r="AC45" s="142" t="e">
        <f t="shared" si="10"/>
        <v>#REF!</v>
      </c>
      <c r="AD45" s="143" t="e">
        <f>[1]!Table2[[#This Row],[Base Rate ]]</f>
        <v>#REF!</v>
      </c>
      <c r="AE45" s="144" t="e">
        <f t="shared" si="11"/>
        <v>#REF!</v>
      </c>
      <c r="AG45" s="6" t="e">
        <f>[1]!Table2[[#This Row],[Total Due]]-AE45</f>
        <v>#REF!</v>
      </c>
    </row>
    <row r="46" spans="1:33">
      <c r="A46" s="1" t="s">
        <v>36</v>
      </c>
      <c r="B46" s="11"/>
      <c r="C46" s="11">
        <v>1596000</v>
      </c>
      <c r="D46" s="11">
        <v>1603000</v>
      </c>
      <c r="E46" s="11">
        <v>0</v>
      </c>
      <c r="F46" s="11">
        <f t="shared" si="0"/>
        <v>7000</v>
      </c>
      <c r="G46" s="17">
        <f t="shared" si="16"/>
        <v>40.090000000000003</v>
      </c>
      <c r="H46" s="17">
        <f t="shared" si="17"/>
        <v>0</v>
      </c>
      <c r="I46" s="17">
        <f t="shared" si="18"/>
        <v>0</v>
      </c>
      <c r="J46" s="18">
        <f t="shared" si="19"/>
        <v>0</v>
      </c>
      <c r="K46" s="18">
        <f t="shared" si="20"/>
        <v>0</v>
      </c>
      <c r="L46" s="18">
        <f t="shared" si="1"/>
        <v>40.090000000000003</v>
      </c>
      <c r="M46" s="18">
        <f t="shared" si="21"/>
        <v>0</v>
      </c>
      <c r="N46" s="18">
        <f t="shared" si="2"/>
        <v>40.090000000000003</v>
      </c>
      <c r="O46" s="8"/>
      <c r="P46" s="137" t="e">
        <f>[1]!Table2[[#This Row],[Usage]]-30000</f>
        <v>#REF!</v>
      </c>
      <c r="Q46" s="1">
        <f t="shared" si="3"/>
        <v>7000</v>
      </c>
      <c r="R46" s="1" t="e">
        <f>IF([1]!Table2[[#This Row],[Usage above 30000]]&gt;0,[1]!Table2[[#This Row],[Usage above 30000]],0)</f>
        <v>#REF!</v>
      </c>
      <c r="S46" s="138" t="e">
        <f t="shared" si="4"/>
        <v>#REF!</v>
      </c>
      <c r="T46" s="138" t="e">
        <f t="shared" si="12"/>
        <v>#REF!</v>
      </c>
      <c r="U46" s="138" t="e">
        <f t="shared" si="13"/>
        <v>#REF!</v>
      </c>
      <c r="V46" s="138" t="e">
        <f t="shared" si="14"/>
        <v>#REF!</v>
      </c>
      <c r="W46" s="138" t="e">
        <f t="shared" si="15"/>
        <v>#REF!</v>
      </c>
      <c r="X46" s="5" t="e">
        <f t="shared" si="5"/>
        <v>#REF!</v>
      </c>
      <c r="Y46" s="5" t="e">
        <f t="shared" si="6"/>
        <v>#REF!</v>
      </c>
      <c r="Z46" s="5" t="e">
        <f t="shared" si="7"/>
        <v>#REF!</v>
      </c>
      <c r="AA46" s="5" t="e">
        <f t="shared" si="8"/>
        <v>#REF!</v>
      </c>
      <c r="AB46" s="6" t="e">
        <f t="shared" si="9"/>
        <v>#REF!</v>
      </c>
      <c r="AC46" s="142" t="e">
        <f t="shared" si="10"/>
        <v>#REF!</v>
      </c>
      <c r="AD46" s="143" t="e">
        <f>[1]!Table2[[#This Row],[Base Rate ]]</f>
        <v>#REF!</v>
      </c>
      <c r="AE46" s="144" t="e">
        <f t="shared" si="11"/>
        <v>#REF!</v>
      </c>
      <c r="AG46" s="6" t="e">
        <f>[1]!Table2[[#This Row],[Total Due]]-AE46</f>
        <v>#REF!</v>
      </c>
    </row>
    <row r="47" spans="1:33">
      <c r="A47" s="1" t="s">
        <v>37</v>
      </c>
      <c r="B47" s="11"/>
      <c r="C47" s="11">
        <v>1896000</v>
      </c>
      <c r="D47" s="11">
        <v>1918000</v>
      </c>
      <c r="E47" s="11">
        <v>0</v>
      </c>
      <c r="F47" s="11">
        <f t="shared" si="0"/>
        <v>22000</v>
      </c>
      <c r="G47" s="17">
        <f t="shared" si="16"/>
        <v>40.090000000000003</v>
      </c>
      <c r="H47" s="17">
        <f t="shared" si="17"/>
        <v>21.8</v>
      </c>
      <c r="I47" s="17">
        <f t="shared" si="18"/>
        <v>5.0599999999999996</v>
      </c>
      <c r="J47" s="18">
        <f t="shared" si="19"/>
        <v>0</v>
      </c>
      <c r="K47" s="18">
        <f t="shared" si="20"/>
        <v>0</v>
      </c>
      <c r="L47" s="18">
        <f t="shared" si="1"/>
        <v>66.95</v>
      </c>
      <c r="M47" s="18">
        <f t="shared" si="21"/>
        <v>0</v>
      </c>
      <c r="N47" s="18">
        <f t="shared" si="2"/>
        <v>66.95</v>
      </c>
      <c r="O47" s="8"/>
      <c r="P47" s="137" t="e">
        <f>[1]!Table2[[#This Row],[Usage]]-30000</f>
        <v>#REF!</v>
      </c>
      <c r="Q47" s="1">
        <f t="shared" si="3"/>
        <v>22000</v>
      </c>
      <c r="R47" s="1" t="e">
        <f>IF([1]!Table2[[#This Row],[Usage above 30000]]&gt;0,[1]!Table2[[#This Row],[Usage above 30000]],0)</f>
        <v>#REF!</v>
      </c>
      <c r="S47" s="138" t="e">
        <f t="shared" si="4"/>
        <v>#REF!</v>
      </c>
      <c r="T47" s="138" t="e">
        <f t="shared" si="12"/>
        <v>#REF!</v>
      </c>
      <c r="U47" s="138" t="e">
        <f t="shared" si="13"/>
        <v>#REF!</v>
      </c>
      <c r="V47" s="138" t="e">
        <f t="shared" si="14"/>
        <v>#REF!</v>
      </c>
      <c r="W47" s="138" t="e">
        <f t="shared" si="15"/>
        <v>#REF!</v>
      </c>
      <c r="X47" s="5" t="e">
        <f t="shared" si="5"/>
        <v>#REF!</v>
      </c>
      <c r="Y47" s="5" t="e">
        <f t="shared" si="6"/>
        <v>#REF!</v>
      </c>
      <c r="Z47" s="5" t="e">
        <f t="shared" si="7"/>
        <v>#REF!</v>
      </c>
      <c r="AA47" s="5" t="e">
        <f t="shared" si="8"/>
        <v>#REF!</v>
      </c>
      <c r="AB47" s="6" t="e">
        <f t="shared" si="9"/>
        <v>#REF!</v>
      </c>
      <c r="AC47" s="142" t="e">
        <f t="shared" si="10"/>
        <v>#REF!</v>
      </c>
      <c r="AD47" s="143" t="e">
        <f>[1]!Table2[[#This Row],[Base Rate ]]</f>
        <v>#REF!</v>
      </c>
      <c r="AE47" s="144" t="e">
        <f t="shared" si="11"/>
        <v>#REF!</v>
      </c>
      <c r="AG47" s="6" t="e">
        <f>[1]!Table2[[#This Row],[Total Due]]-AE47</f>
        <v>#REF!</v>
      </c>
    </row>
    <row r="48" spans="1:33">
      <c r="A48" s="1" t="s">
        <v>38</v>
      </c>
      <c r="B48" s="11"/>
      <c r="C48" s="11">
        <v>1703000</v>
      </c>
      <c r="D48" s="11">
        <v>1731000</v>
      </c>
      <c r="E48" s="11">
        <v>0</v>
      </c>
      <c r="F48" s="11">
        <f t="shared" si="0"/>
        <v>28000</v>
      </c>
      <c r="G48" s="17">
        <f t="shared" si="16"/>
        <v>40.090000000000003</v>
      </c>
      <c r="H48" s="17">
        <f t="shared" si="17"/>
        <v>21.8</v>
      </c>
      <c r="I48" s="17">
        <f t="shared" si="18"/>
        <v>20.239999999999998</v>
      </c>
      <c r="J48" s="18">
        <f t="shared" si="19"/>
        <v>0</v>
      </c>
      <c r="K48" s="18">
        <f t="shared" si="20"/>
        <v>0</v>
      </c>
      <c r="L48" s="18">
        <f t="shared" si="1"/>
        <v>82.13</v>
      </c>
      <c r="M48" s="18">
        <f t="shared" si="21"/>
        <v>0</v>
      </c>
      <c r="N48" s="18">
        <f t="shared" si="2"/>
        <v>82.13</v>
      </c>
      <c r="O48" s="8"/>
      <c r="P48" s="137" t="e">
        <f>[1]!Table2[[#This Row],[Usage]]-30000</f>
        <v>#REF!</v>
      </c>
      <c r="Q48" s="1">
        <f t="shared" si="3"/>
        <v>28000</v>
      </c>
      <c r="R48" s="1" t="e">
        <f>IF([1]!Table2[[#This Row],[Usage above 30000]]&gt;0,[1]!Table2[[#This Row],[Usage above 30000]],0)</f>
        <v>#REF!</v>
      </c>
      <c r="S48" s="138" t="e">
        <f t="shared" si="4"/>
        <v>#REF!</v>
      </c>
      <c r="T48" s="138" t="e">
        <f t="shared" si="12"/>
        <v>#REF!</v>
      </c>
      <c r="U48" s="138" t="e">
        <f t="shared" si="13"/>
        <v>#REF!</v>
      </c>
      <c r="V48" s="138" t="e">
        <f t="shared" si="14"/>
        <v>#REF!</v>
      </c>
      <c r="W48" s="138" t="e">
        <f t="shared" si="15"/>
        <v>#REF!</v>
      </c>
      <c r="X48" s="5" t="e">
        <f t="shared" si="5"/>
        <v>#REF!</v>
      </c>
      <c r="Y48" s="5" t="e">
        <f t="shared" si="6"/>
        <v>#REF!</v>
      </c>
      <c r="Z48" s="5" t="e">
        <f t="shared" si="7"/>
        <v>#REF!</v>
      </c>
      <c r="AA48" s="5" t="e">
        <f t="shared" si="8"/>
        <v>#REF!</v>
      </c>
      <c r="AB48" s="6" t="e">
        <f t="shared" si="9"/>
        <v>#REF!</v>
      </c>
      <c r="AC48" s="142" t="e">
        <f t="shared" si="10"/>
        <v>#REF!</v>
      </c>
      <c r="AD48" s="143" t="e">
        <f>[1]!Table2[[#This Row],[Base Rate ]]</f>
        <v>#REF!</v>
      </c>
      <c r="AE48" s="144" t="e">
        <f t="shared" si="11"/>
        <v>#REF!</v>
      </c>
      <c r="AG48" s="6" t="e">
        <f>[1]!Table2[[#This Row],[Total Due]]-AE48</f>
        <v>#REF!</v>
      </c>
    </row>
    <row r="49" spans="1:33">
      <c r="A49" s="1" t="s">
        <v>39</v>
      </c>
      <c r="B49" s="11" t="s">
        <v>138</v>
      </c>
      <c r="C49" s="11">
        <v>0</v>
      </c>
      <c r="D49" s="11">
        <v>0</v>
      </c>
      <c r="E49" s="11">
        <v>0</v>
      </c>
      <c r="F49" s="11">
        <f t="shared" si="0"/>
        <v>0</v>
      </c>
      <c r="G49" s="17">
        <f t="shared" si="16"/>
        <v>11.79</v>
      </c>
      <c r="H49" s="17">
        <f t="shared" si="17"/>
        <v>0</v>
      </c>
      <c r="I49" s="17">
        <f t="shared" si="18"/>
        <v>0</v>
      </c>
      <c r="J49" s="18">
        <f t="shared" si="19"/>
        <v>0</v>
      </c>
      <c r="K49" s="18">
        <f t="shared" si="20"/>
        <v>0</v>
      </c>
      <c r="L49" s="18">
        <f t="shared" si="1"/>
        <v>11.79</v>
      </c>
      <c r="M49" s="18">
        <f t="shared" ref="M49:M80" si="22">IF(   $H$5=1,    IF((F49-$H$6)&gt;0,((F49-$H$6)/$N$7)*$E$8,0),   IF(F49&gt;0,(F49/$N$4)*$E$8,0)    )</f>
        <v>0</v>
      </c>
      <c r="N49" s="18">
        <f t="shared" si="2"/>
        <v>11.79</v>
      </c>
      <c r="O49" s="8"/>
      <c r="P49" s="137" t="e">
        <f>[1]!Table2[[#This Row],[Usage]]-30000</f>
        <v>#REF!</v>
      </c>
      <c r="Q49" s="1">
        <f t="shared" si="3"/>
        <v>0</v>
      </c>
      <c r="R49" s="1" t="e">
        <f>IF([1]!Table2[[#This Row],[Usage above 30000]]&gt;0,[1]!Table2[[#This Row],[Usage above 30000]],0)</f>
        <v>#REF!</v>
      </c>
      <c r="S49" s="138" t="e">
        <f t="shared" si="4"/>
        <v>#REF!</v>
      </c>
      <c r="T49" s="138" t="e">
        <f t="shared" si="12"/>
        <v>#REF!</v>
      </c>
      <c r="U49" s="138" t="e">
        <f t="shared" si="13"/>
        <v>#REF!</v>
      </c>
      <c r="V49" s="138" t="e">
        <f t="shared" si="14"/>
        <v>#REF!</v>
      </c>
      <c r="W49" s="138" t="e">
        <f t="shared" si="15"/>
        <v>#REF!</v>
      </c>
      <c r="X49" s="5" t="e">
        <f t="shared" si="5"/>
        <v>#REF!</v>
      </c>
      <c r="Y49" s="5" t="e">
        <f t="shared" si="6"/>
        <v>#REF!</v>
      </c>
      <c r="Z49" s="5" t="e">
        <f t="shared" si="7"/>
        <v>#REF!</v>
      </c>
      <c r="AA49" s="5" t="e">
        <f t="shared" si="8"/>
        <v>#REF!</v>
      </c>
      <c r="AB49" s="6" t="e">
        <f t="shared" si="9"/>
        <v>#REF!</v>
      </c>
      <c r="AC49" s="142" t="e">
        <f t="shared" si="10"/>
        <v>#REF!</v>
      </c>
      <c r="AD49" s="143" t="e">
        <f>[1]!Table2[[#This Row],[Base Rate ]]</f>
        <v>#REF!</v>
      </c>
      <c r="AE49" s="144" t="e">
        <f t="shared" si="11"/>
        <v>#REF!</v>
      </c>
      <c r="AG49" s="6" t="e">
        <f>[1]!Table2[[#This Row],[Total Due]]-AE49</f>
        <v>#REF!</v>
      </c>
    </row>
    <row r="50" spans="1:33">
      <c r="A50" s="1" t="s">
        <v>40</v>
      </c>
      <c r="B50" s="11" t="s">
        <v>138</v>
      </c>
      <c r="C50" s="11">
        <v>0</v>
      </c>
      <c r="D50" s="11">
        <v>0</v>
      </c>
      <c r="E50" s="11">
        <v>0</v>
      </c>
      <c r="F50" s="11">
        <f t="shared" si="0"/>
        <v>0</v>
      </c>
      <c r="G50" s="17">
        <f t="shared" si="16"/>
        <v>11.79</v>
      </c>
      <c r="H50" s="17">
        <f t="shared" si="17"/>
        <v>0</v>
      </c>
      <c r="I50" s="17">
        <f t="shared" si="18"/>
        <v>0</v>
      </c>
      <c r="J50" s="18">
        <f t="shared" si="19"/>
        <v>0</v>
      </c>
      <c r="K50" s="18">
        <f t="shared" si="20"/>
        <v>0</v>
      </c>
      <c r="L50" s="18">
        <f t="shared" si="1"/>
        <v>11.79</v>
      </c>
      <c r="M50" s="18">
        <f t="shared" si="22"/>
        <v>0</v>
      </c>
      <c r="N50" s="18">
        <f t="shared" si="2"/>
        <v>11.79</v>
      </c>
      <c r="O50" s="8"/>
      <c r="P50" s="137" t="e">
        <f>[1]!Table2[[#This Row],[Usage]]-30000</f>
        <v>#REF!</v>
      </c>
      <c r="Q50" s="1">
        <f t="shared" si="3"/>
        <v>0</v>
      </c>
      <c r="R50" s="1" t="e">
        <f>IF([1]!Table2[[#This Row],[Usage above 30000]]&gt;0,[1]!Table2[[#This Row],[Usage above 30000]],0)</f>
        <v>#REF!</v>
      </c>
      <c r="S50" s="138" t="e">
        <f t="shared" si="4"/>
        <v>#REF!</v>
      </c>
      <c r="T50" s="138" t="e">
        <f t="shared" si="12"/>
        <v>#REF!</v>
      </c>
      <c r="U50" s="138" t="e">
        <f t="shared" si="13"/>
        <v>#REF!</v>
      </c>
      <c r="V50" s="138" t="e">
        <f t="shared" si="14"/>
        <v>#REF!</v>
      </c>
      <c r="W50" s="138" t="e">
        <f t="shared" si="15"/>
        <v>#REF!</v>
      </c>
      <c r="X50" s="5" t="e">
        <f t="shared" si="5"/>
        <v>#REF!</v>
      </c>
      <c r="Y50" s="5" t="e">
        <f t="shared" si="6"/>
        <v>#REF!</v>
      </c>
      <c r="Z50" s="5" t="e">
        <f t="shared" si="7"/>
        <v>#REF!</v>
      </c>
      <c r="AA50" s="5" t="e">
        <f t="shared" si="8"/>
        <v>#REF!</v>
      </c>
      <c r="AB50" s="6" t="e">
        <f t="shared" si="9"/>
        <v>#REF!</v>
      </c>
      <c r="AC50" s="142" t="e">
        <f t="shared" si="10"/>
        <v>#REF!</v>
      </c>
      <c r="AD50" s="143" t="e">
        <f>[1]!Table2[[#This Row],[Base Rate ]]</f>
        <v>#REF!</v>
      </c>
      <c r="AE50" s="144" t="e">
        <f t="shared" si="11"/>
        <v>#REF!</v>
      </c>
      <c r="AG50" s="6" t="e">
        <f>[1]!Table2[[#This Row],[Total Due]]-AE50</f>
        <v>#REF!</v>
      </c>
    </row>
    <row r="51" spans="1:33">
      <c r="A51" s="1" t="s">
        <v>41</v>
      </c>
      <c r="B51" s="11" t="s">
        <v>138</v>
      </c>
      <c r="C51" s="11">
        <v>0</v>
      </c>
      <c r="D51" s="11">
        <v>0</v>
      </c>
      <c r="E51" s="11">
        <v>0</v>
      </c>
      <c r="F51" s="11">
        <f t="shared" si="0"/>
        <v>0</v>
      </c>
      <c r="G51" s="17">
        <f t="shared" si="16"/>
        <v>11.79</v>
      </c>
      <c r="H51" s="17">
        <f t="shared" si="17"/>
        <v>0</v>
      </c>
      <c r="I51" s="17">
        <f t="shared" si="18"/>
        <v>0</v>
      </c>
      <c r="J51" s="18">
        <f t="shared" si="19"/>
        <v>0</v>
      </c>
      <c r="K51" s="18">
        <f t="shared" si="20"/>
        <v>0</v>
      </c>
      <c r="L51" s="18">
        <f t="shared" si="1"/>
        <v>11.79</v>
      </c>
      <c r="M51" s="18">
        <f t="shared" si="22"/>
        <v>0</v>
      </c>
      <c r="N51" s="18">
        <f t="shared" si="2"/>
        <v>11.79</v>
      </c>
      <c r="O51" s="8"/>
      <c r="P51" s="137" t="e">
        <f>[1]!Table2[[#This Row],[Usage]]-30000</f>
        <v>#REF!</v>
      </c>
      <c r="Q51" s="1">
        <f t="shared" si="3"/>
        <v>0</v>
      </c>
      <c r="R51" s="1" t="e">
        <f>IF([1]!Table2[[#This Row],[Usage above 30000]]&gt;0,[1]!Table2[[#This Row],[Usage above 30000]],0)</f>
        <v>#REF!</v>
      </c>
      <c r="S51" s="138" t="e">
        <f t="shared" si="4"/>
        <v>#REF!</v>
      </c>
      <c r="T51" s="138" t="e">
        <f t="shared" si="12"/>
        <v>#REF!</v>
      </c>
      <c r="U51" s="138" t="e">
        <f t="shared" si="13"/>
        <v>#REF!</v>
      </c>
      <c r="V51" s="138" t="e">
        <f t="shared" si="14"/>
        <v>#REF!</v>
      </c>
      <c r="W51" s="138" t="e">
        <f t="shared" si="15"/>
        <v>#REF!</v>
      </c>
      <c r="X51" s="5" t="e">
        <f t="shared" si="5"/>
        <v>#REF!</v>
      </c>
      <c r="Y51" s="5" t="e">
        <f t="shared" si="6"/>
        <v>#REF!</v>
      </c>
      <c r="Z51" s="5" t="e">
        <f t="shared" si="7"/>
        <v>#REF!</v>
      </c>
      <c r="AA51" s="5" t="e">
        <f t="shared" si="8"/>
        <v>#REF!</v>
      </c>
      <c r="AB51" s="6" t="e">
        <f t="shared" si="9"/>
        <v>#REF!</v>
      </c>
      <c r="AC51" s="142" t="e">
        <f t="shared" si="10"/>
        <v>#REF!</v>
      </c>
      <c r="AD51" s="143" t="e">
        <f>[1]!Table2[[#This Row],[Base Rate ]]</f>
        <v>#REF!</v>
      </c>
      <c r="AE51" s="144" t="e">
        <f t="shared" si="11"/>
        <v>#REF!</v>
      </c>
      <c r="AG51" s="6" t="e">
        <f>[1]!Table2[[#This Row],[Total Due]]-AE51</f>
        <v>#REF!</v>
      </c>
    </row>
    <row r="52" spans="1:33">
      <c r="A52" s="1" t="s">
        <v>42</v>
      </c>
      <c r="B52" s="11"/>
      <c r="C52" s="11">
        <v>3071000</v>
      </c>
      <c r="D52" s="11">
        <v>3071000</v>
      </c>
      <c r="E52" s="11">
        <v>0</v>
      </c>
      <c r="F52" s="11">
        <f t="shared" si="0"/>
        <v>0</v>
      </c>
      <c r="G52" s="17">
        <f t="shared" si="16"/>
        <v>40.090000000000003</v>
      </c>
      <c r="H52" s="17">
        <f t="shared" si="17"/>
        <v>0</v>
      </c>
      <c r="I52" s="17">
        <f t="shared" si="18"/>
        <v>0</v>
      </c>
      <c r="J52" s="18">
        <f t="shared" si="19"/>
        <v>0</v>
      </c>
      <c r="K52" s="18">
        <f t="shared" si="20"/>
        <v>0</v>
      </c>
      <c r="L52" s="18">
        <f t="shared" si="1"/>
        <v>40.090000000000003</v>
      </c>
      <c r="M52" s="18">
        <f t="shared" si="22"/>
        <v>0</v>
      </c>
      <c r="N52" s="18">
        <f t="shared" si="2"/>
        <v>40.090000000000003</v>
      </c>
      <c r="O52" s="8"/>
      <c r="P52" s="137" t="e">
        <f>[1]!Table2[[#This Row],[Usage]]-30000</f>
        <v>#REF!</v>
      </c>
      <c r="Q52" s="1">
        <f t="shared" si="3"/>
        <v>0</v>
      </c>
      <c r="R52" s="1" t="e">
        <f>IF([1]!Table2[[#This Row],[Usage above 30000]]&gt;0,[1]!Table2[[#This Row],[Usage above 30000]],0)</f>
        <v>#REF!</v>
      </c>
      <c r="S52" s="138" t="e">
        <f t="shared" si="4"/>
        <v>#REF!</v>
      </c>
      <c r="T52" s="138" t="e">
        <f t="shared" si="12"/>
        <v>#REF!</v>
      </c>
      <c r="U52" s="138" t="e">
        <f t="shared" si="13"/>
        <v>#REF!</v>
      </c>
      <c r="V52" s="138" t="e">
        <f t="shared" si="14"/>
        <v>#REF!</v>
      </c>
      <c r="W52" s="138" t="e">
        <f t="shared" si="15"/>
        <v>#REF!</v>
      </c>
      <c r="X52" s="5" t="e">
        <f t="shared" si="5"/>
        <v>#REF!</v>
      </c>
      <c r="Y52" s="5" t="e">
        <f t="shared" si="6"/>
        <v>#REF!</v>
      </c>
      <c r="Z52" s="5" t="e">
        <f t="shared" si="7"/>
        <v>#REF!</v>
      </c>
      <c r="AA52" s="5" t="e">
        <f t="shared" si="8"/>
        <v>#REF!</v>
      </c>
      <c r="AB52" s="6" t="e">
        <f t="shared" si="9"/>
        <v>#REF!</v>
      </c>
      <c r="AC52" s="142" t="e">
        <f t="shared" si="10"/>
        <v>#REF!</v>
      </c>
      <c r="AD52" s="143" t="e">
        <f>[1]!Table2[[#This Row],[Base Rate ]]</f>
        <v>#REF!</v>
      </c>
      <c r="AE52" s="144" t="e">
        <f t="shared" si="11"/>
        <v>#REF!</v>
      </c>
      <c r="AG52" s="6" t="e">
        <f>[1]!Table2[[#This Row],[Total Due]]-AE52</f>
        <v>#REF!</v>
      </c>
    </row>
    <row r="53" spans="1:33">
      <c r="A53" s="1" t="s">
        <v>43</v>
      </c>
      <c r="B53" s="11"/>
      <c r="C53" s="11">
        <v>3255000</v>
      </c>
      <c r="D53" s="11">
        <v>3273000</v>
      </c>
      <c r="E53" s="11">
        <v>0</v>
      </c>
      <c r="F53" s="11">
        <f t="shared" si="0"/>
        <v>18000</v>
      </c>
      <c r="G53" s="17">
        <f t="shared" si="16"/>
        <v>40.090000000000003</v>
      </c>
      <c r="H53" s="17">
        <f t="shared" si="17"/>
        <v>17.440000000000001</v>
      </c>
      <c r="I53" s="17">
        <f t="shared" si="18"/>
        <v>0</v>
      </c>
      <c r="J53" s="18">
        <f t="shared" si="19"/>
        <v>0</v>
      </c>
      <c r="K53" s="18">
        <f t="shared" si="20"/>
        <v>0</v>
      </c>
      <c r="L53" s="18">
        <f t="shared" si="1"/>
        <v>57.53</v>
      </c>
      <c r="M53" s="18">
        <f t="shared" si="22"/>
        <v>0</v>
      </c>
      <c r="N53" s="18">
        <f t="shared" si="2"/>
        <v>57.53</v>
      </c>
      <c r="O53" s="8"/>
      <c r="P53" s="137" t="e">
        <f>[1]!Table2[[#This Row],[Usage]]-30000</f>
        <v>#REF!</v>
      </c>
      <c r="Q53" s="1">
        <f t="shared" si="3"/>
        <v>18000</v>
      </c>
      <c r="R53" s="1" t="e">
        <f>IF([1]!Table2[[#This Row],[Usage above 30000]]&gt;0,[1]!Table2[[#This Row],[Usage above 30000]],0)</f>
        <v>#REF!</v>
      </c>
      <c r="S53" s="138" t="e">
        <f t="shared" si="4"/>
        <v>#REF!</v>
      </c>
      <c r="T53" s="138" t="e">
        <f t="shared" si="12"/>
        <v>#REF!</v>
      </c>
      <c r="U53" s="138" t="e">
        <f t="shared" si="13"/>
        <v>#REF!</v>
      </c>
      <c r="V53" s="138" t="e">
        <f t="shared" si="14"/>
        <v>#REF!</v>
      </c>
      <c r="W53" s="138" t="e">
        <f t="shared" si="15"/>
        <v>#REF!</v>
      </c>
      <c r="X53" s="5" t="e">
        <f t="shared" si="5"/>
        <v>#REF!</v>
      </c>
      <c r="Y53" s="5" t="e">
        <f t="shared" si="6"/>
        <v>#REF!</v>
      </c>
      <c r="Z53" s="5" t="e">
        <f t="shared" si="7"/>
        <v>#REF!</v>
      </c>
      <c r="AA53" s="5" t="e">
        <f t="shared" si="8"/>
        <v>#REF!</v>
      </c>
      <c r="AB53" s="6" t="e">
        <f t="shared" si="9"/>
        <v>#REF!</v>
      </c>
      <c r="AC53" s="142" t="e">
        <f t="shared" si="10"/>
        <v>#REF!</v>
      </c>
      <c r="AD53" s="143" t="e">
        <f>[1]!Table2[[#This Row],[Base Rate ]]</f>
        <v>#REF!</v>
      </c>
      <c r="AE53" s="144" t="e">
        <f t="shared" si="11"/>
        <v>#REF!</v>
      </c>
      <c r="AG53" s="6" t="e">
        <f>[1]!Table2[[#This Row],[Total Due]]-AE53</f>
        <v>#REF!</v>
      </c>
    </row>
    <row r="54" spans="1:33">
      <c r="A54" s="1" t="s">
        <v>44</v>
      </c>
      <c r="B54" s="11"/>
      <c r="C54" s="11">
        <v>4061000</v>
      </c>
      <c r="D54" s="11">
        <v>4078000</v>
      </c>
      <c r="E54" s="11">
        <v>0</v>
      </c>
      <c r="F54" s="11">
        <f t="shared" si="0"/>
        <v>17000</v>
      </c>
      <c r="G54" s="17">
        <f t="shared" si="16"/>
        <v>40.090000000000003</v>
      </c>
      <c r="H54" s="17">
        <f t="shared" si="17"/>
        <v>15.260000000000002</v>
      </c>
      <c r="I54" s="17">
        <f t="shared" si="18"/>
        <v>0</v>
      </c>
      <c r="J54" s="18">
        <f t="shared" si="19"/>
        <v>0</v>
      </c>
      <c r="K54" s="18">
        <f t="shared" si="20"/>
        <v>0</v>
      </c>
      <c r="L54" s="18">
        <f t="shared" si="1"/>
        <v>55.350000000000009</v>
      </c>
      <c r="M54" s="18">
        <f t="shared" si="22"/>
        <v>0</v>
      </c>
      <c r="N54" s="18">
        <f t="shared" si="2"/>
        <v>55.350000000000009</v>
      </c>
      <c r="O54" s="8"/>
      <c r="P54" s="137" t="e">
        <f>[1]!Table2[[#This Row],[Usage]]-30000</f>
        <v>#REF!</v>
      </c>
      <c r="Q54" s="1">
        <f t="shared" si="3"/>
        <v>17000</v>
      </c>
      <c r="R54" s="1" t="e">
        <f>IF([1]!Table2[[#This Row],[Usage above 30000]]&gt;0,[1]!Table2[[#This Row],[Usage above 30000]],0)</f>
        <v>#REF!</v>
      </c>
      <c r="S54" s="138" t="e">
        <f t="shared" si="4"/>
        <v>#REF!</v>
      </c>
      <c r="T54" s="138" t="e">
        <f t="shared" si="12"/>
        <v>#REF!</v>
      </c>
      <c r="U54" s="138" t="e">
        <f t="shared" si="13"/>
        <v>#REF!</v>
      </c>
      <c r="V54" s="138" t="e">
        <f t="shared" si="14"/>
        <v>#REF!</v>
      </c>
      <c r="W54" s="138" t="e">
        <f t="shared" si="15"/>
        <v>#REF!</v>
      </c>
      <c r="X54" s="5" t="e">
        <f t="shared" si="5"/>
        <v>#REF!</v>
      </c>
      <c r="Y54" s="5" t="e">
        <f t="shared" si="6"/>
        <v>#REF!</v>
      </c>
      <c r="Z54" s="5" t="e">
        <f t="shared" si="7"/>
        <v>#REF!</v>
      </c>
      <c r="AA54" s="5" t="e">
        <f t="shared" si="8"/>
        <v>#REF!</v>
      </c>
      <c r="AB54" s="6" t="e">
        <f t="shared" si="9"/>
        <v>#REF!</v>
      </c>
      <c r="AC54" s="142" t="e">
        <f t="shared" si="10"/>
        <v>#REF!</v>
      </c>
      <c r="AD54" s="143" t="e">
        <f>[1]!Table2[[#This Row],[Base Rate ]]</f>
        <v>#REF!</v>
      </c>
      <c r="AE54" s="144" t="e">
        <f t="shared" si="11"/>
        <v>#REF!</v>
      </c>
      <c r="AG54" s="6" t="e">
        <f>[1]!Table2[[#This Row],[Total Due]]-AE54</f>
        <v>#REF!</v>
      </c>
    </row>
    <row r="55" spans="1:33">
      <c r="A55" s="1" t="s">
        <v>45</v>
      </c>
      <c r="B55" s="11" t="s">
        <v>138</v>
      </c>
      <c r="C55" s="11">
        <v>0</v>
      </c>
      <c r="D55" s="11">
        <v>0</v>
      </c>
      <c r="E55" s="11">
        <v>0</v>
      </c>
      <c r="F55" s="11">
        <f t="shared" si="0"/>
        <v>0</v>
      </c>
      <c r="G55" s="17">
        <f t="shared" si="16"/>
        <v>11.79</v>
      </c>
      <c r="H55" s="17">
        <f t="shared" si="17"/>
        <v>0</v>
      </c>
      <c r="I55" s="17">
        <f t="shared" si="18"/>
        <v>0</v>
      </c>
      <c r="J55" s="18">
        <f t="shared" si="19"/>
        <v>0</v>
      </c>
      <c r="K55" s="18">
        <f t="shared" si="20"/>
        <v>0</v>
      </c>
      <c r="L55" s="18">
        <f t="shared" si="1"/>
        <v>11.79</v>
      </c>
      <c r="M55" s="18">
        <f t="shared" si="22"/>
        <v>0</v>
      </c>
      <c r="N55" s="18">
        <f t="shared" si="2"/>
        <v>11.79</v>
      </c>
      <c r="O55" s="8"/>
      <c r="P55" s="137" t="e">
        <f>[1]!Table2[[#This Row],[Usage]]-30000</f>
        <v>#REF!</v>
      </c>
      <c r="Q55" s="1">
        <f t="shared" si="3"/>
        <v>0</v>
      </c>
      <c r="R55" s="1" t="e">
        <f>IF([1]!Table2[[#This Row],[Usage above 30000]]&gt;0,[1]!Table2[[#This Row],[Usage above 30000]],0)</f>
        <v>#REF!</v>
      </c>
      <c r="S55" s="138" t="e">
        <f t="shared" si="4"/>
        <v>#REF!</v>
      </c>
      <c r="T55" s="138" t="e">
        <f t="shared" si="12"/>
        <v>#REF!</v>
      </c>
      <c r="U55" s="138" t="e">
        <f t="shared" si="13"/>
        <v>#REF!</v>
      </c>
      <c r="V55" s="138" t="e">
        <f t="shared" si="14"/>
        <v>#REF!</v>
      </c>
      <c r="W55" s="138" t="e">
        <f t="shared" si="15"/>
        <v>#REF!</v>
      </c>
      <c r="X55" s="5" t="e">
        <f t="shared" si="5"/>
        <v>#REF!</v>
      </c>
      <c r="Y55" s="5" t="e">
        <f t="shared" si="6"/>
        <v>#REF!</v>
      </c>
      <c r="Z55" s="5" t="e">
        <f t="shared" si="7"/>
        <v>#REF!</v>
      </c>
      <c r="AA55" s="5" t="e">
        <f t="shared" si="8"/>
        <v>#REF!</v>
      </c>
      <c r="AB55" s="6" t="e">
        <f t="shared" si="9"/>
        <v>#REF!</v>
      </c>
      <c r="AC55" s="142" t="e">
        <f t="shared" si="10"/>
        <v>#REF!</v>
      </c>
      <c r="AD55" s="143" t="e">
        <f>[1]!Table2[[#This Row],[Base Rate ]]</f>
        <v>#REF!</v>
      </c>
      <c r="AE55" s="144" t="e">
        <f t="shared" si="11"/>
        <v>#REF!</v>
      </c>
      <c r="AG55" s="6" t="e">
        <f>[1]!Table2[[#This Row],[Total Due]]-AE55</f>
        <v>#REF!</v>
      </c>
    </row>
    <row r="56" spans="1:33">
      <c r="A56" s="1" t="s">
        <v>46</v>
      </c>
      <c r="B56" s="11" t="s">
        <v>138</v>
      </c>
      <c r="C56" s="11">
        <v>0</v>
      </c>
      <c r="D56" s="11">
        <v>0</v>
      </c>
      <c r="E56" s="11">
        <v>0</v>
      </c>
      <c r="F56" s="11">
        <f t="shared" si="0"/>
        <v>0</v>
      </c>
      <c r="G56" s="17">
        <f t="shared" si="16"/>
        <v>11.79</v>
      </c>
      <c r="H56" s="17">
        <f t="shared" si="17"/>
        <v>0</v>
      </c>
      <c r="I56" s="17">
        <f t="shared" si="18"/>
        <v>0</v>
      </c>
      <c r="J56" s="18">
        <f t="shared" si="19"/>
        <v>0</v>
      </c>
      <c r="K56" s="18">
        <f t="shared" si="20"/>
        <v>0</v>
      </c>
      <c r="L56" s="18">
        <f t="shared" si="1"/>
        <v>11.79</v>
      </c>
      <c r="M56" s="18">
        <f t="shared" si="22"/>
        <v>0</v>
      </c>
      <c r="N56" s="18">
        <f t="shared" si="2"/>
        <v>11.79</v>
      </c>
      <c r="O56" s="8"/>
      <c r="P56" s="137" t="e">
        <f>[1]!Table2[[#This Row],[Usage]]-30000</f>
        <v>#REF!</v>
      </c>
      <c r="Q56" s="1">
        <f t="shared" si="3"/>
        <v>0</v>
      </c>
      <c r="R56" s="1" t="e">
        <f>IF([1]!Table2[[#This Row],[Usage above 30000]]&gt;0,[1]!Table2[[#This Row],[Usage above 30000]],0)</f>
        <v>#REF!</v>
      </c>
      <c r="S56" s="138" t="e">
        <f t="shared" si="4"/>
        <v>#REF!</v>
      </c>
      <c r="T56" s="138" t="e">
        <f t="shared" si="12"/>
        <v>#REF!</v>
      </c>
      <c r="U56" s="138" t="e">
        <f t="shared" si="13"/>
        <v>#REF!</v>
      </c>
      <c r="V56" s="138" t="e">
        <f t="shared" si="14"/>
        <v>#REF!</v>
      </c>
      <c r="W56" s="138" t="e">
        <f t="shared" si="15"/>
        <v>#REF!</v>
      </c>
      <c r="X56" s="5" t="e">
        <f t="shared" si="5"/>
        <v>#REF!</v>
      </c>
      <c r="Y56" s="5" t="e">
        <f t="shared" si="6"/>
        <v>#REF!</v>
      </c>
      <c r="Z56" s="5" t="e">
        <f t="shared" si="7"/>
        <v>#REF!</v>
      </c>
      <c r="AA56" s="5" t="e">
        <f t="shared" si="8"/>
        <v>#REF!</v>
      </c>
      <c r="AB56" s="6" t="e">
        <f t="shared" si="9"/>
        <v>#REF!</v>
      </c>
      <c r="AC56" s="142" t="e">
        <f t="shared" si="10"/>
        <v>#REF!</v>
      </c>
      <c r="AD56" s="143" t="e">
        <f>[1]!Table2[[#This Row],[Base Rate ]]</f>
        <v>#REF!</v>
      </c>
      <c r="AE56" s="144" t="e">
        <f t="shared" si="11"/>
        <v>#REF!</v>
      </c>
      <c r="AG56" s="6" t="e">
        <f>[1]!Table2[[#This Row],[Total Due]]-AE56</f>
        <v>#REF!</v>
      </c>
    </row>
    <row r="57" spans="1:33">
      <c r="A57" s="1" t="s">
        <v>47</v>
      </c>
      <c r="B57" s="11" t="s">
        <v>138</v>
      </c>
      <c r="C57" s="11">
        <v>0</v>
      </c>
      <c r="D57" s="11">
        <v>0</v>
      </c>
      <c r="E57" s="11">
        <v>0</v>
      </c>
      <c r="F57" s="11">
        <f t="shared" si="0"/>
        <v>0</v>
      </c>
      <c r="G57" s="17">
        <f t="shared" si="16"/>
        <v>11.79</v>
      </c>
      <c r="H57" s="17">
        <f t="shared" si="17"/>
        <v>0</v>
      </c>
      <c r="I57" s="17">
        <f t="shared" si="18"/>
        <v>0</v>
      </c>
      <c r="J57" s="18">
        <f t="shared" si="19"/>
        <v>0</v>
      </c>
      <c r="K57" s="18">
        <f t="shared" si="20"/>
        <v>0</v>
      </c>
      <c r="L57" s="18">
        <f t="shared" si="1"/>
        <v>11.79</v>
      </c>
      <c r="M57" s="18">
        <f t="shared" si="22"/>
        <v>0</v>
      </c>
      <c r="N57" s="18">
        <f t="shared" si="2"/>
        <v>11.79</v>
      </c>
      <c r="O57" s="8"/>
      <c r="P57" s="137" t="e">
        <f>[1]!Table2[[#This Row],[Usage]]-30000</f>
        <v>#REF!</v>
      </c>
      <c r="Q57" s="1">
        <f t="shared" si="3"/>
        <v>0</v>
      </c>
      <c r="R57" s="1" t="e">
        <f>IF([1]!Table2[[#This Row],[Usage above 30000]]&gt;0,[1]!Table2[[#This Row],[Usage above 30000]],0)</f>
        <v>#REF!</v>
      </c>
      <c r="S57" s="138" t="e">
        <f t="shared" si="4"/>
        <v>#REF!</v>
      </c>
      <c r="T57" s="138" t="e">
        <f t="shared" si="12"/>
        <v>#REF!</v>
      </c>
      <c r="U57" s="138" t="e">
        <f t="shared" si="13"/>
        <v>#REF!</v>
      </c>
      <c r="V57" s="138" t="e">
        <f t="shared" si="14"/>
        <v>#REF!</v>
      </c>
      <c r="W57" s="138" t="e">
        <f t="shared" si="15"/>
        <v>#REF!</v>
      </c>
      <c r="X57" s="5" t="e">
        <f t="shared" si="5"/>
        <v>#REF!</v>
      </c>
      <c r="Y57" s="5" t="e">
        <f t="shared" si="6"/>
        <v>#REF!</v>
      </c>
      <c r="Z57" s="5" t="e">
        <f t="shared" si="7"/>
        <v>#REF!</v>
      </c>
      <c r="AA57" s="5" t="e">
        <f t="shared" si="8"/>
        <v>#REF!</v>
      </c>
      <c r="AB57" s="6" t="e">
        <f t="shared" si="9"/>
        <v>#REF!</v>
      </c>
      <c r="AC57" s="142" t="e">
        <f t="shared" si="10"/>
        <v>#REF!</v>
      </c>
      <c r="AD57" s="143" t="e">
        <f>[1]!Table2[[#This Row],[Base Rate ]]</f>
        <v>#REF!</v>
      </c>
      <c r="AE57" s="144" t="e">
        <f t="shared" si="11"/>
        <v>#REF!</v>
      </c>
      <c r="AG57" s="6" t="e">
        <f>[1]!Table2[[#This Row],[Total Due]]-AE57</f>
        <v>#REF!</v>
      </c>
    </row>
    <row r="58" spans="1:33">
      <c r="A58" s="1" t="s">
        <v>48</v>
      </c>
      <c r="B58" s="11"/>
      <c r="C58" s="11">
        <v>1123000</v>
      </c>
      <c r="D58" s="11">
        <v>1130000</v>
      </c>
      <c r="E58" s="11">
        <v>0</v>
      </c>
      <c r="F58" s="11">
        <f t="shared" si="0"/>
        <v>7000</v>
      </c>
      <c r="G58" s="17">
        <f t="shared" si="16"/>
        <v>40.090000000000003</v>
      </c>
      <c r="H58" s="17">
        <f t="shared" si="17"/>
        <v>0</v>
      </c>
      <c r="I58" s="17">
        <f t="shared" si="18"/>
        <v>0</v>
      </c>
      <c r="J58" s="18">
        <f t="shared" si="19"/>
        <v>0</v>
      </c>
      <c r="K58" s="18">
        <f t="shared" si="20"/>
        <v>0</v>
      </c>
      <c r="L58" s="18">
        <f t="shared" si="1"/>
        <v>40.090000000000003</v>
      </c>
      <c r="M58" s="18">
        <f t="shared" si="22"/>
        <v>0</v>
      </c>
      <c r="N58" s="18">
        <f t="shared" si="2"/>
        <v>40.090000000000003</v>
      </c>
      <c r="O58" s="8"/>
      <c r="P58" s="137" t="e">
        <f>[1]!Table2[[#This Row],[Usage]]-30000</f>
        <v>#REF!</v>
      </c>
      <c r="Q58" s="1">
        <f t="shared" si="3"/>
        <v>7000</v>
      </c>
      <c r="R58" s="1" t="e">
        <f>IF([1]!Table2[[#This Row],[Usage above 30000]]&gt;0,[1]!Table2[[#This Row],[Usage above 30000]],0)</f>
        <v>#REF!</v>
      </c>
      <c r="S58" s="138" t="e">
        <f t="shared" si="4"/>
        <v>#REF!</v>
      </c>
      <c r="T58" s="138" t="e">
        <f t="shared" si="12"/>
        <v>#REF!</v>
      </c>
      <c r="U58" s="138" t="e">
        <f t="shared" si="13"/>
        <v>#REF!</v>
      </c>
      <c r="V58" s="138" t="e">
        <f t="shared" si="14"/>
        <v>#REF!</v>
      </c>
      <c r="W58" s="138" t="e">
        <f t="shared" si="15"/>
        <v>#REF!</v>
      </c>
      <c r="X58" s="5" t="e">
        <f t="shared" si="5"/>
        <v>#REF!</v>
      </c>
      <c r="Y58" s="5" t="e">
        <f t="shared" si="6"/>
        <v>#REF!</v>
      </c>
      <c r="Z58" s="5" t="e">
        <f t="shared" si="7"/>
        <v>#REF!</v>
      </c>
      <c r="AA58" s="5" t="e">
        <f t="shared" si="8"/>
        <v>#REF!</v>
      </c>
      <c r="AB58" s="6" t="e">
        <f t="shared" si="9"/>
        <v>#REF!</v>
      </c>
      <c r="AC58" s="142" t="e">
        <f t="shared" si="10"/>
        <v>#REF!</v>
      </c>
      <c r="AD58" s="143" t="e">
        <f>[1]!Table2[[#This Row],[Base Rate ]]</f>
        <v>#REF!</v>
      </c>
      <c r="AE58" s="144" t="e">
        <f t="shared" si="11"/>
        <v>#REF!</v>
      </c>
      <c r="AG58" s="6" t="e">
        <f>[1]!Table2[[#This Row],[Total Due]]-AE58</f>
        <v>#REF!</v>
      </c>
    </row>
    <row r="59" spans="1:33">
      <c r="A59" s="1" t="s">
        <v>49</v>
      </c>
      <c r="B59" s="11"/>
      <c r="C59" s="11">
        <v>903000</v>
      </c>
      <c r="D59" s="11">
        <v>929000</v>
      </c>
      <c r="E59" s="11">
        <v>0</v>
      </c>
      <c r="F59" s="11">
        <f t="shared" si="0"/>
        <v>26000</v>
      </c>
      <c r="G59" s="17">
        <f t="shared" si="16"/>
        <v>40.090000000000003</v>
      </c>
      <c r="H59" s="17">
        <f t="shared" si="17"/>
        <v>21.8</v>
      </c>
      <c r="I59" s="17">
        <f t="shared" si="18"/>
        <v>15.18</v>
      </c>
      <c r="J59" s="18">
        <f t="shared" si="19"/>
        <v>0</v>
      </c>
      <c r="K59" s="18">
        <f t="shared" si="20"/>
        <v>0</v>
      </c>
      <c r="L59" s="18">
        <f t="shared" si="1"/>
        <v>77.069999999999993</v>
      </c>
      <c r="M59" s="18">
        <f t="shared" si="22"/>
        <v>0</v>
      </c>
      <c r="N59" s="18">
        <f t="shared" si="2"/>
        <v>77.069999999999993</v>
      </c>
      <c r="O59" s="8"/>
      <c r="P59" s="137" t="e">
        <f>[1]!Table2[[#This Row],[Usage]]-30000</f>
        <v>#REF!</v>
      </c>
      <c r="Q59" s="1">
        <f t="shared" si="3"/>
        <v>26000</v>
      </c>
      <c r="R59" s="1" t="e">
        <f>IF([1]!Table2[[#This Row],[Usage above 30000]]&gt;0,[1]!Table2[[#This Row],[Usage above 30000]],0)</f>
        <v>#REF!</v>
      </c>
      <c r="S59" s="138" t="e">
        <f t="shared" si="4"/>
        <v>#REF!</v>
      </c>
      <c r="T59" s="138" t="e">
        <f t="shared" si="12"/>
        <v>#REF!</v>
      </c>
      <c r="U59" s="138" t="e">
        <f t="shared" si="13"/>
        <v>#REF!</v>
      </c>
      <c r="V59" s="138" t="e">
        <f t="shared" si="14"/>
        <v>#REF!</v>
      </c>
      <c r="W59" s="138" t="e">
        <f t="shared" si="15"/>
        <v>#REF!</v>
      </c>
      <c r="X59" s="5" t="e">
        <f t="shared" si="5"/>
        <v>#REF!</v>
      </c>
      <c r="Y59" s="5" t="e">
        <f t="shared" si="6"/>
        <v>#REF!</v>
      </c>
      <c r="Z59" s="5" t="e">
        <f t="shared" si="7"/>
        <v>#REF!</v>
      </c>
      <c r="AA59" s="5" t="e">
        <f t="shared" si="8"/>
        <v>#REF!</v>
      </c>
      <c r="AB59" s="6" t="e">
        <f t="shared" si="9"/>
        <v>#REF!</v>
      </c>
      <c r="AC59" s="142" t="e">
        <f t="shared" si="10"/>
        <v>#REF!</v>
      </c>
      <c r="AD59" s="143" t="e">
        <f>[1]!Table2[[#This Row],[Base Rate ]]</f>
        <v>#REF!</v>
      </c>
      <c r="AE59" s="144" t="e">
        <f t="shared" si="11"/>
        <v>#REF!</v>
      </c>
      <c r="AG59" s="6" t="e">
        <f>[1]!Table2[[#This Row],[Total Due]]-AE59</f>
        <v>#REF!</v>
      </c>
    </row>
    <row r="60" spans="1:33">
      <c r="A60" s="1" t="s">
        <v>50</v>
      </c>
      <c r="B60" s="11"/>
      <c r="C60" s="11">
        <v>3492000</v>
      </c>
      <c r="D60" s="11">
        <v>3498000</v>
      </c>
      <c r="E60" s="11">
        <v>0</v>
      </c>
      <c r="F60" s="11">
        <f t="shared" si="0"/>
        <v>6000</v>
      </c>
      <c r="G60" s="17">
        <f t="shared" si="16"/>
        <v>40.090000000000003</v>
      </c>
      <c r="H60" s="17">
        <f t="shared" si="17"/>
        <v>0</v>
      </c>
      <c r="I60" s="17">
        <f t="shared" si="18"/>
        <v>0</v>
      </c>
      <c r="J60" s="18">
        <f t="shared" si="19"/>
        <v>0</v>
      </c>
      <c r="K60" s="18">
        <f t="shared" si="20"/>
        <v>0</v>
      </c>
      <c r="L60" s="18">
        <f t="shared" si="1"/>
        <v>40.090000000000003</v>
      </c>
      <c r="M60" s="18">
        <f t="shared" si="22"/>
        <v>0</v>
      </c>
      <c r="N60" s="18">
        <f t="shared" si="2"/>
        <v>40.090000000000003</v>
      </c>
      <c r="O60" s="8"/>
      <c r="P60" s="137" t="e">
        <f>[1]!Table2[[#This Row],[Usage]]-30000</f>
        <v>#REF!</v>
      </c>
      <c r="Q60" s="1">
        <f t="shared" si="3"/>
        <v>6000</v>
      </c>
      <c r="R60" s="1" t="e">
        <f>IF([1]!Table2[[#This Row],[Usage above 30000]]&gt;0,[1]!Table2[[#This Row],[Usage above 30000]],0)</f>
        <v>#REF!</v>
      </c>
      <c r="S60" s="138" t="e">
        <f t="shared" si="4"/>
        <v>#REF!</v>
      </c>
      <c r="T60" s="138" t="e">
        <f t="shared" si="12"/>
        <v>#REF!</v>
      </c>
      <c r="U60" s="138" t="e">
        <f t="shared" si="13"/>
        <v>#REF!</v>
      </c>
      <c r="V60" s="138" t="e">
        <f t="shared" si="14"/>
        <v>#REF!</v>
      </c>
      <c r="W60" s="138" t="e">
        <f t="shared" si="15"/>
        <v>#REF!</v>
      </c>
      <c r="X60" s="5" t="e">
        <f t="shared" si="5"/>
        <v>#REF!</v>
      </c>
      <c r="Y60" s="5" t="e">
        <f t="shared" si="6"/>
        <v>#REF!</v>
      </c>
      <c r="Z60" s="5" t="e">
        <f t="shared" si="7"/>
        <v>#REF!</v>
      </c>
      <c r="AA60" s="5" t="e">
        <f t="shared" si="8"/>
        <v>#REF!</v>
      </c>
      <c r="AB60" s="6" t="e">
        <f t="shared" si="9"/>
        <v>#REF!</v>
      </c>
      <c r="AC60" s="142" t="e">
        <f t="shared" si="10"/>
        <v>#REF!</v>
      </c>
      <c r="AD60" s="143" t="e">
        <f>[1]!Table2[[#This Row],[Base Rate ]]</f>
        <v>#REF!</v>
      </c>
      <c r="AE60" s="144" t="e">
        <f t="shared" si="11"/>
        <v>#REF!</v>
      </c>
      <c r="AG60" s="6" t="e">
        <f>[1]!Table2[[#This Row],[Total Due]]-AE60</f>
        <v>#REF!</v>
      </c>
    </row>
    <row r="61" spans="1:33">
      <c r="A61" s="1" t="s">
        <v>51</v>
      </c>
      <c r="B61" s="11" t="s">
        <v>138</v>
      </c>
      <c r="C61" s="11">
        <v>0</v>
      </c>
      <c r="D61" s="11">
        <v>0</v>
      </c>
      <c r="E61" s="11">
        <v>0</v>
      </c>
      <c r="F61" s="11">
        <f t="shared" si="0"/>
        <v>0</v>
      </c>
      <c r="G61" s="17">
        <f t="shared" si="16"/>
        <v>11.79</v>
      </c>
      <c r="H61" s="17">
        <f t="shared" si="17"/>
        <v>0</v>
      </c>
      <c r="I61" s="17">
        <f t="shared" si="18"/>
        <v>0</v>
      </c>
      <c r="J61" s="18">
        <f t="shared" si="19"/>
        <v>0</v>
      </c>
      <c r="K61" s="18">
        <f t="shared" si="20"/>
        <v>0</v>
      </c>
      <c r="L61" s="18">
        <f t="shared" si="1"/>
        <v>11.79</v>
      </c>
      <c r="M61" s="18">
        <f t="shared" si="22"/>
        <v>0</v>
      </c>
      <c r="N61" s="18">
        <f t="shared" si="2"/>
        <v>11.79</v>
      </c>
      <c r="O61" s="8"/>
      <c r="P61" s="137" t="e">
        <f>[1]!Table2[[#This Row],[Usage]]-30000</f>
        <v>#REF!</v>
      </c>
      <c r="Q61" s="1">
        <f t="shared" si="3"/>
        <v>0</v>
      </c>
      <c r="R61" s="1" t="e">
        <f>IF([1]!Table2[[#This Row],[Usage above 30000]]&gt;0,[1]!Table2[[#This Row],[Usage above 30000]],0)</f>
        <v>#REF!</v>
      </c>
      <c r="S61" s="138" t="e">
        <f t="shared" si="4"/>
        <v>#REF!</v>
      </c>
      <c r="T61" s="138" t="e">
        <f t="shared" si="12"/>
        <v>#REF!</v>
      </c>
      <c r="U61" s="138" t="e">
        <f t="shared" si="13"/>
        <v>#REF!</v>
      </c>
      <c r="V61" s="138" t="e">
        <f t="shared" si="14"/>
        <v>#REF!</v>
      </c>
      <c r="W61" s="138" t="e">
        <f t="shared" si="15"/>
        <v>#REF!</v>
      </c>
      <c r="X61" s="5" t="e">
        <f t="shared" si="5"/>
        <v>#REF!</v>
      </c>
      <c r="Y61" s="5" t="e">
        <f t="shared" si="6"/>
        <v>#REF!</v>
      </c>
      <c r="Z61" s="5" t="e">
        <f t="shared" si="7"/>
        <v>#REF!</v>
      </c>
      <c r="AA61" s="5" t="e">
        <f t="shared" si="8"/>
        <v>#REF!</v>
      </c>
      <c r="AB61" s="6" t="e">
        <f t="shared" si="9"/>
        <v>#REF!</v>
      </c>
      <c r="AC61" s="142" t="e">
        <f t="shared" si="10"/>
        <v>#REF!</v>
      </c>
      <c r="AD61" s="143" t="e">
        <f>[1]!Table2[[#This Row],[Base Rate ]]</f>
        <v>#REF!</v>
      </c>
      <c r="AE61" s="144" t="e">
        <f t="shared" si="11"/>
        <v>#REF!</v>
      </c>
      <c r="AG61" s="6" t="e">
        <f>[1]!Table2[[#This Row],[Total Due]]-AE61</f>
        <v>#REF!</v>
      </c>
    </row>
    <row r="62" spans="1:33">
      <c r="A62" s="1" t="s">
        <v>52</v>
      </c>
      <c r="B62" s="11"/>
      <c r="C62" s="11">
        <v>1710000</v>
      </c>
      <c r="D62" s="11">
        <v>1719000</v>
      </c>
      <c r="E62" s="11">
        <v>0</v>
      </c>
      <c r="F62" s="11">
        <f t="shared" si="0"/>
        <v>9000</v>
      </c>
      <c r="G62" s="17">
        <f t="shared" si="16"/>
        <v>40.090000000000003</v>
      </c>
      <c r="H62" s="17">
        <f t="shared" si="17"/>
        <v>0</v>
      </c>
      <c r="I62" s="17">
        <f t="shared" si="18"/>
        <v>0</v>
      </c>
      <c r="J62" s="18">
        <f t="shared" si="19"/>
        <v>0</v>
      </c>
      <c r="K62" s="18">
        <f t="shared" si="20"/>
        <v>0</v>
      </c>
      <c r="L62" s="18">
        <f t="shared" si="1"/>
        <v>40.090000000000003</v>
      </c>
      <c r="M62" s="18">
        <f t="shared" si="22"/>
        <v>0</v>
      </c>
      <c r="N62" s="18">
        <f t="shared" si="2"/>
        <v>40.090000000000003</v>
      </c>
      <c r="O62" s="8"/>
      <c r="P62" s="137" t="e">
        <f>[1]!Table2[[#This Row],[Usage]]-30000</f>
        <v>#REF!</v>
      </c>
      <c r="Q62" s="1">
        <f t="shared" si="3"/>
        <v>9000</v>
      </c>
      <c r="R62" s="1" t="e">
        <f>IF([1]!Table2[[#This Row],[Usage above 30000]]&gt;0,[1]!Table2[[#This Row],[Usage above 30000]],0)</f>
        <v>#REF!</v>
      </c>
      <c r="S62" s="138" t="e">
        <f t="shared" si="4"/>
        <v>#REF!</v>
      </c>
      <c r="T62" s="138" t="e">
        <f t="shared" si="12"/>
        <v>#REF!</v>
      </c>
      <c r="U62" s="138" t="e">
        <f t="shared" si="13"/>
        <v>#REF!</v>
      </c>
      <c r="V62" s="138" t="e">
        <f t="shared" si="14"/>
        <v>#REF!</v>
      </c>
      <c r="W62" s="138" t="e">
        <f t="shared" si="15"/>
        <v>#REF!</v>
      </c>
      <c r="X62" s="5" t="e">
        <f t="shared" si="5"/>
        <v>#REF!</v>
      </c>
      <c r="Y62" s="5" t="e">
        <f t="shared" si="6"/>
        <v>#REF!</v>
      </c>
      <c r="Z62" s="5" t="e">
        <f t="shared" si="7"/>
        <v>#REF!</v>
      </c>
      <c r="AA62" s="5" t="e">
        <f t="shared" si="8"/>
        <v>#REF!</v>
      </c>
      <c r="AB62" s="6" t="e">
        <f t="shared" si="9"/>
        <v>#REF!</v>
      </c>
      <c r="AC62" s="142" t="e">
        <f t="shared" si="10"/>
        <v>#REF!</v>
      </c>
      <c r="AD62" s="143" t="e">
        <f>[1]!Table2[[#This Row],[Base Rate ]]</f>
        <v>#REF!</v>
      </c>
      <c r="AE62" s="144" t="e">
        <f t="shared" si="11"/>
        <v>#REF!</v>
      </c>
      <c r="AG62" s="6" t="e">
        <f>[1]!Table2[[#This Row],[Total Due]]-AE62</f>
        <v>#REF!</v>
      </c>
    </row>
    <row r="63" spans="1:33">
      <c r="A63" s="1" t="s">
        <v>53</v>
      </c>
      <c r="B63" s="11"/>
      <c r="C63" s="11">
        <v>2330000</v>
      </c>
      <c r="D63" s="11">
        <v>2357000</v>
      </c>
      <c r="E63" s="11">
        <v>0</v>
      </c>
      <c r="F63" s="11">
        <f t="shared" si="0"/>
        <v>27000</v>
      </c>
      <c r="G63" s="17">
        <f t="shared" si="16"/>
        <v>40.090000000000003</v>
      </c>
      <c r="H63" s="17">
        <f t="shared" si="17"/>
        <v>21.8</v>
      </c>
      <c r="I63" s="17">
        <f t="shared" si="18"/>
        <v>17.709999999999997</v>
      </c>
      <c r="J63" s="18">
        <f t="shared" si="19"/>
        <v>0</v>
      </c>
      <c r="K63" s="18">
        <f t="shared" si="20"/>
        <v>0</v>
      </c>
      <c r="L63" s="18">
        <f t="shared" si="1"/>
        <v>79.599999999999994</v>
      </c>
      <c r="M63" s="18">
        <f t="shared" si="22"/>
        <v>0</v>
      </c>
      <c r="N63" s="18">
        <f t="shared" si="2"/>
        <v>79.599999999999994</v>
      </c>
      <c r="O63" s="8"/>
      <c r="P63" s="137" t="e">
        <f>[1]!Table2[[#This Row],[Usage]]-30000</f>
        <v>#REF!</v>
      </c>
      <c r="Q63" s="1">
        <f t="shared" si="3"/>
        <v>27000</v>
      </c>
      <c r="R63" s="1" t="e">
        <f>IF([1]!Table2[[#This Row],[Usage above 30000]]&gt;0,[1]!Table2[[#This Row],[Usage above 30000]],0)</f>
        <v>#REF!</v>
      </c>
      <c r="S63" s="138" t="e">
        <f t="shared" si="4"/>
        <v>#REF!</v>
      </c>
      <c r="T63" s="138" t="e">
        <f t="shared" si="12"/>
        <v>#REF!</v>
      </c>
      <c r="U63" s="138" t="e">
        <f t="shared" si="13"/>
        <v>#REF!</v>
      </c>
      <c r="V63" s="138" t="e">
        <f t="shared" si="14"/>
        <v>#REF!</v>
      </c>
      <c r="W63" s="138" t="e">
        <f t="shared" si="15"/>
        <v>#REF!</v>
      </c>
      <c r="X63" s="5" t="e">
        <f t="shared" si="5"/>
        <v>#REF!</v>
      </c>
      <c r="Y63" s="5" t="e">
        <f t="shared" si="6"/>
        <v>#REF!</v>
      </c>
      <c r="Z63" s="5" t="e">
        <f t="shared" si="7"/>
        <v>#REF!</v>
      </c>
      <c r="AA63" s="5" t="e">
        <f t="shared" si="8"/>
        <v>#REF!</v>
      </c>
      <c r="AB63" s="6" t="e">
        <f t="shared" si="9"/>
        <v>#REF!</v>
      </c>
      <c r="AC63" s="142" t="e">
        <f t="shared" si="10"/>
        <v>#REF!</v>
      </c>
      <c r="AD63" s="143" t="e">
        <f>[1]!Table2[[#This Row],[Base Rate ]]</f>
        <v>#REF!</v>
      </c>
      <c r="AE63" s="144" t="e">
        <f t="shared" si="11"/>
        <v>#REF!</v>
      </c>
      <c r="AG63" s="6" t="e">
        <f>[1]!Table2[[#This Row],[Total Due]]-AE63</f>
        <v>#REF!</v>
      </c>
    </row>
    <row r="64" spans="1:33">
      <c r="A64" s="1" t="s">
        <v>54</v>
      </c>
      <c r="B64" s="11"/>
      <c r="C64" s="11">
        <v>3340000</v>
      </c>
      <c r="D64" s="11">
        <v>3353000</v>
      </c>
      <c r="E64" s="11">
        <v>0</v>
      </c>
      <c r="F64" s="11">
        <f t="shared" si="0"/>
        <v>13000</v>
      </c>
      <c r="G64" s="17">
        <f t="shared" si="16"/>
        <v>40.090000000000003</v>
      </c>
      <c r="H64" s="17">
        <f t="shared" si="17"/>
        <v>6.5400000000000009</v>
      </c>
      <c r="I64" s="17">
        <f t="shared" si="18"/>
        <v>0</v>
      </c>
      <c r="J64" s="18">
        <f t="shared" si="19"/>
        <v>0</v>
      </c>
      <c r="K64" s="18">
        <f t="shared" si="20"/>
        <v>0</v>
      </c>
      <c r="L64" s="18">
        <f t="shared" si="1"/>
        <v>46.63</v>
      </c>
      <c r="M64" s="18">
        <f t="shared" si="22"/>
        <v>0</v>
      </c>
      <c r="N64" s="18">
        <f t="shared" si="2"/>
        <v>46.63</v>
      </c>
      <c r="O64" s="8"/>
      <c r="P64" s="137" t="e">
        <f>[1]!Table2[[#This Row],[Usage]]-30000</f>
        <v>#REF!</v>
      </c>
      <c r="Q64" s="1">
        <f t="shared" si="3"/>
        <v>13000</v>
      </c>
      <c r="R64" s="1" t="e">
        <f>IF([1]!Table2[[#This Row],[Usage above 30000]]&gt;0,[1]!Table2[[#This Row],[Usage above 30000]],0)</f>
        <v>#REF!</v>
      </c>
      <c r="S64" s="138" t="e">
        <f t="shared" si="4"/>
        <v>#REF!</v>
      </c>
      <c r="T64" s="138" t="e">
        <f t="shared" si="12"/>
        <v>#REF!</v>
      </c>
      <c r="U64" s="138" t="e">
        <f t="shared" si="13"/>
        <v>#REF!</v>
      </c>
      <c r="V64" s="138" t="e">
        <f t="shared" si="14"/>
        <v>#REF!</v>
      </c>
      <c r="W64" s="138" t="e">
        <f t="shared" si="15"/>
        <v>#REF!</v>
      </c>
      <c r="X64" s="5" t="e">
        <f t="shared" si="5"/>
        <v>#REF!</v>
      </c>
      <c r="Y64" s="5" t="e">
        <f t="shared" si="6"/>
        <v>#REF!</v>
      </c>
      <c r="Z64" s="5" t="e">
        <f t="shared" si="7"/>
        <v>#REF!</v>
      </c>
      <c r="AA64" s="5" t="e">
        <f t="shared" si="8"/>
        <v>#REF!</v>
      </c>
      <c r="AB64" s="6" t="e">
        <f t="shared" si="9"/>
        <v>#REF!</v>
      </c>
      <c r="AC64" s="142" t="e">
        <f t="shared" si="10"/>
        <v>#REF!</v>
      </c>
      <c r="AD64" s="143" t="e">
        <f>[1]!Table2[[#This Row],[Base Rate ]]</f>
        <v>#REF!</v>
      </c>
      <c r="AE64" s="144" t="e">
        <f t="shared" si="11"/>
        <v>#REF!</v>
      </c>
      <c r="AG64" s="6" t="e">
        <f>[1]!Table2[[#This Row],[Total Due]]-AE64</f>
        <v>#REF!</v>
      </c>
    </row>
    <row r="65" spans="1:33">
      <c r="A65" s="1" t="s">
        <v>55</v>
      </c>
      <c r="B65" s="11" t="s">
        <v>138</v>
      </c>
      <c r="C65" s="11">
        <v>0</v>
      </c>
      <c r="D65" s="11">
        <v>0</v>
      </c>
      <c r="E65" s="11">
        <v>0</v>
      </c>
      <c r="F65" s="11">
        <f t="shared" si="0"/>
        <v>0</v>
      </c>
      <c r="G65" s="17">
        <f t="shared" si="16"/>
        <v>11.79</v>
      </c>
      <c r="H65" s="17">
        <f t="shared" si="17"/>
        <v>0</v>
      </c>
      <c r="I65" s="17">
        <f t="shared" si="18"/>
        <v>0</v>
      </c>
      <c r="J65" s="18">
        <f t="shared" si="19"/>
        <v>0</v>
      </c>
      <c r="K65" s="18">
        <f t="shared" si="20"/>
        <v>0</v>
      </c>
      <c r="L65" s="18">
        <f t="shared" si="1"/>
        <v>11.79</v>
      </c>
      <c r="M65" s="18">
        <f t="shared" si="22"/>
        <v>0</v>
      </c>
      <c r="N65" s="18">
        <f t="shared" si="2"/>
        <v>11.79</v>
      </c>
      <c r="O65" s="8"/>
      <c r="P65" s="137" t="e">
        <f>[1]!Table2[[#This Row],[Usage]]-30000</f>
        <v>#REF!</v>
      </c>
      <c r="Q65" s="1">
        <f t="shared" si="3"/>
        <v>0</v>
      </c>
      <c r="R65" s="1" t="e">
        <f>IF([1]!Table2[[#This Row],[Usage above 30000]]&gt;0,[1]!Table2[[#This Row],[Usage above 30000]],0)</f>
        <v>#REF!</v>
      </c>
      <c r="S65" s="138" t="e">
        <f t="shared" si="4"/>
        <v>#REF!</v>
      </c>
      <c r="T65" s="138" t="e">
        <f t="shared" si="12"/>
        <v>#REF!</v>
      </c>
      <c r="U65" s="138" t="e">
        <f t="shared" si="13"/>
        <v>#REF!</v>
      </c>
      <c r="V65" s="138" t="e">
        <f t="shared" si="14"/>
        <v>#REF!</v>
      </c>
      <c r="W65" s="138" t="e">
        <f t="shared" si="15"/>
        <v>#REF!</v>
      </c>
      <c r="X65" s="5" t="e">
        <f t="shared" si="5"/>
        <v>#REF!</v>
      </c>
      <c r="Y65" s="5" t="e">
        <f t="shared" si="6"/>
        <v>#REF!</v>
      </c>
      <c r="Z65" s="5" t="e">
        <f t="shared" si="7"/>
        <v>#REF!</v>
      </c>
      <c r="AA65" s="5" t="e">
        <f t="shared" si="8"/>
        <v>#REF!</v>
      </c>
      <c r="AB65" s="6" t="e">
        <f t="shared" si="9"/>
        <v>#REF!</v>
      </c>
      <c r="AC65" s="142" t="e">
        <f t="shared" si="10"/>
        <v>#REF!</v>
      </c>
      <c r="AD65" s="143" t="e">
        <f>[1]!Table2[[#This Row],[Base Rate ]]</f>
        <v>#REF!</v>
      </c>
      <c r="AE65" s="144" t="e">
        <f t="shared" si="11"/>
        <v>#REF!</v>
      </c>
      <c r="AG65" s="6" t="e">
        <f>[1]!Table2[[#This Row],[Total Due]]-AE65</f>
        <v>#REF!</v>
      </c>
    </row>
    <row r="66" spans="1:33">
      <c r="A66" s="1" t="s">
        <v>56</v>
      </c>
      <c r="B66" s="11"/>
      <c r="C66" s="11">
        <v>1518000</v>
      </c>
      <c r="D66" s="11">
        <v>1534000</v>
      </c>
      <c r="E66" s="11">
        <v>0</v>
      </c>
      <c r="F66" s="11">
        <f t="shared" si="0"/>
        <v>16000</v>
      </c>
      <c r="G66" s="17">
        <f t="shared" si="16"/>
        <v>40.090000000000003</v>
      </c>
      <c r="H66" s="17">
        <f t="shared" si="17"/>
        <v>13.080000000000002</v>
      </c>
      <c r="I66" s="17">
        <f t="shared" si="18"/>
        <v>0</v>
      </c>
      <c r="J66" s="18">
        <f t="shared" si="19"/>
        <v>0</v>
      </c>
      <c r="K66" s="18">
        <f t="shared" si="20"/>
        <v>0</v>
      </c>
      <c r="L66" s="18">
        <f t="shared" si="1"/>
        <v>53.17</v>
      </c>
      <c r="M66" s="18">
        <f t="shared" si="22"/>
        <v>0</v>
      </c>
      <c r="N66" s="18">
        <f t="shared" si="2"/>
        <v>53.17</v>
      </c>
      <c r="O66" s="8"/>
      <c r="P66" s="137" t="e">
        <f>[1]!Table2[[#This Row],[Usage]]-30000</f>
        <v>#REF!</v>
      </c>
      <c r="Q66" s="1">
        <f t="shared" si="3"/>
        <v>16000</v>
      </c>
      <c r="R66" s="1" t="e">
        <f>IF([1]!Table2[[#This Row],[Usage above 30000]]&gt;0,[1]!Table2[[#This Row],[Usage above 30000]],0)</f>
        <v>#REF!</v>
      </c>
      <c r="S66" s="138" t="e">
        <f t="shared" si="4"/>
        <v>#REF!</v>
      </c>
      <c r="T66" s="138" t="e">
        <f t="shared" si="12"/>
        <v>#REF!</v>
      </c>
      <c r="U66" s="138" t="e">
        <f t="shared" si="13"/>
        <v>#REF!</v>
      </c>
      <c r="V66" s="138" t="e">
        <f t="shared" si="14"/>
        <v>#REF!</v>
      </c>
      <c r="W66" s="138" t="e">
        <f t="shared" si="15"/>
        <v>#REF!</v>
      </c>
      <c r="X66" s="5" t="e">
        <f t="shared" si="5"/>
        <v>#REF!</v>
      </c>
      <c r="Y66" s="5" t="e">
        <f t="shared" si="6"/>
        <v>#REF!</v>
      </c>
      <c r="Z66" s="5" t="e">
        <f t="shared" si="7"/>
        <v>#REF!</v>
      </c>
      <c r="AA66" s="5" t="e">
        <f t="shared" si="8"/>
        <v>#REF!</v>
      </c>
      <c r="AB66" s="6" t="e">
        <f t="shared" si="9"/>
        <v>#REF!</v>
      </c>
      <c r="AC66" s="142" t="e">
        <f t="shared" si="10"/>
        <v>#REF!</v>
      </c>
      <c r="AD66" s="143" t="e">
        <f>[1]!Table2[[#This Row],[Base Rate ]]</f>
        <v>#REF!</v>
      </c>
      <c r="AE66" s="144" t="e">
        <f t="shared" si="11"/>
        <v>#REF!</v>
      </c>
      <c r="AG66" s="6" t="e">
        <f>[1]!Table2[[#This Row],[Total Due]]-AE66</f>
        <v>#REF!</v>
      </c>
    </row>
    <row r="67" spans="1:33">
      <c r="A67" s="1" t="s">
        <v>57</v>
      </c>
      <c r="B67" s="11"/>
      <c r="C67" s="11">
        <v>1616000</v>
      </c>
      <c r="D67" s="11">
        <v>1617000</v>
      </c>
      <c r="E67" s="11">
        <v>0</v>
      </c>
      <c r="F67" s="11">
        <f t="shared" si="0"/>
        <v>1000</v>
      </c>
      <c r="G67" s="17">
        <f t="shared" si="16"/>
        <v>40.090000000000003</v>
      </c>
      <c r="H67" s="17">
        <f t="shared" si="17"/>
        <v>0</v>
      </c>
      <c r="I67" s="17">
        <f t="shared" si="18"/>
        <v>0</v>
      </c>
      <c r="J67" s="18">
        <f t="shared" si="19"/>
        <v>0</v>
      </c>
      <c r="K67" s="18">
        <f t="shared" si="20"/>
        <v>0</v>
      </c>
      <c r="L67" s="18">
        <f t="shared" si="1"/>
        <v>40.090000000000003</v>
      </c>
      <c r="M67" s="18">
        <f t="shared" si="22"/>
        <v>0</v>
      </c>
      <c r="N67" s="18">
        <f t="shared" si="2"/>
        <v>40.090000000000003</v>
      </c>
      <c r="O67" s="8"/>
      <c r="P67" s="137" t="e">
        <f>[1]!Table2[[#This Row],[Usage]]-30000</f>
        <v>#REF!</v>
      </c>
      <c r="Q67" s="1">
        <f t="shared" si="3"/>
        <v>1000</v>
      </c>
      <c r="R67" s="1" t="e">
        <f>IF([1]!Table2[[#This Row],[Usage above 30000]]&gt;0,[1]!Table2[[#This Row],[Usage above 30000]],0)</f>
        <v>#REF!</v>
      </c>
      <c r="S67" s="138" t="e">
        <f t="shared" si="4"/>
        <v>#REF!</v>
      </c>
      <c r="T67" s="138" t="e">
        <f t="shared" si="12"/>
        <v>#REF!</v>
      </c>
      <c r="U67" s="138" t="e">
        <f t="shared" si="13"/>
        <v>#REF!</v>
      </c>
      <c r="V67" s="138" t="e">
        <f t="shared" si="14"/>
        <v>#REF!</v>
      </c>
      <c r="W67" s="138" t="e">
        <f t="shared" si="15"/>
        <v>#REF!</v>
      </c>
      <c r="X67" s="5" t="e">
        <f t="shared" si="5"/>
        <v>#REF!</v>
      </c>
      <c r="Y67" s="5" t="e">
        <f t="shared" si="6"/>
        <v>#REF!</v>
      </c>
      <c r="Z67" s="5" t="e">
        <f t="shared" si="7"/>
        <v>#REF!</v>
      </c>
      <c r="AA67" s="5" t="e">
        <f t="shared" si="8"/>
        <v>#REF!</v>
      </c>
      <c r="AB67" s="6" t="e">
        <f t="shared" si="9"/>
        <v>#REF!</v>
      </c>
      <c r="AC67" s="142" t="e">
        <f t="shared" si="10"/>
        <v>#REF!</v>
      </c>
      <c r="AD67" s="143" t="e">
        <f>[1]!Table2[[#This Row],[Base Rate ]]</f>
        <v>#REF!</v>
      </c>
      <c r="AE67" s="144" t="e">
        <f t="shared" si="11"/>
        <v>#REF!</v>
      </c>
      <c r="AG67" s="6" t="e">
        <f>[1]!Table2[[#This Row],[Total Due]]-AE67</f>
        <v>#REF!</v>
      </c>
    </row>
    <row r="68" spans="1:33">
      <c r="A68" s="1" t="s">
        <v>58</v>
      </c>
      <c r="B68" s="11" t="s">
        <v>138</v>
      </c>
      <c r="C68" s="11">
        <v>0</v>
      </c>
      <c r="D68" s="11">
        <v>0</v>
      </c>
      <c r="E68" s="11">
        <v>0</v>
      </c>
      <c r="F68" s="11">
        <f t="shared" si="0"/>
        <v>0</v>
      </c>
      <c r="G68" s="17">
        <f t="shared" si="16"/>
        <v>11.79</v>
      </c>
      <c r="H68" s="17">
        <f t="shared" si="17"/>
        <v>0</v>
      </c>
      <c r="I68" s="17">
        <f t="shared" si="18"/>
        <v>0</v>
      </c>
      <c r="J68" s="18">
        <f t="shared" si="19"/>
        <v>0</v>
      </c>
      <c r="K68" s="18">
        <f t="shared" si="20"/>
        <v>0</v>
      </c>
      <c r="L68" s="18">
        <f t="shared" si="1"/>
        <v>11.79</v>
      </c>
      <c r="M68" s="18">
        <f t="shared" si="22"/>
        <v>0</v>
      </c>
      <c r="N68" s="18">
        <f t="shared" si="2"/>
        <v>11.79</v>
      </c>
      <c r="O68" s="8"/>
      <c r="P68" s="137" t="e">
        <f>[1]!Table2[[#This Row],[Usage]]-30000</f>
        <v>#REF!</v>
      </c>
      <c r="Q68" s="1">
        <f t="shared" si="3"/>
        <v>0</v>
      </c>
      <c r="R68" s="1" t="e">
        <f>IF([1]!Table2[[#This Row],[Usage above 30000]]&gt;0,[1]!Table2[[#This Row],[Usage above 30000]],0)</f>
        <v>#REF!</v>
      </c>
      <c r="S68" s="138" t="e">
        <f t="shared" si="4"/>
        <v>#REF!</v>
      </c>
      <c r="T68" s="138" t="e">
        <f t="shared" si="12"/>
        <v>#REF!</v>
      </c>
      <c r="U68" s="138" t="e">
        <f t="shared" si="13"/>
        <v>#REF!</v>
      </c>
      <c r="V68" s="138" t="e">
        <f t="shared" si="14"/>
        <v>#REF!</v>
      </c>
      <c r="W68" s="138" t="e">
        <f t="shared" si="15"/>
        <v>#REF!</v>
      </c>
      <c r="X68" s="5" t="e">
        <f t="shared" si="5"/>
        <v>#REF!</v>
      </c>
      <c r="Y68" s="5" t="e">
        <f t="shared" si="6"/>
        <v>#REF!</v>
      </c>
      <c r="Z68" s="5" t="e">
        <f t="shared" si="7"/>
        <v>#REF!</v>
      </c>
      <c r="AA68" s="5" t="e">
        <f t="shared" si="8"/>
        <v>#REF!</v>
      </c>
      <c r="AB68" s="6" t="e">
        <f t="shared" si="9"/>
        <v>#REF!</v>
      </c>
      <c r="AC68" s="142" t="e">
        <f t="shared" si="10"/>
        <v>#REF!</v>
      </c>
      <c r="AD68" s="143" t="e">
        <f>[1]!Table2[[#This Row],[Base Rate ]]</f>
        <v>#REF!</v>
      </c>
      <c r="AE68" s="144" t="e">
        <f t="shared" si="11"/>
        <v>#REF!</v>
      </c>
      <c r="AG68" s="6" t="e">
        <f>[1]!Table2[[#This Row],[Total Due]]-AE68</f>
        <v>#REF!</v>
      </c>
    </row>
    <row r="69" spans="1:33">
      <c r="A69" s="1" t="s">
        <v>59</v>
      </c>
      <c r="B69" s="11" t="s">
        <v>138</v>
      </c>
      <c r="C69" s="11">
        <v>0</v>
      </c>
      <c r="D69" s="11">
        <v>0</v>
      </c>
      <c r="E69" s="11">
        <v>0</v>
      </c>
      <c r="F69" s="11">
        <f t="shared" si="0"/>
        <v>0</v>
      </c>
      <c r="G69" s="17">
        <f t="shared" si="16"/>
        <v>11.79</v>
      </c>
      <c r="H69" s="17">
        <f t="shared" si="17"/>
        <v>0</v>
      </c>
      <c r="I69" s="17">
        <f t="shared" si="18"/>
        <v>0</v>
      </c>
      <c r="J69" s="18">
        <f t="shared" si="19"/>
        <v>0</v>
      </c>
      <c r="K69" s="18">
        <f t="shared" si="20"/>
        <v>0</v>
      </c>
      <c r="L69" s="18">
        <f t="shared" si="1"/>
        <v>11.79</v>
      </c>
      <c r="M69" s="18">
        <f t="shared" si="22"/>
        <v>0</v>
      </c>
      <c r="N69" s="18">
        <f t="shared" si="2"/>
        <v>11.79</v>
      </c>
      <c r="O69" s="8"/>
      <c r="P69" s="137" t="e">
        <f>[1]!Table2[[#This Row],[Usage]]-30000</f>
        <v>#REF!</v>
      </c>
      <c r="Q69" s="1">
        <f t="shared" si="3"/>
        <v>0</v>
      </c>
      <c r="R69" s="1" t="e">
        <f>IF([1]!Table2[[#This Row],[Usage above 30000]]&gt;0,[1]!Table2[[#This Row],[Usage above 30000]],0)</f>
        <v>#REF!</v>
      </c>
      <c r="S69" s="138" t="e">
        <f t="shared" si="4"/>
        <v>#REF!</v>
      </c>
      <c r="T69" s="138" t="e">
        <f t="shared" si="12"/>
        <v>#REF!</v>
      </c>
      <c r="U69" s="138" t="e">
        <f t="shared" si="13"/>
        <v>#REF!</v>
      </c>
      <c r="V69" s="138" t="e">
        <f t="shared" si="14"/>
        <v>#REF!</v>
      </c>
      <c r="W69" s="138" t="e">
        <f t="shared" si="15"/>
        <v>#REF!</v>
      </c>
      <c r="X69" s="5" t="e">
        <f t="shared" si="5"/>
        <v>#REF!</v>
      </c>
      <c r="Y69" s="5" t="e">
        <f t="shared" si="6"/>
        <v>#REF!</v>
      </c>
      <c r="Z69" s="5" t="e">
        <f t="shared" si="7"/>
        <v>#REF!</v>
      </c>
      <c r="AA69" s="5" t="e">
        <f t="shared" si="8"/>
        <v>#REF!</v>
      </c>
      <c r="AB69" s="6" t="e">
        <f t="shared" si="9"/>
        <v>#REF!</v>
      </c>
      <c r="AC69" s="142" t="e">
        <f t="shared" si="10"/>
        <v>#REF!</v>
      </c>
      <c r="AD69" s="143" t="e">
        <f>[1]!Table2[[#This Row],[Base Rate ]]</f>
        <v>#REF!</v>
      </c>
      <c r="AE69" s="144" t="e">
        <f t="shared" si="11"/>
        <v>#REF!</v>
      </c>
      <c r="AG69" s="6" t="e">
        <f>[1]!Table2[[#This Row],[Total Due]]-AE69</f>
        <v>#REF!</v>
      </c>
    </row>
    <row r="70" spans="1:33">
      <c r="A70" s="1" t="s">
        <v>60</v>
      </c>
      <c r="B70" s="11" t="s">
        <v>138</v>
      </c>
      <c r="C70" s="11">
        <v>0</v>
      </c>
      <c r="D70" s="11">
        <v>0</v>
      </c>
      <c r="E70" s="11">
        <v>0</v>
      </c>
      <c r="F70" s="11">
        <f t="shared" si="0"/>
        <v>0</v>
      </c>
      <c r="G70" s="17">
        <f t="shared" si="16"/>
        <v>11.79</v>
      </c>
      <c r="H70" s="17">
        <f t="shared" si="17"/>
        <v>0</v>
      </c>
      <c r="I70" s="17">
        <f t="shared" si="18"/>
        <v>0</v>
      </c>
      <c r="J70" s="18">
        <f t="shared" si="19"/>
        <v>0</v>
      </c>
      <c r="K70" s="18">
        <f t="shared" si="20"/>
        <v>0</v>
      </c>
      <c r="L70" s="18">
        <f t="shared" si="1"/>
        <v>11.79</v>
      </c>
      <c r="M70" s="18">
        <f t="shared" si="22"/>
        <v>0</v>
      </c>
      <c r="N70" s="18">
        <f t="shared" si="2"/>
        <v>11.79</v>
      </c>
      <c r="O70" s="8"/>
      <c r="P70" s="137" t="e">
        <f>[1]!Table2[[#This Row],[Usage]]-30000</f>
        <v>#REF!</v>
      </c>
      <c r="Q70" s="1">
        <f t="shared" si="3"/>
        <v>0</v>
      </c>
      <c r="R70" s="1" t="e">
        <f>IF([1]!Table2[[#This Row],[Usage above 30000]]&gt;0,[1]!Table2[[#This Row],[Usage above 30000]],0)</f>
        <v>#REF!</v>
      </c>
      <c r="S70" s="138" t="e">
        <f t="shared" si="4"/>
        <v>#REF!</v>
      </c>
      <c r="T70" s="138" t="e">
        <f t="shared" si="12"/>
        <v>#REF!</v>
      </c>
      <c r="U70" s="138" t="e">
        <f t="shared" si="13"/>
        <v>#REF!</v>
      </c>
      <c r="V70" s="138" t="e">
        <f t="shared" si="14"/>
        <v>#REF!</v>
      </c>
      <c r="W70" s="138" t="e">
        <f t="shared" si="15"/>
        <v>#REF!</v>
      </c>
      <c r="X70" s="5" t="e">
        <f t="shared" si="5"/>
        <v>#REF!</v>
      </c>
      <c r="Y70" s="5" t="e">
        <f t="shared" si="6"/>
        <v>#REF!</v>
      </c>
      <c r="Z70" s="5" t="e">
        <f t="shared" si="7"/>
        <v>#REF!</v>
      </c>
      <c r="AA70" s="5" t="e">
        <f t="shared" si="8"/>
        <v>#REF!</v>
      </c>
      <c r="AB70" s="6" t="e">
        <f t="shared" si="9"/>
        <v>#REF!</v>
      </c>
      <c r="AC70" s="142" t="e">
        <f t="shared" si="10"/>
        <v>#REF!</v>
      </c>
      <c r="AD70" s="143" t="e">
        <f>[1]!Table2[[#This Row],[Base Rate ]]</f>
        <v>#REF!</v>
      </c>
      <c r="AE70" s="144" t="e">
        <f t="shared" si="11"/>
        <v>#REF!</v>
      </c>
      <c r="AG70" s="6" t="e">
        <f>[1]!Table2[[#This Row],[Total Due]]-AE70</f>
        <v>#REF!</v>
      </c>
    </row>
    <row r="71" spans="1:33">
      <c r="A71" s="1" t="s">
        <v>61</v>
      </c>
      <c r="B71" s="11"/>
      <c r="C71" s="11">
        <v>1347000</v>
      </c>
      <c r="D71" s="11">
        <v>1361000</v>
      </c>
      <c r="E71" s="11">
        <v>0</v>
      </c>
      <c r="F71" s="11">
        <f t="shared" si="0"/>
        <v>14000</v>
      </c>
      <c r="G71" s="17">
        <f t="shared" si="16"/>
        <v>40.090000000000003</v>
      </c>
      <c r="H71" s="17">
        <f t="shared" si="17"/>
        <v>8.7200000000000006</v>
      </c>
      <c r="I71" s="17">
        <f t="shared" si="18"/>
        <v>0</v>
      </c>
      <c r="J71" s="18">
        <f t="shared" si="19"/>
        <v>0</v>
      </c>
      <c r="K71" s="18">
        <f t="shared" si="20"/>
        <v>0</v>
      </c>
      <c r="L71" s="18">
        <f t="shared" si="1"/>
        <v>48.81</v>
      </c>
      <c r="M71" s="18">
        <f t="shared" si="22"/>
        <v>0</v>
      </c>
      <c r="N71" s="18">
        <f t="shared" si="2"/>
        <v>48.81</v>
      </c>
      <c r="O71" s="8"/>
      <c r="P71" s="137" t="e">
        <f>[1]!Table2[[#This Row],[Usage]]-30000</f>
        <v>#REF!</v>
      </c>
      <c r="Q71" s="1">
        <f t="shared" si="3"/>
        <v>14000</v>
      </c>
      <c r="R71" s="1" t="e">
        <f>IF([1]!Table2[[#This Row],[Usage above 30000]]&gt;0,[1]!Table2[[#This Row],[Usage above 30000]],0)</f>
        <v>#REF!</v>
      </c>
      <c r="S71" s="138" t="e">
        <f t="shared" si="4"/>
        <v>#REF!</v>
      </c>
      <c r="T71" s="138" t="e">
        <f t="shared" si="12"/>
        <v>#REF!</v>
      </c>
      <c r="U71" s="138" t="e">
        <f t="shared" si="13"/>
        <v>#REF!</v>
      </c>
      <c r="V71" s="138" t="e">
        <f t="shared" si="14"/>
        <v>#REF!</v>
      </c>
      <c r="W71" s="138" t="e">
        <f t="shared" si="15"/>
        <v>#REF!</v>
      </c>
      <c r="X71" s="5" t="e">
        <f t="shared" si="5"/>
        <v>#REF!</v>
      </c>
      <c r="Y71" s="5" t="e">
        <f t="shared" si="6"/>
        <v>#REF!</v>
      </c>
      <c r="Z71" s="5" t="e">
        <f t="shared" si="7"/>
        <v>#REF!</v>
      </c>
      <c r="AA71" s="5" t="e">
        <f t="shared" si="8"/>
        <v>#REF!</v>
      </c>
      <c r="AB71" s="6" t="e">
        <f t="shared" si="9"/>
        <v>#REF!</v>
      </c>
      <c r="AC71" s="142" t="e">
        <f t="shared" si="10"/>
        <v>#REF!</v>
      </c>
      <c r="AD71" s="143" t="e">
        <f>[1]!Table2[[#This Row],[Base Rate ]]</f>
        <v>#REF!</v>
      </c>
      <c r="AE71" s="144" t="e">
        <f t="shared" si="11"/>
        <v>#REF!</v>
      </c>
      <c r="AG71" s="6" t="e">
        <f>[1]!Table2[[#This Row],[Total Due]]-AE71</f>
        <v>#REF!</v>
      </c>
    </row>
    <row r="72" spans="1:33">
      <c r="A72" s="1" t="s">
        <v>62</v>
      </c>
      <c r="B72" s="11"/>
      <c r="C72" s="11">
        <v>1909000</v>
      </c>
      <c r="D72" s="11">
        <v>1921000</v>
      </c>
      <c r="E72" s="11">
        <v>0</v>
      </c>
      <c r="F72" s="11">
        <f t="shared" si="0"/>
        <v>12000</v>
      </c>
      <c r="G72" s="17">
        <f t="shared" si="16"/>
        <v>40.090000000000003</v>
      </c>
      <c r="H72" s="17">
        <f t="shared" si="17"/>
        <v>4.3600000000000003</v>
      </c>
      <c r="I72" s="17">
        <f t="shared" si="18"/>
        <v>0</v>
      </c>
      <c r="J72" s="18">
        <f t="shared" si="19"/>
        <v>0</v>
      </c>
      <c r="K72" s="18">
        <f t="shared" si="20"/>
        <v>0</v>
      </c>
      <c r="L72" s="18">
        <f t="shared" si="1"/>
        <v>44.45</v>
      </c>
      <c r="M72" s="18">
        <f t="shared" si="22"/>
        <v>0</v>
      </c>
      <c r="N72" s="18">
        <f t="shared" si="2"/>
        <v>44.45</v>
      </c>
      <c r="O72" s="8"/>
      <c r="P72" s="137" t="e">
        <f>[1]!Table2[[#This Row],[Usage]]-30000</f>
        <v>#REF!</v>
      </c>
      <c r="Q72" s="1">
        <f t="shared" si="3"/>
        <v>12000</v>
      </c>
      <c r="R72" s="1" t="e">
        <f>IF([1]!Table2[[#This Row],[Usage above 30000]]&gt;0,[1]!Table2[[#This Row],[Usage above 30000]],0)</f>
        <v>#REF!</v>
      </c>
      <c r="S72" s="138" t="e">
        <f t="shared" si="4"/>
        <v>#REF!</v>
      </c>
      <c r="T72" s="138" t="e">
        <f t="shared" si="12"/>
        <v>#REF!</v>
      </c>
      <c r="U72" s="138" t="e">
        <f t="shared" si="13"/>
        <v>#REF!</v>
      </c>
      <c r="V72" s="138" t="e">
        <f t="shared" si="14"/>
        <v>#REF!</v>
      </c>
      <c r="W72" s="138" t="e">
        <f t="shared" si="15"/>
        <v>#REF!</v>
      </c>
      <c r="X72" s="5" t="e">
        <f t="shared" si="5"/>
        <v>#REF!</v>
      </c>
      <c r="Y72" s="5" t="e">
        <f t="shared" si="6"/>
        <v>#REF!</v>
      </c>
      <c r="Z72" s="5" t="e">
        <f t="shared" si="7"/>
        <v>#REF!</v>
      </c>
      <c r="AA72" s="5" t="e">
        <f t="shared" si="8"/>
        <v>#REF!</v>
      </c>
      <c r="AB72" s="6" t="e">
        <f t="shared" si="9"/>
        <v>#REF!</v>
      </c>
      <c r="AC72" s="142" t="e">
        <f t="shared" si="10"/>
        <v>#REF!</v>
      </c>
      <c r="AD72" s="143" t="e">
        <f>[1]!Table2[[#This Row],[Base Rate ]]</f>
        <v>#REF!</v>
      </c>
      <c r="AE72" s="144" t="e">
        <f t="shared" si="11"/>
        <v>#REF!</v>
      </c>
      <c r="AG72" s="6" t="e">
        <f>[1]!Table2[[#This Row],[Total Due]]-AE72</f>
        <v>#REF!</v>
      </c>
    </row>
    <row r="73" spans="1:33">
      <c r="A73" s="1" t="s">
        <v>63</v>
      </c>
      <c r="B73" s="11" t="s">
        <v>138</v>
      </c>
      <c r="C73" s="11">
        <v>0</v>
      </c>
      <c r="D73" s="11">
        <v>0</v>
      </c>
      <c r="E73" s="11">
        <v>0</v>
      </c>
      <c r="F73" s="11">
        <f t="shared" si="0"/>
        <v>0</v>
      </c>
      <c r="G73" s="17">
        <f t="shared" si="16"/>
        <v>11.79</v>
      </c>
      <c r="H73" s="17">
        <f t="shared" si="17"/>
        <v>0</v>
      </c>
      <c r="I73" s="17">
        <f t="shared" si="18"/>
        <v>0</v>
      </c>
      <c r="J73" s="18">
        <f t="shared" si="19"/>
        <v>0</v>
      </c>
      <c r="K73" s="18">
        <f t="shared" si="20"/>
        <v>0</v>
      </c>
      <c r="L73" s="18">
        <f t="shared" si="1"/>
        <v>11.79</v>
      </c>
      <c r="M73" s="18">
        <f t="shared" si="22"/>
        <v>0</v>
      </c>
      <c r="N73" s="18">
        <f t="shared" si="2"/>
        <v>11.79</v>
      </c>
      <c r="O73" s="8"/>
      <c r="P73" s="137" t="e">
        <f>[1]!Table2[[#This Row],[Usage]]-30000</f>
        <v>#REF!</v>
      </c>
      <c r="Q73" s="1">
        <f t="shared" si="3"/>
        <v>0</v>
      </c>
      <c r="R73" s="1" t="e">
        <f>IF([1]!Table2[[#This Row],[Usage above 30000]]&gt;0,[1]!Table2[[#This Row],[Usage above 30000]],0)</f>
        <v>#REF!</v>
      </c>
      <c r="S73" s="138" t="e">
        <f t="shared" si="4"/>
        <v>#REF!</v>
      </c>
      <c r="T73" s="138" t="e">
        <f t="shared" si="12"/>
        <v>#REF!</v>
      </c>
      <c r="U73" s="138" t="e">
        <f t="shared" si="13"/>
        <v>#REF!</v>
      </c>
      <c r="V73" s="138" t="e">
        <f t="shared" si="14"/>
        <v>#REF!</v>
      </c>
      <c r="W73" s="138" t="e">
        <f t="shared" si="15"/>
        <v>#REF!</v>
      </c>
      <c r="X73" s="5" t="e">
        <f t="shared" si="5"/>
        <v>#REF!</v>
      </c>
      <c r="Y73" s="5" t="e">
        <f t="shared" si="6"/>
        <v>#REF!</v>
      </c>
      <c r="Z73" s="5" t="e">
        <f t="shared" si="7"/>
        <v>#REF!</v>
      </c>
      <c r="AA73" s="5" t="e">
        <f t="shared" si="8"/>
        <v>#REF!</v>
      </c>
      <c r="AB73" s="6" t="e">
        <f t="shared" si="9"/>
        <v>#REF!</v>
      </c>
      <c r="AC73" s="142" t="e">
        <f t="shared" si="10"/>
        <v>#REF!</v>
      </c>
      <c r="AD73" s="143" t="e">
        <f>[1]!Table2[[#This Row],[Base Rate ]]</f>
        <v>#REF!</v>
      </c>
      <c r="AE73" s="144" t="e">
        <f t="shared" si="11"/>
        <v>#REF!</v>
      </c>
      <c r="AG73" s="6" t="e">
        <f>[1]!Table2[[#This Row],[Total Due]]-AE73</f>
        <v>#REF!</v>
      </c>
    </row>
    <row r="74" spans="1:33">
      <c r="A74" s="1" t="s">
        <v>64</v>
      </c>
      <c r="B74" s="11"/>
      <c r="C74" s="11">
        <v>4919000</v>
      </c>
      <c r="D74" s="11">
        <v>4930000</v>
      </c>
      <c r="E74" s="11">
        <v>0</v>
      </c>
      <c r="F74" s="11">
        <f t="shared" si="0"/>
        <v>11000</v>
      </c>
      <c r="G74" s="17">
        <f t="shared" si="16"/>
        <v>40.090000000000003</v>
      </c>
      <c r="H74" s="17">
        <f t="shared" si="17"/>
        <v>2.1800000000000002</v>
      </c>
      <c r="I74" s="17">
        <f t="shared" si="18"/>
        <v>0</v>
      </c>
      <c r="J74" s="18">
        <f t="shared" si="19"/>
        <v>0</v>
      </c>
      <c r="K74" s="18">
        <f t="shared" si="20"/>
        <v>0</v>
      </c>
      <c r="L74" s="18">
        <f t="shared" si="1"/>
        <v>42.27</v>
      </c>
      <c r="M74" s="18">
        <f t="shared" si="22"/>
        <v>0</v>
      </c>
      <c r="N74" s="18">
        <f t="shared" si="2"/>
        <v>42.27</v>
      </c>
      <c r="O74" s="8"/>
      <c r="P74" s="137" t="e">
        <f>[1]!Table2[[#This Row],[Usage]]-30000</f>
        <v>#REF!</v>
      </c>
      <c r="Q74" s="1">
        <f t="shared" si="3"/>
        <v>11000</v>
      </c>
      <c r="R74" s="1" t="e">
        <f>IF([1]!Table2[[#This Row],[Usage above 30000]]&gt;0,[1]!Table2[[#This Row],[Usage above 30000]],0)</f>
        <v>#REF!</v>
      </c>
      <c r="S74" s="138" t="e">
        <f t="shared" si="4"/>
        <v>#REF!</v>
      </c>
      <c r="T74" s="138" t="e">
        <f t="shared" si="12"/>
        <v>#REF!</v>
      </c>
      <c r="U74" s="138" t="e">
        <f t="shared" si="13"/>
        <v>#REF!</v>
      </c>
      <c r="V74" s="138" t="e">
        <f t="shared" si="14"/>
        <v>#REF!</v>
      </c>
      <c r="W74" s="138" t="e">
        <f t="shared" si="15"/>
        <v>#REF!</v>
      </c>
      <c r="X74" s="5" t="e">
        <f t="shared" si="5"/>
        <v>#REF!</v>
      </c>
      <c r="Y74" s="5" t="e">
        <f t="shared" si="6"/>
        <v>#REF!</v>
      </c>
      <c r="Z74" s="5" t="e">
        <f t="shared" si="7"/>
        <v>#REF!</v>
      </c>
      <c r="AA74" s="5" t="e">
        <f t="shared" si="8"/>
        <v>#REF!</v>
      </c>
      <c r="AB74" s="6" t="e">
        <f t="shared" si="9"/>
        <v>#REF!</v>
      </c>
      <c r="AC74" s="142" t="e">
        <f t="shared" si="10"/>
        <v>#REF!</v>
      </c>
      <c r="AD74" s="143" t="e">
        <f>[1]!Table2[[#This Row],[Base Rate ]]</f>
        <v>#REF!</v>
      </c>
      <c r="AE74" s="144" t="e">
        <f t="shared" si="11"/>
        <v>#REF!</v>
      </c>
      <c r="AG74" s="6" t="e">
        <f>[1]!Table2[[#This Row],[Total Due]]-AE74</f>
        <v>#REF!</v>
      </c>
    </row>
    <row r="75" spans="1:33">
      <c r="A75" s="1" t="s">
        <v>65</v>
      </c>
      <c r="B75" s="11"/>
      <c r="C75" s="11">
        <v>6644000</v>
      </c>
      <c r="D75" s="11">
        <v>6647000</v>
      </c>
      <c r="E75" s="11">
        <v>0</v>
      </c>
      <c r="F75" s="11">
        <f t="shared" ref="F75:F136" si="23">($D75-$C75)+$E75</f>
        <v>3000</v>
      </c>
      <c r="G75" s="17">
        <f t="shared" si="16"/>
        <v>40.090000000000003</v>
      </c>
      <c r="H75" s="17">
        <f t="shared" si="17"/>
        <v>0</v>
      </c>
      <c r="I75" s="17">
        <f t="shared" si="18"/>
        <v>0</v>
      </c>
      <c r="J75" s="18">
        <f t="shared" si="19"/>
        <v>0</v>
      </c>
      <c r="K75" s="18">
        <f t="shared" si="20"/>
        <v>0</v>
      </c>
      <c r="L75" s="18">
        <f t="shared" si="1"/>
        <v>40.090000000000003</v>
      </c>
      <c r="M75" s="18">
        <f t="shared" si="22"/>
        <v>0</v>
      </c>
      <c r="N75" s="18">
        <f t="shared" si="2"/>
        <v>40.090000000000003</v>
      </c>
      <c r="O75" s="8"/>
      <c r="P75" s="137" t="e">
        <f>[1]!Table2[[#This Row],[Usage]]-30000</f>
        <v>#REF!</v>
      </c>
      <c r="Q75" s="1">
        <f t="shared" si="3"/>
        <v>3000</v>
      </c>
      <c r="R75" s="1" t="e">
        <f>IF([1]!Table2[[#This Row],[Usage above 30000]]&gt;0,[1]!Table2[[#This Row],[Usage above 30000]],0)</f>
        <v>#REF!</v>
      </c>
      <c r="S75" s="138" t="e">
        <f t="shared" si="4"/>
        <v>#REF!</v>
      </c>
      <c r="T75" s="138" t="e">
        <f t="shared" si="12"/>
        <v>#REF!</v>
      </c>
      <c r="U75" s="138" t="e">
        <f t="shared" si="13"/>
        <v>#REF!</v>
      </c>
      <c r="V75" s="138" t="e">
        <f t="shared" si="14"/>
        <v>#REF!</v>
      </c>
      <c r="W75" s="138" t="e">
        <f t="shared" si="15"/>
        <v>#REF!</v>
      </c>
      <c r="X75" s="5" t="e">
        <f t="shared" si="5"/>
        <v>#REF!</v>
      </c>
      <c r="Y75" s="5" t="e">
        <f t="shared" si="6"/>
        <v>#REF!</v>
      </c>
      <c r="Z75" s="5" t="e">
        <f t="shared" si="7"/>
        <v>#REF!</v>
      </c>
      <c r="AA75" s="5" t="e">
        <f t="shared" si="8"/>
        <v>#REF!</v>
      </c>
      <c r="AB75" s="6" t="e">
        <f t="shared" si="9"/>
        <v>#REF!</v>
      </c>
      <c r="AC75" s="142" t="e">
        <f t="shared" si="10"/>
        <v>#REF!</v>
      </c>
      <c r="AD75" s="143" t="e">
        <f>[1]!Table2[[#This Row],[Base Rate ]]</f>
        <v>#REF!</v>
      </c>
      <c r="AE75" s="144" t="e">
        <f t="shared" si="11"/>
        <v>#REF!</v>
      </c>
      <c r="AG75" s="6" t="e">
        <f>[1]!Table2[[#This Row],[Total Due]]-AE75</f>
        <v>#REF!</v>
      </c>
    </row>
    <row r="76" spans="1:33">
      <c r="A76" s="1" t="s">
        <v>66</v>
      </c>
      <c r="B76" s="11"/>
      <c r="C76" s="11">
        <v>9231000</v>
      </c>
      <c r="D76" s="11">
        <v>9241000</v>
      </c>
      <c r="E76" s="11">
        <v>0</v>
      </c>
      <c r="F76" s="11">
        <f t="shared" si="23"/>
        <v>10000</v>
      </c>
      <c r="G76" s="17">
        <f t="shared" si="16"/>
        <v>40.090000000000003</v>
      </c>
      <c r="H76" s="17">
        <f t="shared" si="17"/>
        <v>0</v>
      </c>
      <c r="I76" s="17">
        <f t="shared" si="18"/>
        <v>0</v>
      </c>
      <c r="J76" s="18">
        <f t="shared" si="19"/>
        <v>0</v>
      </c>
      <c r="K76" s="18">
        <f t="shared" si="20"/>
        <v>0</v>
      </c>
      <c r="L76" s="18">
        <f t="shared" ref="L76:L136" si="24">SUM(G76:K76)</f>
        <v>40.090000000000003</v>
      </c>
      <c r="M76" s="18">
        <f t="shared" si="22"/>
        <v>0</v>
      </c>
      <c r="N76" s="18">
        <f t="shared" ref="N76:N136" si="25">SUM(L76:M76)</f>
        <v>40.090000000000003</v>
      </c>
      <c r="O76" s="8"/>
      <c r="P76" s="137" t="e">
        <f>[1]!Table2[[#This Row],[Usage]]-30000</f>
        <v>#REF!</v>
      </c>
      <c r="Q76" s="1">
        <f t="shared" ref="Q76:Q136" si="26">F76</f>
        <v>10000</v>
      </c>
      <c r="R76" s="1" t="e">
        <f>IF([1]!Table2[[#This Row],[Usage above 30000]]&gt;0,[1]!Table2[[#This Row],[Usage above 30000]],0)</f>
        <v>#REF!</v>
      </c>
      <c r="S76" s="138" t="e">
        <f t="shared" ref="S76:S136" si="27">R76/3</f>
        <v>#REF!</v>
      </c>
      <c r="T76" s="138" t="e">
        <f t="shared" si="12"/>
        <v>#REF!</v>
      </c>
      <c r="U76" s="138" t="e">
        <f t="shared" si="13"/>
        <v>#REF!</v>
      </c>
      <c r="V76" s="138" t="e">
        <f t="shared" si="14"/>
        <v>#REF!</v>
      </c>
      <c r="W76" s="138" t="e">
        <f t="shared" si="15"/>
        <v>#REF!</v>
      </c>
      <c r="X76" s="5" t="e">
        <f t="shared" ref="X76:X136" si="28">T76/1000*2.18</f>
        <v>#REF!</v>
      </c>
      <c r="Y76" s="5" t="e">
        <f t="shared" ref="Y76:Y136" si="29">U76/1000*2.53</f>
        <v>#REF!</v>
      </c>
      <c r="Z76" s="5" t="e">
        <f t="shared" ref="Z76:Z136" si="30">V76/1000*2.95</f>
        <v>#REF!</v>
      </c>
      <c r="AA76" s="5" t="e">
        <f t="shared" ref="AA76:AA136" si="31">W76/1000*3.42</f>
        <v>#REF!</v>
      </c>
      <c r="AB76" s="6" t="e">
        <f t="shared" ref="AB76:AB136" si="32">SUM(X76:AA76)</f>
        <v>#REF!</v>
      </c>
      <c r="AC76" s="142" t="e">
        <f t="shared" ref="AC76:AC136" si="33">AB76*3</f>
        <v>#REF!</v>
      </c>
      <c r="AD76" s="143" t="e">
        <f>[1]!Table2[[#This Row],[Base Rate ]]</f>
        <v>#REF!</v>
      </c>
      <c r="AE76" s="144" t="e">
        <f t="shared" ref="AE76:AE136" si="34">SUM(AC76:AD76)</f>
        <v>#REF!</v>
      </c>
      <c r="AG76" s="6" t="e">
        <f>[1]!Table2[[#This Row],[Total Due]]-AE76</f>
        <v>#REF!</v>
      </c>
    </row>
    <row r="77" spans="1:33">
      <c r="A77" s="1" t="s">
        <v>67</v>
      </c>
      <c r="B77" s="11" t="s">
        <v>138</v>
      </c>
      <c r="C77" s="11">
        <v>0</v>
      </c>
      <c r="D77" s="11">
        <v>0</v>
      </c>
      <c r="E77" s="11">
        <v>0</v>
      </c>
      <c r="F77" s="11">
        <f t="shared" si="23"/>
        <v>0</v>
      </c>
      <c r="G77" s="17">
        <f t="shared" si="16"/>
        <v>11.79</v>
      </c>
      <c r="H77" s="17">
        <f t="shared" si="17"/>
        <v>0</v>
      </c>
      <c r="I77" s="17">
        <f t="shared" si="18"/>
        <v>0</v>
      </c>
      <c r="J77" s="18">
        <f t="shared" si="19"/>
        <v>0</v>
      </c>
      <c r="K77" s="18">
        <f t="shared" si="20"/>
        <v>0</v>
      </c>
      <c r="L77" s="18">
        <f t="shared" si="24"/>
        <v>11.79</v>
      </c>
      <c r="M77" s="18">
        <f t="shared" si="22"/>
        <v>0</v>
      </c>
      <c r="N77" s="18">
        <f t="shared" si="25"/>
        <v>11.79</v>
      </c>
      <c r="O77" s="8"/>
      <c r="P77" s="137" t="e">
        <f>[1]!Table2[[#This Row],[Usage]]-30000</f>
        <v>#REF!</v>
      </c>
      <c r="Q77" s="1">
        <f t="shared" si="26"/>
        <v>0</v>
      </c>
      <c r="R77" s="1" t="e">
        <f>IF([1]!Table2[[#This Row],[Usage above 30000]]&gt;0,[1]!Table2[[#This Row],[Usage above 30000]],0)</f>
        <v>#REF!</v>
      </c>
      <c r="S77" s="138" t="e">
        <f t="shared" si="27"/>
        <v>#REF!</v>
      </c>
      <c r="T77" s="138" t="e">
        <f t="shared" ref="T77:T136" si="35">IF(S77&gt;10000,10000,S77)</f>
        <v>#REF!</v>
      </c>
      <c r="U77" s="138" t="e">
        <f t="shared" ref="U77:U136" si="36">IF(S77&gt;20000,10000,S77-T77)</f>
        <v>#REF!</v>
      </c>
      <c r="V77" s="138" t="e">
        <f t="shared" ref="V77:V136" si="37">IF(S77&gt;30000,10000,S77-U77-T77)</f>
        <v>#REF!</v>
      </c>
      <c r="W77" s="138" t="e">
        <f t="shared" ref="W77:W136" si="38">IF(S77&gt;30000,S77-30000,0)</f>
        <v>#REF!</v>
      </c>
      <c r="X77" s="5" t="e">
        <f t="shared" si="28"/>
        <v>#REF!</v>
      </c>
      <c r="Y77" s="5" t="e">
        <f t="shared" si="29"/>
        <v>#REF!</v>
      </c>
      <c r="Z77" s="5" t="e">
        <f t="shared" si="30"/>
        <v>#REF!</v>
      </c>
      <c r="AA77" s="5" t="e">
        <f t="shared" si="31"/>
        <v>#REF!</v>
      </c>
      <c r="AB77" s="6" t="e">
        <f t="shared" si="32"/>
        <v>#REF!</v>
      </c>
      <c r="AC77" s="142" t="e">
        <f t="shared" si="33"/>
        <v>#REF!</v>
      </c>
      <c r="AD77" s="143" t="e">
        <f>[1]!Table2[[#This Row],[Base Rate ]]</f>
        <v>#REF!</v>
      </c>
      <c r="AE77" s="144" t="e">
        <f t="shared" si="34"/>
        <v>#REF!</v>
      </c>
      <c r="AG77" s="6" t="e">
        <f>[1]!Table2[[#This Row],[Total Due]]-AE77</f>
        <v>#REF!</v>
      </c>
    </row>
    <row r="78" spans="1:33">
      <c r="A78" s="1" t="s">
        <v>68</v>
      </c>
      <c r="B78" s="11"/>
      <c r="C78" s="11">
        <v>3587000</v>
      </c>
      <c r="D78" s="11">
        <v>3608000</v>
      </c>
      <c r="E78" s="11">
        <v>0</v>
      </c>
      <c r="F78" s="11">
        <f t="shared" si="23"/>
        <v>21000</v>
      </c>
      <c r="G78" s="17">
        <f t="shared" si="16"/>
        <v>40.090000000000003</v>
      </c>
      <c r="H78" s="17">
        <f t="shared" si="17"/>
        <v>21.8</v>
      </c>
      <c r="I78" s="17">
        <f t="shared" si="18"/>
        <v>2.5299999999999998</v>
      </c>
      <c r="J78" s="18">
        <f t="shared" si="19"/>
        <v>0</v>
      </c>
      <c r="K78" s="18">
        <f t="shared" si="20"/>
        <v>0</v>
      </c>
      <c r="L78" s="18">
        <f t="shared" si="24"/>
        <v>64.42</v>
      </c>
      <c r="M78" s="18">
        <f t="shared" si="22"/>
        <v>0</v>
      </c>
      <c r="N78" s="18">
        <f t="shared" si="25"/>
        <v>64.42</v>
      </c>
      <c r="O78" s="8"/>
      <c r="P78" s="137" t="e">
        <f>[1]!Table2[[#This Row],[Usage]]-30000</f>
        <v>#REF!</v>
      </c>
      <c r="Q78" s="1">
        <f t="shared" si="26"/>
        <v>21000</v>
      </c>
      <c r="R78" s="1" t="e">
        <f>IF([1]!Table2[[#This Row],[Usage above 30000]]&gt;0,[1]!Table2[[#This Row],[Usage above 30000]],0)</f>
        <v>#REF!</v>
      </c>
      <c r="S78" s="138" t="e">
        <f t="shared" si="27"/>
        <v>#REF!</v>
      </c>
      <c r="T78" s="138" t="e">
        <f t="shared" si="35"/>
        <v>#REF!</v>
      </c>
      <c r="U78" s="138" t="e">
        <f t="shared" si="36"/>
        <v>#REF!</v>
      </c>
      <c r="V78" s="138" t="e">
        <f t="shared" si="37"/>
        <v>#REF!</v>
      </c>
      <c r="W78" s="138" t="e">
        <f t="shared" si="38"/>
        <v>#REF!</v>
      </c>
      <c r="X78" s="5" t="e">
        <f t="shared" si="28"/>
        <v>#REF!</v>
      </c>
      <c r="Y78" s="5" t="e">
        <f t="shared" si="29"/>
        <v>#REF!</v>
      </c>
      <c r="Z78" s="5" t="e">
        <f t="shared" si="30"/>
        <v>#REF!</v>
      </c>
      <c r="AA78" s="5" t="e">
        <f t="shared" si="31"/>
        <v>#REF!</v>
      </c>
      <c r="AB78" s="6" t="e">
        <f t="shared" si="32"/>
        <v>#REF!</v>
      </c>
      <c r="AC78" s="142" t="e">
        <f t="shared" si="33"/>
        <v>#REF!</v>
      </c>
      <c r="AD78" s="143" t="e">
        <f>[1]!Table2[[#This Row],[Base Rate ]]</f>
        <v>#REF!</v>
      </c>
      <c r="AE78" s="144" t="e">
        <f t="shared" si="34"/>
        <v>#REF!</v>
      </c>
      <c r="AG78" s="6" t="e">
        <f>[1]!Table2[[#This Row],[Total Due]]-AE78</f>
        <v>#REF!</v>
      </c>
    </row>
    <row r="79" spans="1:33">
      <c r="A79" s="1" t="s">
        <v>69</v>
      </c>
      <c r="B79" s="11"/>
      <c r="C79" s="11">
        <v>2312000</v>
      </c>
      <c r="D79" s="11">
        <v>2358000</v>
      </c>
      <c r="E79" s="11">
        <v>0</v>
      </c>
      <c r="F79" s="11">
        <f t="shared" si="23"/>
        <v>46000</v>
      </c>
      <c r="G79" s="17">
        <f t="shared" si="16"/>
        <v>40.090000000000003</v>
      </c>
      <c r="H79" s="17">
        <f t="shared" si="17"/>
        <v>21.8</v>
      </c>
      <c r="I79" s="17">
        <f t="shared" si="18"/>
        <v>25.299999999999997</v>
      </c>
      <c r="J79" s="18">
        <f t="shared" si="19"/>
        <v>29.5</v>
      </c>
      <c r="K79" s="18">
        <f t="shared" si="20"/>
        <v>20.52</v>
      </c>
      <c r="L79" s="18">
        <f t="shared" si="24"/>
        <v>137.21</v>
      </c>
      <c r="M79" s="18">
        <f t="shared" si="22"/>
        <v>0</v>
      </c>
      <c r="N79" s="18">
        <f t="shared" si="25"/>
        <v>137.21</v>
      </c>
      <c r="O79" s="8"/>
      <c r="P79" s="137" t="e">
        <f>[1]!Table2[[#This Row],[Usage]]-30000</f>
        <v>#REF!</v>
      </c>
      <c r="Q79" s="1">
        <f t="shared" si="26"/>
        <v>46000</v>
      </c>
      <c r="R79" s="1" t="e">
        <f>IF([1]!Table2[[#This Row],[Usage above 30000]]&gt;0,[1]!Table2[[#This Row],[Usage above 30000]],0)</f>
        <v>#REF!</v>
      </c>
      <c r="S79" s="138" t="e">
        <f t="shared" si="27"/>
        <v>#REF!</v>
      </c>
      <c r="T79" s="138" t="e">
        <f t="shared" si="35"/>
        <v>#REF!</v>
      </c>
      <c r="U79" s="138" t="e">
        <f t="shared" si="36"/>
        <v>#REF!</v>
      </c>
      <c r="V79" s="138" t="e">
        <f t="shared" si="37"/>
        <v>#REF!</v>
      </c>
      <c r="W79" s="138" t="e">
        <f t="shared" si="38"/>
        <v>#REF!</v>
      </c>
      <c r="X79" s="5" t="e">
        <f t="shared" si="28"/>
        <v>#REF!</v>
      </c>
      <c r="Y79" s="5" t="e">
        <f t="shared" si="29"/>
        <v>#REF!</v>
      </c>
      <c r="Z79" s="5" t="e">
        <f t="shared" si="30"/>
        <v>#REF!</v>
      </c>
      <c r="AA79" s="5" t="e">
        <f t="shared" si="31"/>
        <v>#REF!</v>
      </c>
      <c r="AB79" s="6" t="e">
        <f t="shared" si="32"/>
        <v>#REF!</v>
      </c>
      <c r="AC79" s="142" t="e">
        <f t="shared" si="33"/>
        <v>#REF!</v>
      </c>
      <c r="AD79" s="143" t="e">
        <f>[1]!Table2[[#This Row],[Base Rate ]]</f>
        <v>#REF!</v>
      </c>
      <c r="AE79" s="144" t="e">
        <f t="shared" si="34"/>
        <v>#REF!</v>
      </c>
      <c r="AG79" s="6" t="e">
        <f>[1]!Table2[[#This Row],[Total Due]]-AE79</f>
        <v>#REF!</v>
      </c>
    </row>
    <row r="80" spans="1:33">
      <c r="A80" s="1" t="s">
        <v>70</v>
      </c>
      <c r="B80" s="11"/>
      <c r="C80" s="11">
        <v>1414000</v>
      </c>
      <c r="D80" s="11">
        <v>1455000</v>
      </c>
      <c r="E80" s="11">
        <v>0</v>
      </c>
      <c r="F80" s="11">
        <f t="shared" si="23"/>
        <v>41000</v>
      </c>
      <c r="G80" s="17">
        <f t="shared" si="16"/>
        <v>40.090000000000003</v>
      </c>
      <c r="H80" s="17">
        <f t="shared" si="17"/>
        <v>21.8</v>
      </c>
      <c r="I80" s="17">
        <f t="shared" si="18"/>
        <v>25.299999999999997</v>
      </c>
      <c r="J80" s="18">
        <f t="shared" si="19"/>
        <v>29.5</v>
      </c>
      <c r="K80" s="18">
        <f t="shared" si="20"/>
        <v>3.42</v>
      </c>
      <c r="L80" s="18">
        <f t="shared" si="24"/>
        <v>120.11</v>
      </c>
      <c r="M80" s="18">
        <f t="shared" si="22"/>
        <v>0</v>
      </c>
      <c r="N80" s="18">
        <f t="shared" si="25"/>
        <v>120.11</v>
      </c>
      <c r="O80" s="8"/>
      <c r="P80" s="137" t="e">
        <f>[1]!Table2[[#This Row],[Usage]]-30000</f>
        <v>#REF!</v>
      </c>
      <c r="Q80" s="1">
        <f t="shared" si="26"/>
        <v>41000</v>
      </c>
      <c r="R80" s="1" t="e">
        <f>IF([1]!Table2[[#This Row],[Usage above 30000]]&gt;0,[1]!Table2[[#This Row],[Usage above 30000]],0)</f>
        <v>#REF!</v>
      </c>
      <c r="S80" s="138" t="e">
        <f t="shared" si="27"/>
        <v>#REF!</v>
      </c>
      <c r="T80" s="138" t="e">
        <f t="shared" si="35"/>
        <v>#REF!</v>
      </c>
      <c r="U80" s="138" t="e">
        <f t="shared" si="36"/>
        <v>#REF!</v>
      </c>
      <c r="V80" s="138" t="e">
        <f t="shared" si="37"/>
        <v>#REF!</v>
      </c>
      <c r="W80" s="138" t="e">
        <f t="shared" si="38"/>
        <v>#REF!</v>
      </c>
      <c r="X80" s="5" t="e">
        <f t="shared" si="28"/>
        <v>#REF!</v>
      </c>
      <c r="Y80" s="5" t="e">
        <f t="shared" si="29"/>
        <v>#REF!</v>
      </c>
      <c r="Z80" s="5" t="e">
        <f t="shared" si="30"/>
        <v>#REF!</v>
      </c>
      <c r="AA80" s="5" t="e">
        <f t="shared" si="31"/>
        <v>#REF!</v>
      </c>
      <c r="AB80" s="6" t="e">
        <f t="shared" si="32"/>
        <v>#REF!</v>
      </c>
      <c r="AC80" s="142" t="e">
        <f t="shared" si="33"/>
        <v>#REF!</v>
      </c>
      <c r="AD80" s="143" t="e">
        <f>[1]!Table2[[#This Row],[Base Rate ]]</f>
        <v>#REF!</v>
      </c>
      <c r="AE80" s="144" t="e">
        <f t="shared" si="34"/>
        <v>#REF!</v>
      </c>
      <c r="AG80" s="6" t="e">
        <f>[1]!Table2[[#This Row],[Total Due]]-AE80</f>
        <v>#REF!</v>
      </c>
    </row>
    <row r="81" spans="1:33">
      <c r="A81" s="1" t="s">
        <v>71</v>
      </c>
      <c r="B81" s="11" t="s">
        <v>138</v>
      </c>
      <c r="C81" s="11">
        <v>0</v>
      </c>
      <c r="D81" s="11">
        <v>0</v>
      </c>
      <c r="E81" s="11">
        <v>0</v>
      </c>
      <c r="F81" s="11">
        <f t="shared" si="23"/>
        <v>0</v>
      </c>
      <c r="G81" s="17">
        <f t="shared" ref="G81:G136" si="39">IF(OR($F81&gt;0,$B81=""),40.09,11.79)</f>
        <v>11.79</v>
      </c>
      <c r="H81" s="17">
        <f t="shared" ref="H81:H136" si="40">IF(AND((($F81-10000)&gt;=0),(($F81-10000)&lt;= 10000)),($F81-10000)/1000*2.18,IF(($F81-10000)&gt;=10000,2.18*10,0))</f>
        <v>0</v>
      </c>
      <c r="I81" s="17">
        <f t="shared" ref="I81:I136" si="41">IF(AND((($F81-20000)&gt;=0),(($F81-20000)&lt;=10000)),($F81-20000)/1000*2.53,IF(($F81-20000)&gt;=10000,2.53*10,0))</f>
        <v>0</v>
      </c>
      <c r="J81" s="18">
        <f t="shared" ref="J81:J136" si="42">IF(AND((($F81-30000)&gt;=0),(($F81-30000)&lt;=10000)),($F81-30000)/1000*2.95,IF(($F81-30000)&gt;=10000,2.95*10,0))</f>
        <v>0</v>
      </c>
      <c r="K81" s="18">
        <f t="shared" ref="K81:K136" si="43">IF((($F81-40000)&gt;=0),($F81-40000)/1000*3.42,0)</f>
        <v>0</v>
      </c>
      <c r="L81" s="18">
        <f t="shared" si="24"/>
        <v>11.79</v>
      </c>
      <c r="M81" s="18">
        <f t="shared" ref="M81:M112" si="44">IF(   $H$5=1,    IF((F81-$H$6)&gt;0,((F81-$H$6)/$N$7)*$E$8,0),   IF(F81&gt;0,(F81/$N$4)*$E$8,0)    )</f>
        <v>0</v>
      </c>
      <c r="N81" s="18">
        <f t="shared" si="25"/>
        <v>11.79</v>
      </c>
      <c r="O81" s="8"/>
      <c r="P81" s="137" t="e">
        <f>[1]!Table2[[#This Row],[Usage]]-30000</f>
        <v>#REF!</v>
      </c>
      <c r="Q81" s="1">
        <f t="shared" si="26"/>
        <v>0</v>
      </c>
      <c r="R81" s="1" t="e">
        <f>IF([1]!Table2[[#This Row],[Usage above 30000]]&gt;0,[1]!Table2[[#This Row],[Usage above 30000]],0)</f>
        <v>#REF!</v>
      </c>
      <c r="S81" s="138" t="e">
        <f t="shared" si="27"/>
        <v>#REF!</v>
      </c>
      <c r="T81" s="138" t="e">
        <f t="shared" si="35"/>
        <v>#REF!</v>
      </c>
      <c r="U81" s="138" t="e">
        <f t="shared" si="36"/>
        <v>#REF!</v>
      </c>
      <c r="V81" s="138" t="e">
        <f t="shared" si="37"/>
        <v>#REF!</v>
      </c>
      <c r="W81" s="138" t="e">
        <f t="shared" si="38"/>
        <v>#REF!</v>
      </c>
      <c r="X81" s="5" t="e">
        <f t="shared" si="28"/>
        <v>#REF!</v>
      </c>
      <c r="Y81" s="5" t="e">
        <f t="shared" si="29"/>
        <v>#REF!</v>
      </c>
      <c r="Z81" s="5" t="e">
        <f t="shared" si="30"/>
        <v>#REF!</v>
      </c>
      <c r="AA81" s="5" t="e">
        <f t="shared" si="31"/>
        <v>#REF!</v>
      </c>
      <c r="AB81" s="6" t="e">
        <f t="shared" si="32"/>
        <v>#REF!</v>
      </c>
      <c r="AC81" s="142" t="e">
        <f t="shared" si="33"/>
        <v>#REF!</v>
      </c>
      <c r="AD81" s="143" t="e">
        <f>[1]!Table2[[#This Row],[Base Rate ]]</f>
        <v>#REF!</v>
      </c>
      <c r="AE81" s="144" t="e">
        <f t="shared" si="34"/>
        <v>#REF!</v>
      </c>
      <c r="AG81" s="6" t="e">
        <f>[1]!Table2[[#This Row],[Total Due]]-AE81</f>
        <v>#REF!</v>
      </c>
    </row>
    <row r="82" spans="1:33">
      <c r="A82" s="1" t="s">
        <v>72</v>
      </c>
      <c r="B82" s="11"/>
      <c r="C82" s="11">
        <v>134000</v>
      </c>
      <c r="D82" s="11">
        <v>166000</v>
      </c>
      <c r="E82" s="11">
        <v>0</v>
      </c>
      <c r="F82" s="11">
        <f t="shared" si="23"/>
        <v>32000</v>
      </c>
      <c r="G82" s="17">
        <f t="shared" si="39"/>
        <v>40.090000000000003</v>
      </c>
      <c r="H82" s="17">
        <f t="shared" si="40"/>
        <v>21.8</v>
      </c>
      <c r="I82" s="17">
        <f t="shared" si="41"/>
        <v>25.299999999999997</v>
      </c>
      <c r="J82" s="18">
        <f t="shared" si="42"/>
        <v>5.9</v>
      </c>
      <c r="K82" s="18">
        <f t="shared" si="43"/>
        <v>0</v>
      </c>
      <c r="L82" s="18">
        <f t="shared" si="24"/>
        <v>93.09</v>
      </c>
      <c r="M82" s="18">
        <f t="shared" si="44"/>
        <v>0</v>
      </c>
      <c r="N82" s="18">
        <f t="shared" si="25"/>
        <v>93.09</v>
      </c>
      <c r="O82" s="8" t="s">
        <v>139</v>
      </c>
      <c r="P82" s="137" t="e">
        <f>[1]!Table2[[#This Row],[Usage]]-30000</f>
        <v>#REF!</v>
      </c>
      <c r="Q82" s="1">
        <f t="shared" si="26"/>
        <v>32000</v>
      </c>
      <c r="R82" s="1" t="e">
        <f>IF([1]!Table2[[#This Row],[Usage above 30000]]&gt;0,[1]!Table2[[#This Row],[Usage above 30000]],0)</f>
        <v>#REF!</v>
      </c>
      <c r="S82" s="138" t="e">
        <f t="shared" si="27"/>
        <v>#REF!</v>
      </c>
      <c r="T82" s="138" t="e">
        <f t="shared" si="35"/>
        <v>#REF!</v>
      </c>
      <c r="U82" s="138" t="e">
        <f t="shared" si="36"/>
        <v>#REF!</v>
      </c>
      <c r="V82" s="138" t="e">
        <f t="shared" si="37"/>
        <v>#REF!</v>
      </c>
      <c r="W82" s="138" t="e">
        <f t="shared" si="38"/>
        <v>#REF!</v>
      </c>
      <c r="X82" s="5" t="e">
        <f t="shared" si="28"/>
        <v>#REF!</v>
      </c>
      <c r="Y82" s="5" t="e">
        <f t="shared" si="29"/>
        <v>#REF!</v>
      </c>
      <c r="Z82" s="5" t="e">
        <f t="shared" si="30"/>
        <v>#REF!</v>
      </c>
      <c r="AA82" s="5" t="e">
        <f t="shared" si="31"/>
        <v>#REF!</v>
      </c>
      <c r="AB82" s="6" t="e">
        <f t="shared" si="32"/>
        <v>#REF!</v>
      </c>
      <c r="AC82" s="142" t="e">
        <f t="shared" si="33"/>
        <v>#REF!</v>
      </c>
      <c r="AD82" s="143" t="e">
        <f>[1]!Table2[[#This Row],[Base Rate ]]</f>
        <v>#REF!</v>
      </c>
      <c r="AE82" s="144" t="e">
        <f t="shared" si="34"/>
        <v>#REF!</v>
      </c>
      <c r="AG82" s="6" t="e">
        <f>[1]!Table2[[#This Row],[Total Due]]-AE82</f>
        <v>#REF!</v>
      </c>
    </row>
    <row r="83" spans="1:33">
      <c r="A83" s="1" t="s">
        <v>73</v>
      </c>
      <c r="B83" s="11"/>
      <c r="C83" s="11">
        <v>1943000</v>
      </c>
      <c r="D83" s="11">
        <v>1978000</v>
      </c>
      <c r="E83" s="11">
        <v>0</v>
      </c>
      <c r="F83" s="11">
        <f t="shared" si="23"/>
        <v>35000</v>
      </c>
      <c r="G83" s="17">
        <f t="shared" si="39"/>
        <v>40.090000000000003</v>
      </c>
      <c r="H83" s="17">
        <f t="shared" si="40"/>
        <v>21.8</v>
      </c>
      <c r="I83" s="17">
        <f t="shared" si="41"/>
        <v>25.299999999999997</v>
      </c>
      <c r="J83" s="18">
        <f t="shared" si="42"/>
        <v>14.75</v>
      </c>
      <c r="K83" s="18">
        <f t="shared" si="43"/>
        <v>0</v>
      </c>
      <c r="L83" s="18">
        <f t="shared" si="24"/>
        <v>101.94</v>
      </c>
      <c r="M83" s="18">
        <f t="shared" si="44"/>
        <v>0</v>
      </c>
      <c r="N83" s="18">
        <f t="shared" si="25"/>
        <v>101.94</v>
      </c>
      <c r="O83" s="8"/>
      <c r="P83" s="137" t="e">
        <f>[1]!Table2[[#This Row],[Usage]]-30000</f>
        <v>#REF!</v>
      </c>
      <c r="Q83" s="1">
        <f t="shared" si="26"/>
        <v>35000</v>
      </c>
      <c r="R83" s="1" t="e">
        <f>IF([1]!Table2[[#This Row],[Usage above 30000]]&gt;0,[1]!Table2[[#This Row],[Usage above 30000]],0)</f>
        <v>#REF!</v>
      </c>
      <c r="S83" s="138" t="e">
        <f t="shared" si="27"/>
        <v>#REF!</v>
      </c>
      <c r="T83" s="138" t="e">
        <f t="shared" si="35"/>
        <v>#REF!</v>
      </c>
      <c r="U83" s="138" t="e">
        <f t="shared" si="36"/>
        <v>#REF!</v>
      </c>
      <c r="V83" s="138" t="e">
        <f t="shared" si="37"/>
        <v>#REF!</v>
      </c>
      <c r="W83" s="138" t="e">
        <f t="shared" si="38"/>
        <v>#REF!</v>
      </c>
      <c r="X83" s="5" t="e">
        <f t="shared" si="28"/>
        <v>#REF!</v>
      </c>
      <c r="Y83" s="5" t="e">
        <f t="shared" si="29"/>
        <v>#REF!</v>
      </c>
      <c r="Z83" s="5" t="e">
        <f t="shared" si="30"/>
        <v>#REF!</v>
      </c>
      <c r="AA83" s="5" t="e">
        <f t="shared" si="31"/>
        <v>#REF!</v>
      </c>
      <c r="AB83" s="6" t="e">
        <f t="shared" si="32"/>
        <v>#REF!</v>
      </c>
      <c r="AC83" s="142" t="e">
        <f t="shared" si="33"/>
        <v>#REF!</v>
      </c>
      <c r="AD83" s="143" t="e">
        <f>[1]!Table2[[#This Row],[Base Rate ]]</f>
        <v>#REF!</v>
      </c>
      <c r="AE83" s="144" t="e">
        <f t="shared" si="34"/>
        <v>#REF!</v>
      </c>
      <c r="AG83" s="6" t="e">
        <f>[1]!Table2[[#This Row],[Total Due]]-AE83</f>
        <v>#REF!</v>
      </c>
    </row>
    <row r="84" spans="1:33">
      <c r="A84" s="1" t="s">
        <v>74</v>
      </c>
      <c r="B84" s="11" t="s">
        <v>138</v>
      </c>
      <c r="C84" s="11">
        <v>0</v>
      </c>
      <c r="D84" s="11">
        <v>0</v>
      </c>
      <c r="E84" s="11">
        <v>0</v>
      </c>
      <c r="F84" s="11">
        <f t="shared" si="23"/>
        <v>0</v>
      </c>
      <c r="G84" s="17">
        <f t="shared" si="39"/>
        <v>11.79</v>
      </c>
      <c r="H84" s="17">
        <f t="shared" si="40"/>
        <v>0</v>
      </c>
      <c r="I84" s="17">
        <f t="shared" si="41"/>
        <v>0</v>
      </c>
      <c r="J84" s="18">
        <f t="shared" si="42"/>
        <v>0</v>
      </c>
      <c r="K84" s="18">
        <f t="shared" si="43"/>
        <v>0</v>
      </c>
      <c r="L84" s="18">
        <f t="shared" si="24"/>
        <v>11.79</v>
      </c>
      <c r="M84" s="18">
        <f t="shared" si="44"/>
        <v>0</v>
      </c>
      <c r="N84" s="18">
        <f t="shared" si="25"/>
        <v>11.79</v>
      </c>
      <c r="O84" s="8"/>
      <c r="P84" s="137" t="e">
        <f>[1]!Table2[[#This Row],[Usage]]-30000</f>
        <v>#REF!</v>
      </c>
      <c r="Q84" s="1">
        <f t="shared" si="26"/>
        <v>0</v>
      </c>
      <c r="R84" s="1" t="e">
        <f>IF([1]!Table2[[#This Row],[Usage above 30000]]&gt;0,[1]!Table2[[#This Row],[Usage above 30000]],0)</f>
        <v>#REF!</v>
      </c>
      <c r="S84" s="138" t="e">
        <f t="shared" si="27"/>
        <v>#REF!</v>
      </c>
      <c r="T84" s="138" t="e">
        <f t="shared" si="35"/>
        <v>#REF!</v>
      </c>
      <c r="U84" s="138" t="e">
        <f t="shared" si="36"/>
        <v>#REF!</v>
      </c>
      <c r="V84" s="138" t="e">
        <f t="shared" si="37"/>
        <v>#REF!</v>
      </c>
      <c r="W84" s="138" t="e">
        <f t="shared" si="38"/>
        <v>#REF!</v>
      </c>
      <c r="X84" s="5" t="e">
        <f t="shared" si="28"/>
        <v>#REF!</v>
      </c>
      <c r="Y84" s="5" t="e">
        <f t="shared" si="29"/>
        <v>#REF!</v>
      </c>
      <c r="Z84" s="5" t="e">
        <f t="shared" si="30"/>
        <v>#REF!</v>
      </c>
      <c r="AA84" s="5" t="e">
        <f t="shared" si="31"/>
        <v>#REF!</v>
      </c>
      <c r="AB84" s="6" t="e">
        <f t="shared" si="32"/>
        <v>#REF!</v>
      </c>
      <c r="AC84" s="142" t="e">
        <f t="shared" si="33"/>
        <v>#REF!</v>
      </c>
      <c r="AD84" s="143" t="e">
        <f>[1]!Table2[[#This Row],[Base Rate ]]</f>
        <v>#REF!</v>
      </c>
      <c r="AE84" s="144" t="e">
        <f t="shared" si="34"/>
        <v>#REF!</v>
      </c>
      <c r="AG84" s="6" t="e">
        <f>[1]!Table2[[#This Row],[Total Due]]-AE84</f>
        <v>#REF!</v>
      </c>
    </row>
    <row r="85" spans="1:33">
      <c r="A85" s="1" t="s">
        <v>75</v>
      </c>
      <c r="B85" s="11"/>
      <c r="C85" s="11">
        <v>727000</v>
      </c>
      <c r="D85" s="11">
        <v>739000</v>
      </c>
      <c r="E85" s="11">
        <v>0</v>
      </c>
      <c r="F85" s="11">
        <f t="shared" si="23"/>
        <v>12000</v>
      </c>
      <c r="G85" s="17">
        <f t="shared" si="39"/>
        <v>40.090000000000003</v>
      </c>
      <c r="H85" s="17">
        <f t="shared" si="40"/>
        <v>4.3600000000000003</v>
      </c>
      <c r="I85" s="17">
        <f t="shared" si="41"/>
        <v>0</v>
      </c>
      <c r="J85" s="18">
        <f t="shared" si="42"/>
        <v>0</v>
      </c>
      <c r="K85" s="18">
        <f t="shared" si="43"/>
        <v>0</v>
      </c>
      <c r="L85" s="18">
        <f t="shared" si="24"/>
        <v>44.45</v>
      </c>
      <c r="M85" s="18">
        <f t="shared" si="44"/>
        <v>0</v>
      </c>
      <c r="N85" s="18">
        <f t="shared" si="25"/>
        <v>44.45</v>
      </c>
      <c r="O85" s="8"/>
      <c r="P85" s="137" t="e">
        <f>[1]!Table2[[#This Row],[Usage]]-30000</f>
        <v>#REF!</v>
      </c>
      <c r="Q85" s="1">
        <f t="shared" si="26"/>
        <v>12000</v>
      </c>
      <c r="R85" s="1" t="e">
        <f>IF([1]!Table2[[#This Row],[Usage above 30000]]&gt;0,[1]!Table2[[#This Row],[Usage above 30000]],0)</f>
        <v>#REF!</v>
      </c>
      <c r="S85" s="138" t="e">
        <f t="shared" si="27"/>
        <v>#REF!</v>
      </c>
      <c r="T85" s="138" t="e">
        <f t="shared" si="35"/>
        <v>#REF!</v>
      </c>
      <c r="U85" s="138" t="e">
        <f t="shared" si="36"/>
        <v>#REF!</v>
      </c>
      <c r="V85" s="138" t="e">
        <f t="shared" si="37"/>
        <v>#REF!</v>
      </c>
      <c r="W85" s="138" t="e">
        <f t="shared" si="38"/>
        <v>#REF!</v>
      </c>
      <c r="X85" s="5" t="e">
        <f t="shared" si="28"/>
        <v>#REF!</v>
      </c>
      <c r="Y85" s="5" t="e">
        <f t="shared" si="29"/>
        <v>#REF!</v>
      </c>
      <c r="Z85" s="5" t="e">
        <f t="shared" si="30"/>
        <v>#REF!</v>
      </c>
      <c r="AA85" s="5" t="e">
        <f t="shared" si="31"/>
        <v>#REF!</v>
      </c>
      <c r="AB85" s="6" t="e">
        <f t="shared" si="32"/>
        <v>#REF!</v>
      </c>
      <c r="AC85" s="142" t="e">
        <f t="shared" si="33"/>
        <v>#REF!</v>
      </c>
      <c r="AD85" s="143" t="e">
        <f>[1]!Table2[[#This Row],[Base Rate ]]</f>
        <v>#REF!</v>
      </c>
      <c r="AE85" s="144" t="e">
        <f t="shared" si="34"/>
        <v>#REF!</v>
      </c>
      <c r="AG85" s="6" t="e">
        <f>[1]!Table2[[#This Row],[Total Due]]-AE85</f>
        <v>#REF!</v>
      </c>
    </row>
    <row r="86" spans="1:33">
      <c r="A86" s="1" t="s">
        <v>76</v>
      </c>
      <c r="B86" s="11"/>
      <c r="C86" s="11">
        <v>134000</v>
      </c>
      <c r="D86" s="11">
        <v>165000</v>
      </c>
      <c r="E86" s="11">
        <v>0</v>
      </c>
      <c r="F86" s="11">
        <f t="shared" si="23"/>
        <v>31000</v>
      </c>
      <c r="G86" s="17">
        <f t="shared" si="39"/>
        <v>40.090000000000003</v>
      </c>
      <c r="H86" s="17">
        <f t="shared" si="40"/>
        <v>21.8</v>
      </c>
      <c r="I86" s="17">
        <f t="shared" si="41"/>
        <v>25.299999999999997</v>
      </c>
      <c r="J86" s="18">
        <f t="shared" si="42"/>
        <v>2.95</v>
      </c>
      <c r="K86" s="18">
        <f t="shared" si="43"/>
        <v>0</v>
      </c>
      <c r="L86" s="18">
        <f t="shared" si="24"/>
        <v>90.14</v>
      </c>
      <c r="M86" s="18">
        <f t="shared" si="44"/>
        <v>0</v>
      </c>
      <c r="N86" s="18">
        <f t="shared" si="25"/>
        <v>90.14</v>
      </c>
      <c r="O86" s="8" t="s">
        <v>139</v>
      </c>
      <c r="P86" s="137" t="e">
        <f>[1]!Table2[[#This Row],[Usage]]-30000</f>
        <v>#REF!</v>
      </c>
      <c r="Q86" s="1">
        <f t="shared" si="26"/>
        <v>31000</v>
      </c>
      <c r="R86" s="1" t="e">
        <f>IF([1]!Table2[[#This Row],[Usage above 30000]]&gt;0,[1]!Table2[[#This Row],[Usage above 30000]],0)</f>
        <v>#REF!</v>
      </c>
      <c r="S86" s="138" t="e">
        <f t="shared" si="27"/>
        <v>#REF!</v>
      </c>
      <c r="T86" s="138" t="e">
        <f t="shared" si="35"/>
        <v>#REF!</v>
      </c>
      <c r="U86" s="138" t="e">
        <f t="shared" si="36"/>
        <v>#REF!</v>
      </c>
      <c r="V86" s="138" t="e">
        <f t="shared" si="37"/>
        <v>#REF!</v>
      </c>
      <c r="W86" s="138" t="e">
        <f t="shared" si="38"/>
        <v>#REF!</v>
      </c>
      <c r="X86" s="5" t="e">
        <f t="shared" si="28"/>
        <v>#REF!</v>
      </c>
      <c r="Y86" s="5" t="e">
        <f t="shared" si="29"/>
        <v>#REF!</v>
      </c>
      <c r="Z86" s="5" t="e">
        <f t="shared" si="30"/>
        <v>#REF!</v>
      </c>
      <c r="AA86" s="5" t="e">
        <f t="shared" si="31"/>
        <v>#REF!</v>
      </c>
      <c r="AB86" s="6" t="e">
        <f t="shared" si="32"/>
        <v>#REF!</v>
      </c>
      <c r="AC86" s="142" t="e">
        <f t="shared" si="33"/>
        <v>#REF!</v>
      </c>
      <c r="AD86" s="143" t="e">
        <f>[1]!Table2[[#This Row],[Base Rate ]]</f>
        <v>#REF!</v>
      </c>
      <c r="AE86" s="144" t="e">
        <f t="shared" si="34"/>
        <v>#REF!</v>
      </c>
      <c r="AG86" s="6" t="e">
        <f>[1]!Table2[[#This Row],[Total Due]]-AE86</f>
        <v>#REF!</v>
      </c>
    </row>
    <row r="87" spans="1:33">
      <c r="A87" s="1" t="s">
        <v>77</v>
      </c>
      <c r="B87" s="11"/>
      <c r="C87" s="11">
        <v>102000</v>
      </c>
      <c r="D87" s="11">
        <v>118000</v>
      </c>
      <c r="E87" s="11">
        <v>0</v>
      </c>
      <c r="F87" s="11">
        <f t="shared" si="23"/>
        <v>16000</v>
      </c>
      <c r="G87" s="17">
        <f t="shared" si="39"/>
        <v>40.090000000000003</v>
      </c>
      <c r="H87" s="17">
        <f t="shared" si="40"/>
        <v>13.080000000000002</v>
      </c>
      <c r="I87" s="17">
        <f t="shared" si="41"/>
        <v>0</v>
      </c>
      <c r="J87" s="18">
        <f t="shared" si="42"/>
        <v>0</v>
      </c>
      <c r="K87" s="18">
        <f t="shared" si="43"/>
        <v>0</v>
      </c>
      <c r="L87" s="18">
        <f t="shared" si="24"/>
        <v>53.17</v>
      </c>
      <c r="M87" s="18">
        <f t="shared" si="44"/>
        <v>0</v>
      </c>
      <c r="N87" s="18">
        <f t="shared" si="25"/>
        <v>53.17</v>
      </c>
      <c r="O87" s="8"/>
      <c r="P87" s="137" t="e">
        <f>[1]!Table2[[#This Row],[Usage]]-30000</f>
        <v>#REF!</v>
      </c>
      <c r="Q87" s="1">
        <f t="shared" si="26"/>
        <v>16000</v>
      </c>
      <c r="R87" s="1" t="e">
        <f>IF([1]!Table2[[#This Row],[Usage above 30000]]&gt;0,[1]!Table2[[#This Row],[Usage above 30000]],0)</f>
        <v>#REF!</v>
      </c>
      <c r="S87" s="138" t="e">
        <f t="shared" si="27"/>
        <v>#REF!</v>
      </c>
      <c r="T87" s="138" t="e">
        <f t="shared" si="35"/>
        <v>#REF!</v>
      </c>
      <c r="U87" s="138" t="e">
        <f t="shared" si="36"/>
        <v>#REF!</v>
      </c>
      <c r="V87" s="138" t="e">
        <f t="shared" si="37"/>
        <v>#REF!</v>
      </c>
      <c r="W87" s="138" t="e">
        <f t="shared" si="38"/>
        <v>#REF!</v>
      </c>
      <c r="X87" s="5" t="e">
        <f t="shared" si="28"/>
        <v>#REF!</v>
      </c>
      <c r="Y87" s="5" t="e">
        <f t="shared" si="29"/>
        <v>#REF!</v>
      </c>
      <c r="Z87" s="5" t="e">
        <f t="shared" si="30"/>
        <v>#REF!</v>
      </c>
      <c r="AA87" s="5" t="e">
        <f t="shared" si="31"/>
        <v>#REF!</v>
      </c>
      <c r="AB87" s="6" t="e">
        <f t="shared" si="32"/>
        <v>#REF!</v>
      </c>
      <c r="AC87" s="142" t="e">
        <f t="shared" si="33"/>
        <v>#REF!</v>
      </c>
      <c r="AD87" s="143" t="e">
        <f>[1]!Table2[[#This Row],[Base Rate ]]</f>
        <v>#REF!</v>
      </c>
      <c r="AE87" s="144" t="e">
        <f t="shared" si="34"/>
        <v>#REF!</v>
      </c>
      <c r="AG87" s="6" t="e">
        <f>[1]!Table2[[#This Row],[Total Due]]-AE87</f>
        <v>#REF!</v>
      </c>
    </row>
    <row r="88" spans="1:33">
      <c r="A88" s="1" t="s">
        <v>78</v>
      </c>
      <c r="B88" s="11"/>
      <c r="C88" s="11">
        <v>1248000</v>
      </c>
      <c r="D88" s="11">
        <v>1255000</v>
      </c>
      <c r="E88" s="11">
        <v>0</v>
      </c>
      <c r="F88" s="11">
        <f t="shared" si="23"/>
        <v>7000</v>
      </c>
      <c r="G88" s="17">
        <f t="shared" si="39"/>
        <v>40.090000000000003</v>
      </c>
      <c r="H88" s="17">
        <f t="shared" si="40"/>
        <v>0</v>
      </c>
      <c r="I88" s="17">
        <f t="shared" si="41"/>
        <v>0</v>
      </c>
      <c r="J88" s="18">
        <f t="shared" si="42"/>
        <v>0</v>
      </c>
      <c r="K88" s="18">
        <f t="shared" si="43"/>
        <v>0</v>
      </c>
      <c r="L88" s="18">
        <f t="shared" si="24"/>
        <v>40.090000000000003</v>
      </c>
      <c r="M88" s="18">
        <f t="shared" si="44"/>
        <v>0</v>
      </c>
      <c r="N88" s="18">
        <f t="shared" si="25"/>
        <v>40.090000000000003</v>
      </c>
      <c r="O88" s="8"/>
      <c r="P88" s="137" t="e">
        <f>[1]!Table2[[#This Row],[Usage]]-30000</f>
        <v>#REF!</v>
      </c>
      <c r="Q88" s="1">
        <f t="shared" si="26"/>
        <v>7000</v>
      </c>
      <c r="R88" s="1" t="e">
        <f>IF([1]!Table2[[#This Row],[Usage above 30000]]&gt;0,[1]!Table2[[#This Row],[Usage above 30000]],0)</f>
        <v>#REF!</v>
      </c>
      <c r="S88" s="138" t="e">
        <f t="shared" si="27"/>
        <v>#REF!</v>
      </c>
      <c r="T88" s="138" t="e">
        <f t="shared" si="35"/>
        <v>#REF!</v>
      </c>
      <c r="U88" s="138" t="e">
        <f t="shared" si="36"/>
        <v>#REF!</v>
      </c>
      <c r="V88" s="138" t="e">
        <f t="shared" si="37"/>
        <v>#REF!</v>
      </c>
      <c r="W88" s="138" t="e">
        <f t="shared" si="38"/>
        <v>#REF!</v>
      </c>
      <c r="X88" s="5" t="e">
        <f t="shared" si="28"/>
        <v>#REF!</v>
      </c>
      <c r="Y88" s="5" t="e">
        <f t="shared" si="29"/>
        <v>#REF!</v>
      </c>
      <c r="Z88" s="5" t="e">
        <f t="shared" si="30"/>
        <v>#REF!</v>
      </c>
      <c r="AA88" s="5" t="e">
        <f t="shared" si="31"/>
        <v>#REF!</v>
      </c>
      <c r="AB88" s="6" t="e">
        <f t="shared" si="32"/>
        <v>#REF!</v>
      </c>
      <c r="AC88" s="142" t="e">
        <f t="shared" si="33"/>
        <v>#REF!</v>
      </c>
      <c r="AD88" s="143" t="e">
        <f>[1]!Table2[[#This Row],[Base Rate ]]</f>
        <v>#REF!</v>
      </c>
      <c r="AE88" s="144" t="e">
        <f t="shared" si="34"/>
        <v>#REF!</v>
      </c>
      <c r="AG88" s="6" t="e">
        <f>[1]!Table2[[#This Row],[Total Due]]-AE88</f>
        <v>#REF!</v>
      </c>
    </row>
    <row r="89" spans="1:33">
      <c r="A89" s="1" t="s">
        <v>79</v>
      </c>
      <c r="B89" s="11"/>
      <c r="C89" s="11">
        <v>3439000</v>
      </c>
      <c r="D89" s="11">
        <v>3457000</v>
      </c>
      <c r="E89" s="11">
        <v>0</v>
      </c>
      <c r="F89" s="11">
        <f t="shared" si="23"/>
        <v>18000</v>
      </c>
      <c r="G89" s="17">
        <f t="shared" si="39"/>
        <v>40.090000000000003</v>
      </c>
      <c r="H89" s="17">
        <f t="shared" si="40"/>
        <v>17.440000000000001</v>
      </c>
      <c r="I89" s="17">
        <f t="shared" si="41"/>
        <v>0</v>
      </c>
      <c r="J89" s="18">
        <f t="shared" si="42"/>
        <v>0</v>
      </c>
      <c r="K89" s="18">
        <f t="shared" si="43"/>
        <v>0</v>
      </c>
      <c r="L89" s="18">
        <f t="shared" si="24"/>
        <v>57.53</v>
      </c>
      <c r="M89" s="18">
        <f t="shared" si="44"/>
        <v>0</v>
      </c>
      <c r="N89" s="18">
        <f t="shared" si="25"/>
        <v>57.53</v>
      </c>
      <c r="O89" s="8"/>
      <c r="P89" s="137" t="e">
        <f>[1]!Table2[[#This Row],[Usage]]-30000</f>
        <v>#REF!</v>
      </c>
      <c r="Q89" s="1">
        <f t="shared" si="26"/>
        <v>18000</v>
      </c>
      <c r="R89" s="1" t="e">
        <f>IF([1]!Table2[[#This Row],[Usage above 30000]]&gt;0,[1]!Table2[[#This Row],[Usage above 30000]],0)</f>
        <v>#REF!</v>
      </c>
      <c r="S89" s="138" t="e">
        <f t="shared" si="27"/>
        <v>#REF!</v>
      </c>
      <c r="T89" s="138" t="e">
        <f t="shared" si="35"/>
        <v>#REF!</v>
      </c>
      <c r="U89" s="138" t="e">
        <f t="shared" si="36"/>
        <v>#REF!</v>
      </c>
      <c r="V89" s="138" t="e">
        <f t="shared" si="37"/>
        <v>#REF!</v>
      </c>
      <c r="W89" s="138" t="e">
        <f t="shared" si="38"/>
        <v>#REF!</v>
      </c>
      <c r="X89" s="5" t="e">
        <f t="shared" si="28"/>
        <v>#REF!</v>
      </c>
      <c r="Y89" s="5" t="e">
        <f t="shared" si="29"/>
        <v>#REF!</v>
      </c>
      <c r="Z89" s="5" t="e">
        <f t="shared" si="30"/>
        <v>#REF!</v>
      </c>
      <c r="AA89" s="5" t="e">
        <f t="shared" si="31"/>
        <v>#REF!</v>
      </c>
      <c r="AB89" s="6" t="e">
        <f t="shared" si="32"/>
        <v>#REF!</v>
      </c>
      <c r="AC89" s="142" t="e">
        <f t="shared" si="33"/>
        <v>#REF!</v>
      </c>
      <c r="AD89" s="143" t="e">
        <f>[1]!Table2[[#This Row],[Base Rate ]]</f>
        <v>#REF!</v>
      </c>
      <c r="AE89" s="144" t="e">
        <f t="shared" si="34"/>
        <v>#REF!</v>
      </c>
      <c r="AG89" s="6" t="e">
        <f>[1]!Table2[[#This Row],[Total Due]]-AE89</f>
        <v>#REF!</v>
      </c>
    </row>
    <row r="90" spans="1:33">
      <c r="A90" s="1" t="s">
        <v>80</v>
      </c>
      <c r="B90" s="11"/>
      <c r="C90" s="11">
        <v>3022000</v>
      </c>
      <c r="D90" s="11">
        <v>3032000</v>
      </c>
      <c r="E90" s="11">
        <v>0</v>
      </c>
      <c r="F90" s="11">
        <f t="shared" si="23"/>
        <v>10000</v>
      </c>
      <c r="G90" s="17">
        <f t="shared" si="39"/>
        <v>40.090000000000003</v>
      </c>
      <c r="H90" s="17">
        <f t="shared" si="40"/>
        <v>0</v>
      </c>
      <c r="I90" s="17">
        <f t="shared" si="41"/>
        <v>0</v>
      </c>
      <c r="J90" s="18">
        <f t="shared" si="42"/>
        <v>0</v>
      </c>
      <c r="K90" s="18">
        <f t="shared" si="43"/>
        <v>0</v>
      </c>
      <c r="L90" s="18">
        <f t="shared" si="24"/>
        <v>40.090000000000003</v>
      </c>
      <c r="M90" s="18">
        <f t="shared" si="44"/>
        <v>0</v>
      </c>
      <c r="N90" s="18">
        <f t="shared" si="25"/>
        <v>40.090000000000003</v>
      </c>
      <c r="O90" s="8"/>
      <c r="P90" s="137" t="e">
        <f>[1]!Table2[[#This Row],[Usage]]-30000</f>
        <v>#REF!</v>
      </c>
      <c r="Q90" s="1">
        <f t="shared" si="26"/>
        <v>10000</v>
      </c>
      <c r="R90" s="1" t="e">
        <f>IF([1]!Table2[[#This Row],[Usage above 30000]]&gt;0,[1]!Table2[[#This Row],[Usage above 30000]],0)</f>
        <v>#REF!</v>
      </c>
      <c r="S90" s="138" t="e">
        <f t="shared" si="27"/>
        <v>#REF!</v>
      </c>
      <c r="T90" s="138" t="e">
        <f t="shared" si="35"/>
        <v>#REF!</v>
      </c>
      <c r="U90" s="138" t="e">
        <f t="shared" si="36"/>
        <v>#REF!</v>
      </c>
      <c r="V90" s="138" t="e">
        <f t="shared" si="37"/>
        <v>#REF!</v>
      </c>
      <c r="W90" s="138" t="e">
        <f t="shared" si="38"/>
        <v>#REF!</v>
      </c>
      <c r="X90" s="5" t="e">
        <f t="shared" si="28"/>
        <v>#REF!</v>
      </c>
      <c r="Y90" s="5" t="e">
        <f t="shared" si="29"/>
        <v>#REF!</v>
      </c>
      <c r="Z90" s="5" t="e">
        <f t="shared" si="30"/>
        <v>#REF!</v>
      </c>
      <c r="AA90" s="5" t="e">
        <f t="shared" si="31"/>
        <v>#REF!</v>
      </c>
      <c r="AB90" s="6" t="e">
        <f t="shared" si="32"/>
        <v>#REF!</v>
      </c>
      <c r="AC90" s="142" t="e">
        <f t="shared" si="33"/>
        <v>#REF!</v>
      </c>
      <c r="AD90" s="143" t="e">
        <f>[1]!Table2[[#This Row],[Base Rate ]]</f>
        <v>#REF!</v>
      </c>
      <c r="AE90" s="144" t="e">
        <f t="shared" si="34"/>
        <v>#REF!</v>
      </c>
      <c r="AG90" s="6" t="e">
        <f>[1]!Table2[[#This Row],[Total Due]]-AE90</f>
        <v>#REF!</v>
      </c>
    </row>
    <row r="91" spans="1:33">
      <c r="A91" s="1" t="s">
        <v>81</v>
      </c>
      <c r="B91" s="11" t="s">
        <v>138</v>
      </c>
      <c r="C91" s="11">
        <v>0</v>
      </c>
      <c r="D91" s="11">
        <v>0</v>
      </c>
      <c r="E91" s="11">
        <v>0</v>
      </c>
      <c r="F91" s="11">
        <f t="shared" si="23"/>
        <v>0</v>
      </c>
      <c r="G91" s="17">
        <f t="shared" si="39"/>
        <v>11.79</v>
      </c>
      <c r="H91" s="17">
        <f t="shared" si="40"/>
        <v>0</v>
      </c>
      <c r="I91" s="17">
        <f t="shared" si="41"/>
        <v>0</v>
      </c>
      <c r="J91" s="18">
        <f t="shared" si="42"/>
        <v>0</v>
      </c>
      <c r="K91" s="18">
        <f t="shared" si="43"/>
        <v>0</v>
      </c>
      <c r="L91" s="18">
        <f t="shared" si="24"/>
        <v>11.79</v>
      </c>
      <c r="M91" s="18">
        <f t="shared" si="44"/>
        <v>0</v>
      </c>
      <c r="N91" s="18">
        <f t="shared" si="25"/>
        <v>11.79</v>
      </c>
      <c r="O91" s="8"/>
      <c r="P91" s="137" t="e">
        <f>[1]!Table2[[#This Row],[Usage]]-30000</f>
        <v>#REF!</v>
      </c>
      <c r="Q91" s="1">
        <f t="shared" si="26"/>
        <v>0</v>
      </c>
      <c r="R91" s="1" t="e">
        <f>IF([1]!Table2[[#This Row],[Usage above 30000]]&gt;0,[1]!Table2[[#This Row],[Usage above 30000]],0)</f>
        <v>#REF!</v>
      </c>
      <c r="S91" s="138" t="e">
        <f t="shared" si="27"/>
        <v>#REF!</v>
      </c>
      <c r="T91" s="138" t="e">
        <f t="shared" si="35"/>
        <v>#REF!</v>
      </c>
      <c r="U91" s="138" t="e">
        <f t="shared" si="36"/>
        <v>#REF!</v>
      </c>
      <c r="V91" s="138" t="e">
        <f t="shared" si="37"/>
        <v>#REF!</v>
      </c>
      <c r="W91" s="138" t="e">
        <f t="shared" si="38"/>
        <v>#REF!</v>
      </c>
      <c r="X91" s="5" t="e">
        <f t="shared" si="28"/>
        <v>#REF!</v>
      </c>
      <c r="Y91" s="5" t="e">
        <f t="shared" si="29"/>
        <v>#REF!</v>
      </c>
      <c r="Z91" s="5" t="e">
        <f t="shared" si="30"/>
        <v>#REF!</v>
      </c>
      <c r="AA91" s="5" t="e">
        <f t="shared" si="31"/>
        <v>#REF!</v>
      </c>
      <c r="AB91" s="6" t="e">
        <f t="shared" si="32"/>
        <v>#REF!</v>
      </c>
      <c r="AC91" s="142" t="e">
        <f t="shared" si="33"/>
        <v>#REF!</v>
      </c>
      <c r="AD91" s="143" t="e">
        <f>[1]!Table2[[#This Row],[Base Rate ]]</f>
        <v>#REF!</v>
      </c>
      <c r="AE91" s="144" t="e">
        <f t="shared" si="34"/>
        <v>#REF!</v>
      </c>
      <c r="AG91" s="6" t="e">
        <f>[1]!Table2[[#This Row],[Total Due]]-AE91</f>
        <v>#REF!</v>
      </c>
    </row>
    <row r="92" spans="1:33">
      <c r="A92" s="1" t="s">
        <v>82</v>
      </c>
      <c r="B92" s="11"/>
      <c r="C92" s="11">
        <v>3248000</v>
      </c>
      <c r="D92" s="11">
        <v>3267000</v>
      </c>
      <c r="E92" s="11">
        <v>0</v>
      </c>
      <c r="F92" s="11">
        <f t="shared" si="23"/>
        <v>19000</v>
      </c>
      <c r="G92" s="17">
        <f t="shared" si="39"/>
        <v>40.090000000000003</v>
      </c>
      <c r="H92" s="17">
        <f t="shared" si="40"/>
        <v>19.62</v>
      </c>
      <c r="I92" s="17">
        <f t="shared" si="41"/>
        <v>0</v>
      </c>
      <c r="J92" s="18">
        <f t="shared" si="42"/>
        <v>0</v>
      </c>
      <c r="K92" s="18">
        <f t="shared" si="43"/>
        <v>0</v>
      </c>
      <c r="L92" s="18">
        <f t="shared" si="24"/>
        <v>59.710000000000008</v>
      </c>
      <c r="M92" s="18">
        <f t="shared" si="44"/>
        <v>0</v>
      </c>
      <c r="N92" s="18">
        <f t="shared" si="25"/>
        <v>59.710000000000008</v>
      </c>
      <c r="O92" s="8"/>
      <c r="P92" s="137" t="e">
        <f>[1]!Table2[[#This Row],[Usage]]-30000</f>
        <v>#REF!</v>
      </c>
      <c r="Q92" s="1">
        <f t="shared" si="26"/>
        <v>19000</v>
      </c>
      <c r="R92" s="1" t="e">
        <f>IF([1]!Table2[[#This Row],[Usage above 30000]]&gt;0,[1]!Table2[[#This Row],[Usage above 30000]],0)</f>
        <v>#REF!</v>
      </c>
      <c r="S92" s="138" t="e">
        <f t="shared" si="27"/>
        <v>#REF!</v>
      </c>
      <c r="T92" s="138" t="e">
        <f t="shared" si="35"/>
        <v>#REF!</v>
      </c>
      <c r="U92" s="138" t="e">
        <f t="shared" si="36"/>
        <v>#REF!</v>
      </c>
      <c r="V92" s="138" t="e">
        <f t="shared" si="37"/>
        <v>#REF!</v>
      </c>
      <c r="W92" s="138" t="e">
        <f t="shared" si="38"/>
        <v>#REF!</v>
      </c>
      <c r="X92" s="5" t="e">
        <f t="shared" si="28"/>
        <v>#REF!</v>
      </c>
      <c r="Y92" s="5" t="e">
        <f t="shared" si="29"/>
        <v>#REF!</v>
      </c>
      <c r="Z92" s="5" t="e">
        <f t="shared" si="30"/>
        <v>#REF!</v>
      </c>
      <c r="AA92" s="5" t="e">
        <f t="shared" si="31"/>
        <v>#REF!</v>
      </c>
      <c r="AB92" s="6" t="e">
        <f t="shared" si="32"/>
        <v>#REF!</v>
      </c>
      <c r="AC92" s="142" t="e">
        <f t="shared" si="33"/>
        <v>#REF!</v>
      </c>
      <c r="AD92" s="143" t="e">
        <f>[1]!Table2[[#This Row],[Base Rate ]]</f>
        <v>#REF!</v>
      </c>
      <c r="AE92" s="144" t="e">
        <f t="shared" si="34"/>
        <v>#REF!</v>
      </c>
      <c r="AG92" s="6" t="e">
        <f>[1]!Table2[[#This Row],[Total Due]]-AE92</f>
        <v>#REF!</v>
      </c>
    </row>
    <row r="93" spans="1:33">
      <c r="A93" s="1" t="s">
        <v>83</v>
      </c>
      <c r="B93" s="11"/>
      <c r="C93" s="11">
        <v>7562000</v>
      </c>
      <c r="D93" s="11">
        <v>7564000</v>
      </c>
      <c r="E93" s="11">
        <v>0</v>
      </c>
      <c r="F93" s="11">
        <f t="shared" si="23"/>
        <v>2000</v>
      </c>
      <c r="G93" s="17">
        <f t="shared" si="39"/>
        <v>40.090000000000003</v>
      </c>
      <c r="H93" s="17">
        <f t="shared" si="40"/>
        <v>0</v>
      </c>
      <c r="I93" s="17">
        <f t="shared" si="41"/>
        <v>0</v>
      </c>
      <c r="J93" s="18">
        <f t="shared" si="42"/>
        <v>0</v>
      </c>
      <c r="K93" s="18">
        <f t="shared" si="43"/>
        <v>0</v>
      </c>
      <c r="L93" s="18">
        <f t="shared" si="24"/>
        <v>40.090000000000003</v>
      </c>
      <c r="M93" s="18">
        <f t="shared" si="44"/>
        <v>0</v>
      </c>
      <c r="N93" s="18">
        <f t="shared" si="25"/>
        <v>40.090000000000003</v>
      </c>
      <c r="O93" s="8"/>
      <c r="P93" s="137" t="e">
        <f>[1]!Table2[[#This Row],[Usage]]-30000</f>
        <v>#REF!</v>
      </c>
      <c r="Q93" s="1">
        <f t="shared" si="26"/>
        <v>2000</v>
      </c>
      <c r="R93" s="1" t="e">
        <f>IF([1]!Table2[[#This Row],[Usage above 30000]]&gt;0,[1]!Table2[[#This Row],[Usage above 30000]],0)</f>
        <v>#REF!</v>
      </c>
      <c r="S93" s="138" t="e">
        <f t="shared" si="27"/>
        <v>#REF!</v>
      </c>
      <c r="T93" s="138" t="e">
        <f t="shared" si="35"/>
        <v>#REF!</v>
      </c>
      <c r="U93" s="138" t="e">
        <f t="shared" si="36"/>
        <v>#REF!</v>
      </c>
      <c r="V93" s="138" t="e">
        <f t="shared" si="37"/>
        <v>#REF!</v>
      </c>
      <c r="W93" s="138" t="e">
        <f t="shared" si="38"/>
        <v>#REF!</v>
      </c>
      <c r="X93" s="5" t="e">
        <f t="shared" si="28"/>
        <v>#REF!</v>
      </c>
      <c r="Y93" s="5" t="e">
        <f t="shared" si="29"/>
        <v>#REF!</v>
      </c>
      <c r="Z93" s="5" t="e">
        <f t="shared" si="30"/>
        <v>#REF!</v>
      </c>
      <c r="AA93" s="5" t="e">
        <f t="shared" si="31"/>
        <v>#REF!</v>
      </c>
      <c r="AB93" s="6" t="e">
        <f t="shared" si="32"/>
        <v>#REF!</v>
      </c>
      <c r="AC93" s="142" t="e">
        <f t="shared" si="33"/>
        <v>#REF!</v>
      </c>
      <c r="AD93" s="143" t="e">
        <f>[1]!Table2[[#This Row],[Base Rate ]]</f>
        <v>#REF!</v>
      </c>
      <c r="AE93" s="144" t="e">
        <f t="shared" si="34"/>
        <v>#REF!</v>
      </c>
      <c r="AG93" s="6" t="e">
        <f>[1]!Table2[[#This Row],[Total Due]]-AE93</f>
        <v>#REF!</v>
      </c>
    </row>
    <row r="94" spans="1:33">
      <c r="A94" s="1" t="s">
        <v>84</v>
      </c>
      <c r="B94" s="11"/>
      <c r="C94" s="11">
        <v>3085000</v>
      </c>
      <c r="D94" s="11">
        <v>3093000</v>
      </c>
      <c r="E94" s="11">
        <v>0</v>
      </c>
      <c r="F94" s="11">
        <f t="shared" si="23"/>
        <v>8000</v>
      </c>
      <c r="G94" s="17">
        <f t="shared" si="39"/>
        <v>40.090000000000003</v>
      </c>
      <c r="H94" s="17">
        <f t="shared" si="40"/>
        <v>0</v>
      </c>
      <c r="I94" s="17">
        <f t="shared" si="41"/>
        <v>0</v>
      </c>
      <c r="J94" s="18">
        <f t="shared" si="42"/>
        <v>0</v>
      </c>
      <c r="K94" s="18">
        <f t="shared" si="43"/>
        <v>0</v>
      </c>
      <c r="L94" s="18">
        <f t="shared" si="24"/>
        <v>40.090000000000003</v>
      </c>
      <c r="M94" s="18">
        <f t="shared" si="44"/>
        <v>0</v>
      </c>
      <c r="N94" s="18">
        <f t="shared" si="25"/>
        <v>40.090000000000003</v>
      </c>
      <c r="O94" s="8"/>
      <c r="P94" s="137" t="e">
        <f>[1]!Table2[[#This Row],[Usage]]-30000</f>
        <v>#REF!</v>
      </c>
      <c r="Q94" s="1">
        <f t="shared" si="26"/>
        <v>8000</v>
      </c>
      <c r="R94" s="1" t="e">
        <f>IF([1]!Table2[[#This Row],[Usage above 30000]]&gt;0,[1]!Table2[[#This Row],[Usage above 30000]],0)</f>
        <v>#REF!</v>
      </c>
      <c r="S94" s="138" t="e">
        <f t="shared" si="27"/>
        <v>#REF!</v>
      </c>
      <c r="T94" s="138" t="e">
        <f t="shared" si="35"/>
        <v>#REF!</v>
      </c>
      <c r="U94" s="138" t="e">
        <f t="shared" si="36"/>
        <v>#REF!</v>
      </c>
      <c r="V94" s="138" t="e">
        <f t="shared" si="37"/>
        <v>#REF!</v>
      </c>
      <c r="W94" s="138" t="e">
        <f t="shared" si="38"/>
        <v>#REF!</v>
      </c>
      <c r="X94" s="5" t="e">
        <f t="shared" si="28"/>
        <v>#REF!</v>
      </c>
      <c r="Y94" s="5" t="e">
        <f t="shared" si="29"/>
        <v>#REF!</v>
      </c>
      <c r="Z94" s="5" t="e">
        <f t="shared" si="30"/>
        <v>#REF!</v>
      </c>
      <c r="AA94" s="5" t="e">
        <f t="shared" si="31"/>
        <v>#REF!</v>
      </c>
      <c r="AB94" s="6" t="e">
        <f t="shared" si="32"/>
        <v>#REF!</v>
      </c>
      <c r="AC94" s="142" t="e">
        <f t="shared" si="33"/>
        <v>#REF!</v>
      </c>
      <c r="AD94" s="143" t="e">
        <f>[1]!Table2[[#This Row],[Base Rate ]]</f>
        <v>#REF!</v>
      </c>
      <c r="AE94" s="144" t="e">
        <f t="shared" si="34"/>
        <v>#REF!</v>
      </c>
      <c r="AG94" s="6" t="e">
        <f>[1]!Table2[[#This Row],[Total Due]]-AE94</f>
        <v>#REF!</v>
      </c>
    </row>
    <row r="95" spans="1:33">
      <c r="A95" s="1" t="s">
        <v>85</v>
      </c>
      <c r="B95" s="11"/>
      <c r="C95" s="11">
        <v>2017000</v>
      </c>
      <c r="D95" s="11">
        <v>2024000</v>
      </c>
      <c r="E95" s="11">
        <v>0</v>
      </c>
      <c r="F95" s="11">
        <f t="shared" si="23"/>
        <v>7000</v>
      </c>
      <c r="G95" s="17">
        <f t="shared" si="39"/>
        <v>40.090000000000003</v>
      </c>
      <c r="H95" s="17">
        <f t="shared" si="40"/>
        <v>0</v>
      </c>
      <c r="I95" s="17">
        <f t="shared" si="41"/>
        <v>0</v>
      </c>
      <c r="J95" s="18">
        <f t="shared" si="42"/>
        <v>0</v>
      </c>
      <c r="K95" s="18">
        <f t="shared" si="43"/>
        <v>0</v>
      </c>
      <c r="L95" s="18">
        <f t="shared" si="24"/>
        <v>40.090000000000003</v>
      </c>
      <c r="M95" s="18">
        <f t="shared" si="44"/>
        <v>0</v>
      </c>
      <c r="N95" s="18">
        <f t="shared" si="25"/>
        <v>40.090000000000003</v>
      </c>
      <c r="O95" s="8"/>
      <c r="P95" s="137" t="e">
        <f>[1]!Table2[[#This Row],[Usage]]-30000</f>
        <v>#REF!</v>
      </c>
      <c r="Q95" s="1">
        <f t="shared" si="26"/>
        <v>7000</v>
      </c>
      <c r="R95" s="1" t="e">
        <f>IF([1]!Table2[[#This Row],[Usage above 30000]]&gt;0,[1]!Table2[[#This Row],[Usage above 30000]],0)</f>
        <v>#REF!</v>
      </c>
      <c r="S95" s="138" t="e">
        <f t="shared" si="27"/>
        <v>#REF!</v>
      </c>
      <c r="T95" s="138" t="e">
        <f t="shared" si="35"/>
        <v>#REF!</v>
      </c>
      <c r="U95" s="138" t="e">
        <f t="shared" si="36"/>
        <v>#REF!</v>
      </c>
      <c r="V95" s="138" t="e">
        <f t="shared" si="37"/>
        <v>#REF!</v>
      </c>
      <c r="W95" s="138" t="e">
        <f t="shared" si="38"/>
        <v>#REF!</v>
      </c>
      <c r="X95" s="5" t="e">
        <f t="shared" si="28"/>
        <v>#REF!</v>
      </c>
      <c r="Y95" s="5" t="e">
        <f t="shared" si="29"/>
        <v>#REF!</v>
      </c>
      <c r="Z95" s="5" t="e">
        <f t="shared" si="30"/>
        <v>#REF!</v>
      </c>
      <c r="AA95" s="5" t="e">
        <f t="shared" si="31"/>
        <v>#REF!</v>
      </c>
      <c r="AB95" s="6" t="e">
        <f t="shared" si="32"/>
        <v>#REF!</v>
      </c>
      <c r="AC95" s="142" t="e">
        <f t="shared" si="33"/>
        <v>#REF!</v>
      </c>
      <c r="AD95" s="143" t="e">
        <f>[1]!Table2[[#This Row],[Base Rate ]]</f>
        <v>#REF!</v>
      </c>
      <c r="AE95" s="144" t="e">
        <f t="shared" si="34"/>
        <v>#REF!</v>
      </c>
      <c r="AG95" s="6" t="e">
        <f>[1]!Table2[[#This Row],[Total Due]]-AE95</f>
        <v>#REF!</v>
      </c>
    </row>
    <row r="96" spans="1:33">
      <c r="A96" s="1" t="s">
        <v>86</v>
      </c>
      <c r="B96" s="11"/>
      <c r="C96" s="11">
        <v>1852000</v>
      </c>
      <c r="D96" s="11">
        <v>1865000</v>
      </c>
      <c r="E96" s="11">
        <v>0</v>
      </c>
      <c r="F96" s="11">
        <f t="shared" si="23"/>
        <v>13000</v>
      </c>
      <c r="G96" s="17">
        <f t="shared" si="39"/>
        <v>40.090000000000003</v>
      </c>
      <c r="H96" s="17">
        <f t="shared" si="40"/>
        <v>6.5400000000000009</v>
      </c>
      <c r="I96" s="17">
        <f t="shared" si="41"/>
        <v>0</v>
      </c>
      <c r="J96" s="18">
        <f t="shared" si="42"/>
        <v>0</v>
      </c>
      <c r="K96" s="18">
        <f t="shared" si="43"/>
        <v>0</v>
      </c>
      <c r="L96" s="18">
        <f t="shared" si="24"/>
        <v>46.63</v>
      </c>
      <c r="M96" s="18">
        <f t="shared" si="44"/>
        <v>0</v>
      </c>
      <c r="N96" s="18">
        <f t="shared" si="25"/>
        <v>46.63</v>
      </c>
      <c r="O96" s="8"/>
      <c r="P96" s="137" t="e">
        <f>[1]!Table2[[#This Row],[Usage]]-30000</f>
        <v>#REF!</v>
      </c>
      <c r="Q96" s="1">
        <f t="shared" si="26"/>
        <v>13000</v>
      </c>
      <c r="R96" s="1" t="e">
        <f>IF([1]!Table2[[#This Row],[Usage above 30000]]&gt;0,[1]!Table2[[#This Row],[Usage above 30000]],0)</f>
        <v>#REF!</v>
      </c>
      <c r="S96" s="138" t="e">
        <f t="shared" si="27"/>
        <v>#REF!</v>
      </c>
      <c r="T96" s="138" t="e">
        <f t="shared" si="35"/>
        <v>#REF!</v>
      </c>
      <c r="U96" s="138" t="e">
        <f t="shared" si="36"/>
        <v>#REF!</v>
      </c>
      <c r="V96" s="138" t="e">
        <f t="shared" si="37"/>
        <v>#REF!</v>
      </c>
      <c r="W96" s="138" t="e">
        <f t="shared" si="38"/>
        <v>#REF!</v>
      </c>
      <c r="X96" s="5" t="e">
        <f t="shared" si="28"/>
        <v>#REF!</v>
      </c>
      <c r="Y96" s="5" t="e">
        <f t="shared" si="29"/>
        <v>#REF!</v>
      </c>
      <c r="Z96" s="5" t="e">
        <f t="shared" si="30"/>
        <v>#REF!</v>
      </c>
      <c r="AA96" s="5" t="e">
        <f t="shared" si="31"/>
        <v>#REF!</v>
      </c>
      <c r="AB96" s="6" t="e">
        <f t="shared" si="32"/>
        <v>#REF!</v>
      </c>
      <c r="AC96" s="142" t="e">
        <f t="shared" si="33"/>
        <v>#REF!</v>
      </c>
      <c r="AD96" s="143" t="e">
        <f>[1]!Table2[[#This Row],[Base Rate ]]</f>
        <v>#REF!</v>
      </c>
      <c r="AE96" s="144" t="e">
        <f t="shared" si="34"/>
        <v>#REF!</v>
      </c>
      <c r="AG96" s="6" t="e">
        <f>[1]!Table2[[#This Row],[Total Due]]-AE96</f>
        <v>#REF!</v>
      </c>
    </row>
    <row r="97" spans="1:33">
      <c r="A97" s="1" t="s">
        <v>87</v>
      </c>
      <c r="B97" s="11" t="s">
        <v>138</v>
      </c>
      <c r="C97" s="11">
        <v>0</v>
      </c>
      <c r="D97" s="11">
        <v>0</v>
      </c>
      <c r="E97" s="11">
        <v>0</v>
      </c>
      <c r="F97" s="11">
        <f t="shared" si="23"/>
        <v>0</v>
      </c>
      <c r="G97" s="17">
        <f t="shared" si="39"/>
        <v>11.79</v>
      </c>
      <c r="H97" s="17">
        <f t="shared" si="40"/>
        <v>0</v>
      </c>
      <c r="I97" s="17">
        <f t="shared" si="41"/>
        <v>0</v>
      </c>
      <c r="J97" s="18">
        <f t="shared" si="42"/>
        <v>0</v>
      </c>
      <c r="K97" s="18">
        <f t="shared" si="43"/>
        <v>0</v>
      </c>
      <c r="L97" s="18">
        <f t="shared" si="24"/>
        <v>11.79</v>
      </c>
      <c r="M97" s="18">
        <f t="shared" si="44"/>
        <v>0</v>
      </c>
      <c r="N97" s="18">
        <f t="shared" si="25"/>
        <v>11.79</v>
      </c>
      <c r="O97" s="8"/>
      <c r="P97" s="137" t="e">
        <f>[1]!Table2[[#This Row],[Usage]]-30000</f>
        <v>#REF!</v>
      </c>
      <c r="Q97" s="1">
        <f t="shared" si="26"/>
        <v>0</v>
      </c>
      <c r="R97" s="1" t="e">
        <f>IF([1]!Table2[[#This Row],[Usage above 30000]]&gt;0,[1]!Table2[[#This Row],[Usage above 30000]],0)</f>
        <v>#REF!</v>
      </c>
      <c r="S97" s="138" t="e">
        <f t="shared" si="27"/>
        <v>#REF!</v>
      </c>
      <c r="T97" s="138" t="e">
        <f t="shared" si="35"/>
        <v>#REF!</v>
      </c>
      <c r="U97" s="138" t="e">
        <f t="shared" si="36"/>
        <v>#REF!</v>
      </c>
      <c r="V97" s="138" t="e">
        <f t="shared" si="37"/>
        <v>#REF!</v>
      </c>
      <c r="W97" s="138" t="e">
        <f t="shared" si="38"/>
        <v>#REF!</v>
      </c>
      <c r="X97" s="5" t="e">
        <f t="shared" si="28"/>
        <v>#REF!</v>
      </c>
      <c r="Y97" s="5" t="e">
        <f t="shared" si="29"/>
        <v>#REF!</v>
      </c>
      <c r="Z97" s="5" t="e">
        <f t="shared" si="30"/>
        <v>#REF!</v>
      </c>
      <c r="AA97" s="5" t="e">
        <f t="shared" si="31"/>
        <v>#REF!</v>
      </c>
      <c r="AB97" s="6" t="e">
        <f t="shared" si="32"/>
        <v>#REF!</v>
      </c>
      <c r="AC97" s="142" t="e">
        <f t="shared" si="33"/>
        <v>#REF!</v>
      </c>
      <c r="AD97" s="143" t="e">
        <f>[1]!Table2[[#This Row],[Base Rate ]]</f>
        <v>#REF!</v>
      </c>
      <c r="AE97" s="144" t="e">
        <f t="shared" si="34"/>
        <v>#REF!</v>
      </c>
      <c r="AG97" s="6" t="e">
        <f>[1]!Table2[[#This Row],[Total Due]]-AE97</f>
        <v>#REF!</v>
      </c>
    </row>
    <row r="98" spans="1:33">
      <c r="A98" s="1" t="s">
        <v>88</v>
      </c>
      <c r="B98" s="11"/>
      <c r="C98" s="11">
        <v>1231000</v>
      </c>
      <c r="D98" s="11">
        <v>1231000</v>
      </c>
      <c r="E98" s="11">
        <v>0</v>
      </c>
      <c r="F98" s="11">
        <f t="shared" si="23"/>
        <v>0</v>
      </c>
      <c r="G98" s="17">
        <f t="shared" si="39"/>
        <v>40.090000000000003</v>
      </c>
      <c r="H98" s="17">
        <f t="shared" si="40"/>
        <v>0</v>
      </c>
      <c r="I98" s="17">
        <f t="shared" si="41"/>
        <v>0</v>
      </c>
      <c r="J98" s="18">
        <f t="shared" si="42"/>
        <v>0</v>
      </c>
      <c r="K98" s="18">
        <f t="shared" si="43"/>
        <v>0</v>
      </c>
      <c r="L98" s="18">
        <f t="shared" si="24"/>
        <v>40.090000000000003</v>
      </c>
      <c r="M98" s="18">
        <f t="shared" si="44"/>
        <v>0</v>
      </c>
      <c r="N98" s="18">
        <f t="shared" si="25"/>
        <v>40.090000000000003</v>
      </c>
      <c r="O98" s="8"/>
      <c r="P98" s="137" t="e">
        <f>[1]!Table2[[#This Row],[Usage]]-30000</f>
        <v>#REF!</v>
      </c>
      <c r="Q98" s="1">
        <f t="shared" si="26"/>
        <v>0</v>
      </c>
      <c r="R98" s="1" t="e">
        <f>IF([1]!Table2[[#This Row],[Usage above 30000]]&gt;0,[1]!Table2[[#This Row],[Usage above 30000]],0)</f>
        <v>#REF!</v>
      </c>
      <c r="S98" s="138" t="e">
        <f t="shared" si="27"/>
        <v>#REF!</v>
      </c>
      <c r="T98" s="138" t="e">
        <f t="shared" si="35"/>
        <v>#REF!</v>
      </c>
      <c r="U98" s="138" t="e">
        <f t="shared" si="36"/>
        <v>#REF!</v>
      </c>
      <c r="V98" s="138" t="e">
        <f t="shared" si="37"/>
        <v>#REF!</v>
      </c>
      <c r="W98" s="138" t="e">
        <f t="shared" si="38"/>
        <v>#REF!</v>
      </c>
      <c r="X98" s="5" t="e">
        <f t="shared" si="28"/>
        <v>#REF!</v>
      </c>
      <c r="Y98" s="5" t="e">
        <f t="shared" si="29"/>
        <v>#REF!</v>
      </c>
      <c r="Z98" s="5" t="e">
        <f t="shared" si="30"/>
        <v>#REF!</v>
      </c>
      <c r="AA98" s="5" t="e">
        <f t="shared" si="31"/>
        <v>#REF!</v>
      </c>
      <c r="AB98" s="6" t="e">
        <f t="shared" si="32"/>
        <v>#REF!</v>
      </c>
      <c r="AC98" s="142" t="e">
        <f t="shared" si="33"/>
        <v>#REF!</v>
      </c>
      <c r="AD98" s="143" t="e">
        <f>[1]!Table2[[#This Row],[Base Rate ]]</f>
        <v>#REF!</v>
      </c>
      <c r="AE98" s="144" t="e">
        <f t="shared" si="34"/>
        <v>#REF!</v>
      </c>
      <c r="AG98" s="6" t="e">
        <f>[1]!Table2[[#This Row],[Total Due]]-AE98</f>
        <v>#REF!</v>
      </c>
    </row>
    <row r="99" spans="1:33">
      <c r="A99" s="1" t="s">
        <v>89</v>
      </c>
      <c r="B99" s="11"/>
      <c r="C99" s="11">
        <v>2262000</v>
      </c>
      <c r="D99" s="11">
        <v>2274000</v>
      </c>
      <c r="E99" s="11">
        <v>0</v>
      </c>
      <c r="F99" s="11">
        <f t="shared" si="23"/>
        <v>12000</v>
      </c>
      <c r="G99" s="17">
        <f t="shared" si="39"/>
        <v>40.090000000000003</v>
      </c>
      <c r="H99" s="17">
        <f t="shared" si="40"/>
        <v>4.3600000000000003</v>
      </c>
      <c r="I99" s="17">
        <f t="shared" si="41"/>
        <v>0</v>
      </c>
      <c r="J99" s="18">
        <f t="shared" si="42"/>
        <v>0</v>
      </c>
      <c r="K99" s="18">
        <f t="shared" si="43"/>
        <v>0</v>
      </c>
      <c r="L99" s="18">
        <f t="shared" si="24"/>
        <v>44.45</v>
      </c>
      <c r="M99" s="18">
        <f t="shared" si="44"/>
        <v>0</v>
      </c>
      <c r="N99" s="18">
        <f t="shared" si="25"/>
        <v>44.45</v>
      </c>
      <c r="O99" s="8"/>
      <c r="P99" s="137" t="e">
        <f>[1]!Table2[[#This Row],[Usage]]-30000</f>
        <v>#REF!</v>
      </c>
      <c r="Q99" s="1">
        <f t="shared" si="26"/>
        <v>12000</v>
      </c>
      <c r="R99" s="1" t="e">
        <f>IF([1]!Table2[[#This Row],[Usage above 30000]]&gt;0,[1]!Table2[[#This Row],[Usage above 30000]],0)</f>
        <v>#REF!</v>
      </c>
      <c r="S99" s="138" t="e">
        <f t="shared" si="27"/>
        <v>#REF!</v>
      </c>
      <c r="T99" s="138" t="e">
        <f t="shared" si="35"/>
        <v>#REF!</v>
      </c>
      <c r="U99" s="138" t="e">
        <f t="shared" si="36"/>
        <v>#REF!</v>
      </c>
      <c r="V99" s="138" t="e">
        <f t="shared" si="37"/>
        <v>#REF!</v>
      </c>
      <c r="W99" s="138" t="e">
        <f t="shared" si="38"/>
        <v>#REF!</v>
      </c>
      <c r="X99" s="5" t="e">
        <f t="shared" si="28"/>
        <v>#REF!</v>
      </c>
      <c r="Y99" s="5" t="e">
        <f t="shared" si="29"/>
        <v>#REF!</v>
      </c>
      <c r="Z99" s="5" t="e">
        <f t="shared" si="30"/>
        <v>#REF!</v>
      </c>
      <c r="AA99" s="5" t="e">
        <f t="shared" si="31"/>
        <v>#REF!</v>
      </c>
      <c r="AB99" s="6" t="e">
        <f t="shared" si="32"/>
        <v>#REF!</v>
      </c>
      <c r="AC99" s="142" t="e">
        <f t="shared" si="33"/>
        <v>#REF!</v>
      </c>
      <c r="AD99" s="143" t="e">
        <f>[1]!Table2[[#This Row],[Base Rate ]]</f>
        <v>#REF!</v>
      </c>
      <c r="AE99" s="144" t="e">
        <f t="shared" si="34"/>
        <v>#REF!</v>
      </c>
      <c r="AG99" s="6" t="e">
        <f>[1]!Table2[[#This Row],[Total Due]]-AE99</f>
        <v>#REF!</v>
      </c>
    </row>
    <row r="100" spans="1:33">
      <c r="A100" s="1" t="s">
        <v>90</v>
      </c>
      <c r="B100" s="11"/>
      <c r="C100" s="11">
        <v>1240000</v>
      </c>
      <c r="D100" s="11">
        <v>1249000</v>
      </c>
      <c r="E100" s="11">
        <v>0</v>
      </c>
      <c r="F100" s="11">
        <f t="shared" si="23"/>
        <v>9000</v>
      </c>
      <c r="G100" s="17">
        <f t="shared" si="39"/>
        <v>40.090000000000003</v>
      </c>
      <c r="H100" s="17">
        <f t="shared" si="40"/>
        <v>0</v>
      </c>
      <c r="I100" s="17">
        <f t="shared" si="41"/>
        <v>0</v>
      </c>
      <c r="J100" s="18">
        <f t="shared" si="42"/>
        <v>0</v>
      </c>
      <c r="K100" s="18">
        <f t="shared" si="43"/>
        <v>0</v>
      </c>
      <c r="L100" s="18">
        <f t="shared" si="24"/>
        <v>40.090000000000003</v>
      </c>
      <c r="M100" s="18">
        <f t="shared" si="44"/>
        <v>0</v>
      </c>
      <c r="N100" s="18">
        <f t="shared" si="25"/>
        <v>40.090000000000003</v>
      </c>
      <c r="O100" s="8"/>
      <c r="P100" s="137" t="e">
        <f>[1]!Table2[[#This Row],[Usage]]-30000</f>
        <v>#REF!</v>
      </c>
      <c r="Q100" s="1">
        <f t="shared" si="26"/>
        <v>9000</v>
      </c>
      <c r="R100" s="1" t="e">
        <f>IF([1]!Table2[[#This Row],[Usage above 30000]]&gt;0,[1]!Table2[[#This Row],[Usage above 30000]],0)</f>
        <v>#REF!</v>
      </c>
      <c r="S100" s="138" t="e">
        <f t="shared" si="27"/>
        <v>#REF!</v>
      </c>
      <c r="T100" s="138" t="e">
        <f t="shared" si="35"/>
        <v>#REF!</v>
      </c>
      <c r="U100" s="138" t="e">
        <f t="shared" si="36"/>
        <v>#REF!</v>
      </c>
      <c r="V100" s="138" t="e">
        <f t="shared" si="37"/>
        <v>#REF!</v>
      </c>
      <c r="W100" s="138" t="e">
        <f t="shared" si="38"/>
        <v>#REF!</v>
      </c>
      <c r="X100" s="5" t="e">
        <f t="shared" si="28"/>
        <v>#REF!</v>
      </c>
      <c r="Y100" s="5" t="e">
        <f t="shared" si="29"/>
        <v>#REF!</v>
      </c>
      <c r="Z100" s="5" t="e">
        <f t="shared" si="30"/>
        <v>#REF!</v>
      </c>
      <c r="AA100" s="5" t="e">
        <f t="shared" si="31"/>
        <v>#REF!</v>
      </c>
      <c r="AB100" s="6" t="e">
        <f t="shared" si="32"/>
        <v>#REF!</v>
      </c>
      <c r="AC100" s="142" t="e">
        <f t="shared" si="33"/>
        <v>#REF!</v>
      </c>
      <c r="AD100" s="143" t="e">
        <f>[1]!Table2[[#This Row],[Base Rate ]]</f>
        <v>#REF!</v>
      </c>
      <c r="AE100" s="144" t="e">
        <f t="shared" si="34"/>
        <v>#REF!</v>
      </c>
      <c r="AG100" s="6" t="e">
        <f>[1]!Table2[[#This Row],[Total Due]]-AE100</f>
        <v>#REF!</v>
      </c>
    </row>
    <row r="101" spans="1:33">
      <c r="A101" s="1" t="s">
        <v>91</v>
      </c>
      <c r="B101" s="11"/>
      <c r="C101" s="11">
        <v>254000</v>
      </c>
      <c r="D101" s="11">
        <v>261000</v>
      </c>
      <c r="E101" s="11">
        <v>0</v>
      </c>
      <c r="F101" s="11">
        <f t="shared" si="23"/>
        <v>7000</v>
      </c>
      <c r="G101" s="17">
        <f t="shared" si="39"/>
        <v>40.090000000000003</v>
      </c>
      <c r="H101" s="17">
        <f t="shared" si="40"/>
        <v>0</v>
      </c>
      <c r="I101" s="17">
        <f t="shared" si="41"/>
        <v>0</v>
      </c>
      <c r="J101" s="18">
        <f t="shared" si="42"/>
        <v>0</v>
      </c>
      <c r="K101" s="18">
        <f t="shared" si="43"/>
        <v>0</v>
      </c>
      <c r="L101" s="18">
        <f t="shared" si="24"/>
        <v>40.090000000000003</v>
      </c>
      <c r="M101" s="18">
        <f t="shared" si="44"/>
        <v>0</v>
      </c>
      <c r="N101" s="18">
        <f t="shared" si="25"/>
        <v>40.090000000000003</v>
      </c>
      <c r="O101" s="8"/>
      <c r="P101" s="137" t="e">
        <f>[1]!Table2[[#This Row],[Usage]]-30000</f>
        <v>#REF!</v>
      </c>
      <c r="Q101" s="1">
        <f t="shared" si="26"/>
        <v>7000</v>
      </c>
      <c r="R101" s="1" t="e">
        <f>IF([1]!Table2[[#This Row],[Usage above 30000]]&gt;0,[1]!Table2[[#This Row],[Usage above 30000]],0)</f>
        <v>#REF!</v>
      </c>
      <c r="S101" s="138" t="e">
        <f t="shared" si="27"/>
        <v>#REF!</v>
      </c>
      <c r="T101" s="138" t="e">
        <f t="shared" si="35"/>
        <v>#REF!</v>
      </c>
      <c r="U101" s="138" t="e">
        <f t="shared" si="36"/>
        <v>#REF!</v>
      </c>
      <c r="V101" s="138" t="e">
        <f t="shared" si="37"/>
        <v>#REF!</v>
      </c>
      <c r="W101" s="138" t="e">
        <f t="shared" si="38"/>
        <v>#REF!</v>
      </c>
      <c r="X101" s="5" t="e">
        <f t="shared" si="28"/>
        <v>#REF!</v>
      </c>
      <c r="Y101" s="5" t="e">
        <f t="shared" si="29"/>
        <v>#REF!</v>
      </c>
      <c r="Z101" s="5" t="e">
        <f t="shared" si="30"/>
        <v>#REF!</v>
      </c>
      <c r="AA101" s="5" t="e">
        <f t="shared" si="31"/>
        <v>#REF!</v>
      </c>
      <c r="AB101" s="6" t="e">
        <f t="shared" si="32"/>
        <v>#REF!</v>
      </c>
      <c r="AC101" s="142" t="e">
        <f t="shared" si="33"/>
        <v>#REF!</v>
      </c>
      <c r="AD101" s="143" t="e">
        <f>[1]!Table2[[#This Row],[Base Rate ]]</f>
        <v>#REF!</v>
      </c>
      <c r="AE101" s="144" t="e">
        <f t="shared" si="34"/>
        <v>#REF!</v>
      </c>
      <c r="AG101" s="6" t="e">
        <f>[1]!Table2[[#This Row],[Total Due]]-AE101</f>
        <v>#REF!</v>
      </c>
    </row>
    <row r="102" spans="1:33">
      <c r="A102" s="1" t="s">
        <v>92</v>
      </c>
      <c r="B102" s="11"/>
      <c r="C102" s="11">
        <v>2518000</v>
      </c>
      <c r="D102" s="11">
        <v>2532000</v>
      </c>
      <c r="E102" s="11">
        <v>0</v>
      </c>
      <c r="F102" s="11">
        <f t="shared" si="23"/>
        <v>14000</v>
      </c>
      <c r="G102" s="17">
        <f t="shared" si="39"/>
        <v>40.090000000000003</v>
      </c>
      <c r="H102" s="17">
        <f t="shared" si="40"/>
        <v>8.7200000000000006</v>
      </c>
      <c r="I102" s="17">
        <f t="shared" si="41"/>
        <v>0</v>
      </c>
      <c r="J102" s="18">
        <f t="shared" si="42"/>
        <v>0</v>
      </c>
      <c r="K102" s="18">
        <f t="shared" si="43"/>
        <v>0</v>
      </c>
      <c r="L102" s="18">
        <f t="shared" si="24"/>
        <v>48.81</v>
      </c>
      <c r="M102" s="18">
        <f t="shared" si="44"/>
        <v>0</v>
      </c>
      <c r="N102" s="18">
        <f t="shared" si="25"/>
        <v>48.81</v>
      </c>
      <c r="O102" s="8"/>
      <c r="P102" s="137" t="e">
        <f>[1]!Table2[[#This Row],[Usage]]-30000</f>
        <v>#REF!</v>
      </c>
      <c r="Q102" s="1">
        <f t="shared" si="26"/>
        <v>14000</v>
      </c>
      <c r="R102" s="1" t="e">
        <f>IF([1]!Table2[[#This Row],[Usage above 30000]]&gt;0,[1]!Table2[[#This Row],[Usage above 30000]],0)</f>
        <v>#REF!</v>
      </c>
      <c r="S102" s="138" t="e">
        <f t="shared" si="27"/>
        <v>#REF!</v>
      </c>
      <c r="T102" s="138" t="e">
        <f t="shared" si="35"/>
        <v>#REF!</v>
      </c>
      <c r="U102" s="138" t="e">
        <f t="shared" si="36"/>
        <v>#REF!</v>
      </c>
      <c r="V102" s="138" t="e">
        <f t="shared" si="37"/>
        <v>#REF!</v>
      </c>
      <c r="W102" s="138" t="e">
        <f t="shared" si="38"/>
        <v>#REF!</v>
      </c>
      <c r="X102" s="5" t="e">
        <f t="shared" si="28"/>
        <v>#REF!</v>
      </c>
      <c r="Y102" s="5" t="e">
        <f t="shared" si="29"/>
        <v>#REF!</v>
      </c>
      <c r="Z102" s="5" t="e">
        <f t="shared" si="30"/>
        <v>#REF!</v>
      </c>
      <c r="AA102" s="5" t="e">
        <f t="shared" si="31"/>
        <v>#REF!</v>
      </c>
      <c r="AB102" s="6" t="e">
        <f t="shared" si="32"/>
        <v>#REF!</v>
      </c>
      <c r="AC102" s="142" t="e">
        <f t="shared" si="33"/>
        <v>#REF!</v>
      </c>
      <c r="AD102" s="143" t="e">
        <f>[1]!Table2[[#This Row],[Base Rate ]]</f>
        <v>#REF!</v>
      </c>
      <c r="AE102" s="144" t="e">
        <f t="shared" si="34"/>
        <v>#REF!</v>
      </c>
      <c r="AG102" s="6" t="e">
        <f>[1]!Table2[[#This Row],[Total Due]]-AE102</f>
        <v>#REF!</v>
      </c>
    </row>
    <row r="103" spans="1:33">
      <c r="A103" s="1" t="s">
        <v>93</v>
      </c>
      <c r="B103" s="11" t="s">
        <v>138</v>
      </c>
      <c r="C103" s="11">
        <v>0</v>
      </c>
      <c r="D103" s="11">
        <v>0</v>
      </c>
      <c r="E103" s="11">
        <v>0</v>
      </c>
      <c r="F103" s="11">
        <f t="shared" si="23"/>
        <v>0</v>
      </c>
      <c r="G103" s="17">
        <f t="shared" si="39"/>
        <v>11.79</v>
      </c>
      <c r="H103" s="17">
        <f t="shared" si="40"/>
        <v>0</v>
      </c>
      <c r="I103" s="17">
        <f t="shared" si="41"/>
        <v>0</v>
      </c>
      <c r="J103" s="18">
        <f t="shared" si="42"/>
        <v>0</v>
      </c>
      <c r="K103" s="18">
        <f t="shared" si="43"/>
        <v>0</v>
      </c>
      <c r="L103" s="18">
        <f t="shared" si="24"/>
        <v>11.79</v>
      </c>
      <c r="M103" s="18">
        <f t="shared" si="44"/>
        <v>0</v>
      </c>
      <c r="N103" s="18">
        <f t="shared" si="25"/>
        <v>11.79</v>
      </c>
      <c r="O103" s="8"/>
      <c r="P103" s="137" t="e">
        <f>[1]!Table2[[#This Row],[Usage]]-30000</f>
        <v>#REF!</v>
      </c>
      <c r="Q103" s="1">
        <f t="shared" si="26"/>
        <v>0</v>
      </c>
      <c r="R103" s="1" t="e">
        <f>IF([1]!Table2[[#This Row],[Usage above 30000]]&gt;0,[1]!Table2[[#This Row],[Usage above 30000]],0)</f>
        <v>#REF!</v>
      </c>
      <c r="S103" s="138" t="e">
        <f t="shared" si="27"/>
        <v>#REF!</v>
      </c>
      <c r="T103" s="138" t="e">
        <f t="shared" si="35"/>
        <v>#REF!</v>
      </c>
      <c r="U103" s="138" t="e">
        <f t="shared" si="36"/>
        <v>#REF!</v>
      </c>
      <c r="V103" s="138" t="e">
        <f t="shared" si="37"/>
        <v>#REF!</v>
      </c>
      <c r="W103" s="138" t="e">
        <f t="shared" si="38"/>
        <v>#REF!</v>
      </c>
      <c r="X103" s="5" t="e">
        <f t="shared" si="28"/>
        <v>#REF!</v>
      </c>
      <c r="Y103" s="5" t="e">
        <f t="shared" si="29"/>
        <v>#REF!</v>
      </c>
      <c r="Z103" s="5" t="e">
        <f t="shared" si="30"/>
        <v>#REF!</v>
      </c>
      <c r="AA103" s="5" t="e">
        <f t="shared" si="31"/>
        <v>#REF!</v>
      </c>
      <c r="AB103" s="6" t="e">
        <f t="shared" si="32"/>
        <v>#REF!</v>
      </c>
      <c r="AC103" s="142" t="e">
        <f t="shared" si="33"/>
        <v>#REF!</v>
      </c>
      <c r="AD103" s="143" t="e">
        <f>[1]!Table2[[#This Row],[Base Rate ]]</f>
        <v>#REF!</v>
      </c>
      <c r="AE103" s="144" t="e">
        <f t="shared" si="34"/>
        <v>#REF!</v>
      </c>
      <c r="AG103" s="6" t="e">
        <f>[1]!Table2[[#This Row],[Total Due]]-AE103</f>
        <v>#REF!</v>
      </c>
    </row>
    <row r="104" spans="1:33">
      <c r="A104" s="1" t="s">
        <v>94</v>
      </c>
      <c r="B104" s="11" t="s">
        <v>138</v>
      </c>
      <c r="C104" s="11">
        <v>0</v>
      </c>
      <c r="D104" s="11">
        <v>0</v>
      </c>
      <c r="E104" s="11">
        <v>0</v>
      </c>
      <c r="F104" s="11">
        <f t="shared" si="23"/>
        <v>0</v>
      </c>
      <c r="G104" s="17">
        <f t="shared" si="39"/>
        <v>11.79</v>
      </c>
      <c r="H104" s="17">
        <f t="shared" si="40"/>
        <v>0</v>
      </c>
      <c r="I104" s="17">
        <f t="shared" si="41"/>
        <v>0</v>
      </c>
      <c r="J104" s="18">
        <f t="shared" si="42"/>
        <v>0</v>
      </c>
      <c r="K104" s="18">
        <f t="shared" si="43"/>
        <v>0</v>
      </c>
      <c r="L104" s="18">
        <f t="shared" si="24"/>
        <v>11.79</v>
      </c>
      <c r="M104" s="18">
        <f t="shared" si="44"/>
        <v>0</v>
      </c>
      <c r="N104" s="18">
        <f t="shared" si="25"/>
        <v>11.79</v>
      </c>
      <c r="O104" s="8"/>
      <c r="P104" s="137" t="e">
        <f>[1]!Table2[[#This Row],[Usage]]-30000</f>
        <v>#REF!</v>
      </c>
      <c r="Q104" s="1">
        <f t="shared" si="26"/>
        <v>0</v>
      </c>
      <c r="R104" s="1" t="e">
        <f>IF([1]!Table2[[#This Row],[Usage above 30000]]&gt;0,[1]!Table2[[#This Row],[Usage above 30000]],0)</f>
        <v>#REF!</v>
      </c>
      <c r="S104" s="138" t="e">
        <f t="shared" si="27"/>
        <v>#REF!</v>
      </c>
      <c r="T104" s="138" t="e">
        <f t="shared" si="35"/>
        <v>#REF!</v>
      </c>
      <c r="U104" s="138" t="e">
        <f t="shared" si="36"/>
        <v>#REF!</v>
      </c>
      <c r="V104" s="138" t="e">
        <f t="shared" si="37"/>
        <v>#REF!</v>
      </c>
      <c r="W104" s="138" t="e">
        <f t="shared" si="38"/>
        <v>#REF!</v>
      </c>
      <c r="X104" s="5" t="e">
        <f t="shared" si="28"/>
        <v>#REF!</v>
      </c>
      <c r="Y104" s="5" t="e">
        <f t="shared" si="29"/>
        <v>#REF!</v>
      </c>
      <c r="Z104" s="5" t="e">
        <f t="shared" si="30"/>
        <v>#REF!</v>
      </c>
      <c r="AA104" s="5" t="e">
        <f t="shared" si="31"/>
        <v>#REF!</v>
      </c>
      <c r="AB104" s="6" t="e">
        <f t="shared" si="32"/>
        <v>#REF!</v>
      </c>
      <c r="AC104" s="142" t="e">
        <f t="shared" si="33"/>
        <v>#REF!</v>
      </c>
      <c r="AD104" s="143" t="e">
        <f>[1]!Table2[[#This Row],[Base Rate ]]</f>
        <v>#REF!</v>
      </c>
      <c r="AE104" s="144" t="e">
        <f t="shared" si="34"/>
        <v>#REF!</v>
      </c>
      <c r="AG104" s="6" t="e">
        <f>[1]!Table2[[#This Row],[Total Due]]-AE104</f>
        <v>#REF!</v>
      </c>
    </row>
    <row r="105" spans="1:33">
      <c r="A105" s="1" t="s">
        <v>95</v>
      </c>
      <c r="B105" s="11" t="s">
        <v>138</v>
      </c>
      <c r="C105" s="11">
        <v>0</v>
      </c>
      <c r="D105" s="11">
        <v>0</v>
      </c>
      <c r="E105" s="11">
        <v>0</v>
      </c>
      <c r="F105" s="11">
        <f t="shared" si="23"/>
        <v>0</v>
      </c>
      <c r="G105" s="17">
        <f t="shared" si="39"/>
        <v>11.79</v>
      </c>
      <c r="H105" s="17">
        <f t="shared" si="40"/>
        <v>0</v>
      </c>
      <c r="I105" s="17">
        <f t="shared" si="41"/>
        <v>0</v>
      </c>
      <c r="J105" s="18">
        <f t="shared" si="42"/>
        <v>0</v>
      </c>
      <c r="K105" s="18">
        <f t="shared" si="43"/>
        <v>0</v>
      </c>
      <c r="L105" s="18">
        <f t="shared" si="24"/>
        <v>11.79</v>
      </c>
      <c r="M105" s="18">
        <f t="shared" si="44"/>
        <v>0</v>
      </c>
      <c r="N105" s="18">
        <f t="shared" si="25"/>
        <v>11.79</v>
      </c>
      <c r="O105" s="8"/>
      <c r="P105" s="137" t="e">
        <f>[1]!Table2[[#This Row],[Usage]]-30000</f>
        <v>#REF!</v>
      </c>
      <c r="Q105" s="1">
        <f t="shared" si="26"/>
        <v>0</v>
      </c>
      <c r="R105" s="1" t="e">
        <f>IF([1]!Table2[[#This Row],[Usage above 30000]]&gt;0,[1]!Table2[[#This Row],[Usage above 30000]],0)</f>
        <v>#REF!</v>
      </c>
      <c r="S105" s="138" t="e">
        <f t="shared" si="27"/>
        <v>#REF!</v>
      </c>
      <c r="T105" s="138" t="e">
        <f t="shared" si="35"/>
        <v>#REF!</v>
      </c>
      <c r="U105" s="138" t="e">
        <f t="shared" si="36"/>
        <v>#REF!</v>
      </c>
      <c r="V105" s="138" t="e">
        <f t="shared" si="37"/>
        <v>#REF!</v>
      </c>
      <c r="W105" s="138" t="e">
        <f t="shared" si="38"/>
        <v>#REF!</v>
      </c>
      <c r="X105" s="5" t="e">
        <f t="shared" si="28"/>
        <v>#REF!</v>
      </c>
      <c r="Y105" s="5" t="e">
        <f t="shared" si="29"/>
        <v>#REF!</v>
      </c>
      <c r="Z105" s="5" t="e">
        <f t="shared" si="30"/>
        <v>#REF!</v>
      </c>
      <c r="AA105" s="5" t="e">
        <f t="shared" si="31"/>
        <v>#REF!</v>
      </c>
      <c r="AB105" s="6" t="e">
        <f t="shared" si="32"/>
        <v>#REF!</v>
      </c>
      <c r="AC105" s="142" t="e">
        <f t="shared" si="33"/>
        <v>#REF!</v>
      </c>
      <c r="AD105" s="143" t="e">
        <f>[1]!Table2[[#This Row],[Base Rate ]]</f>
        <v>#REF!</v>
      </c>
      <c r="AE105" s="144" t="e">
        <f t="shared" si="34"/>
        <v>#REF!</v>
      </c>
      <c r="AG105" s="6" t="e">
        <f>[1]!Table2[[#This Row],[Total Due]]-AE105</f>
        <v>#REF!</v>
      </c>
    </row>
    <row r="106" spans="1:33">
      <c r="A106" s="1" t="s">
        <v>96</v>
      </c>
      <c r="B106" s="11"/>
      <c r="C106" s="11">
        <v>1842000</v>
      </c>
      <c r="D106" s="11">
        <v>1856000</v>
      </c>
      <c r="E106" s="11">
        <v>0</v>
      </c>
      <c r="F106" s="11">
        <f t="shared" si="23"/>
        <v>14000</v>
      </c>
      <c r="G106" s="17">
        <f t="shared" si="39"/>
        <v>40.090000000000003</v>
      </c>
      <c r="H106" s="17">
        <f t="shared" si="40"/>
        <v>8.7200000000000006</v>
      </c>
      <c r="I106" s="17">
        <f t="shared" si="41"/>
        <v>0</v>
      </c>
      <c r="J106" s="18">
        <f t="shared" si="42"/>
        <v>0</v>
      </c>
      <c r="K106" s="18">
        <f t="shared" si="43"/>
        <v>0</v>
      </c>
      <c r="L106" s="18">
        <f t="shared" si="24"/>
        <v>48.81</v>
      </c>
      <c r="M106" s="18">
        <f t="shared" si="44"/>
        <v>0</v>
      </c>
      <c r="N106" s="18">
        <f t="shared" si="25"/>
        <v>48.81</v>
      </c>
      <c r="O106" s="8"/>
      <c r="P106" s="137" t="e">
        <f>[1]!Table2[[#This Row],[Usage]]-30000</f>
        <v>#REF!</v>
      </c>
      <c r="Q106" s="1">
        <f t="shared" si="26"/>
        <v>14000</v>
      </c>
      <c r="R106" s="1" t="e">
        <f>IF([1]!Table2[[#This Row],[Usage above 30000]]&gt;0,[1]!Table2[[#This Row],[Usage above 30000]],0)</f>
        <v>#REF!</v>
      </c>
      <c r="S106" s="138" t="e">
        <f t="shared" si="27"/>
        <v>#REF!</v>
      </c>
      <c r="T106" s="138" t="e">
        <f t="shared" si="35"/>
        <v>#REF!</v>
      </c>
      <c r="U106" s="138" t="e">
        <f t="shared" si="36"/>
        <v>#REF!</v>
      </c>
      <c r="V106" s="138" t="e">
        <f t="shared" si="37"/>
        <v>#REF!</v>
      </c>
      <c r="W106" s="138" t="e">
        <f t="shared" si="38"/>
        <v>#REF!</v>
      </c>
      <c r="X106" s="5" t="e">
        <f t="shared" si="28"/>
        <v>#REF!</v>
      </c>
      <c r="Y106" s="5" t="e">
        <f t="shared" si="29"/>
        <v>#REF!</v>
      </c>
      <c r="Z106" s="5" t="e">
        <f t="shared" si="30"/>
        <v>#REF!</v>
      </c>
      <c r="AA106" s="5" t="e">
        <f t="shared" si="31"/>
        <v>#REF!</v>
      </c>
      <c r="AB106" s="6" t="e">
        <f t="shared" si="32"/>
        <v>#REF!</v>
      </c>
      <c r="AC106" s="142" t="e">
        <f t="shared" si="33"/>
        <v>#REF!</v>
      </c>
      <c r="AD106" s="143" t="e">
        <f>[1]!Table2[[#This Row],[Base Rate ]]</f>
        <v>#REF!</v>
      </c>
      <c r="AE106" s="144" t="e">
        <f t="shared" si="34"/>
        <v>#REF!</v>
      </c>
      <c r="AG106" s="6" t="e">
        <f>[1]!Table2[[#This Row],[Total Due]]-AE106</f>
        <v>#REF!</v>
      </c>
    </row>
    <row r="107" spans="1:33">
      <c r="A107" s="1" t="s">
        <v>97</v>
      </c>
      <c r="B107" s="11" t="s">
        <v>138</v>
      </c>
      <c r="C107" s="11">
        <v>0</v>
      </c>
      <c r="D107" s="11">
        <v>0</v>
      </c>
      <c r="E107" s="11">
        <v>0</v>
      </c>
      <c r="F107" s="11">
        <f t="shared" si="23"/>
        <v>0</v>
      </c>
      <c r="G107" s="17">
        <f t="shared" si="39"/>
        <v>11.79</v>
      </c>
      <c r="H107" s="17">
        <f t="shared" si="40"/>
        <v>0</v>
      </c>
      <c r="I107" s="17">
        <f t="shared" si="41"/>
        <v>0</v>
      </c>
      <c r="J107" s="18">
        <f t="shared" si="42"/>
        <v>0</v>
      </c>
      <c r="K107" s="18">
        <f t="shared" si="43"/>
        <v>0</v>
      </c>
      <c r="L107" s="18">
        <f t="shared" si="24"/>
        <v>11.79</v>
      </c>
      <c r="M107" s="18">
        <f t="shared" si="44"/>
        <v>0</v>
      </c>
      <c r="N107" s="18">
        <f t="shared" si="25"/>
        <v>11.79</v>
      </c>
      <c r="O107" s="8"/>
      <c r="P107" s="137" t="e">
        <f>[1]!Table2[[#This Row],[Usage]]-30000</f>
        <v>#REF!</v>
      </c>
      <c r="Q107" s="1">
        <f t="shared" si="26"/>
        <v>0</v>
      </c>
      <c r="R107" s="1" t="e">
        <f>IF([1]!Table2[[#This Row],[Usage above 30000]]&gt;0,[1]!Table2[[#This Row],[Usage above 30000]],0)</f>
        <v>#REF!</v>
      </c>
      <c r="S107" s="138" t="e">
        <f t="shared" si="27"/>
        <v>#REF!</v>
      </c>
      <c r="T107" s="138" t="e">
        <f t="shared" si="35"/>
        <v>#REF!</v>
      </c>
      <c r="U107" s="138" t="e">
        <f t="shared" si="36"/>
        <v>#REF!</v>
      </c>
      <c r="V107" s="138" t="e">
        <f t="shared" si="37"/>
        <v>#REF!</v>
      </c>
      <c r="W107" s="138" t="e">
        <f t="shared" si="38"/>
        <v>#REF!</v>
      </c>
      <c r="X107" s="5" t="e">
        <f t="shared" si="28"/>
        <v>#REF!</v>
      </c>
      <c r="Y107" s="5" t="e">
        <f t="shared" si="29"/>
        <v>#REF!</v>
      </c>
      <c r="Z107" s="5" t="e">
        <f t="shared" si="30"/>
        <v>#REF!</v>
      </c>
      <c r="AA107" s="5" t="e">
        <f t="shared" si="31"/>
        <v>#REF!</v>
      </c>
      <c r="AB107" s="6" t="e">
        <f t="shared" si="32"/>
        <v>#REF!</v>
      </c>
      <c r="AC107" s="142" t="e">
        <f t="shared" si="33"/>
        <v>#REF!</v>
      </c>
      <c r="AD107" s="143" t="e">
        <f>[1]!Table2[[#This Row],[Base Rate ]]</f>
        <v>#REF!</v>
      </c>
      <c r="AE107" s="144" t="e">
        <f t="shared" si="34"/>
        <v>#REF!</v>
      </c>
      <c r="AG107" s="6" t="e">
        <f>[1]!Table2[[#This Row],[Total Due]]-AE107</f>
        <v>#REF!</v>
      </c>
    </row>
    <row r="108" spans="1:33">
      <c r="A108" s="1" t="s">
        <v>98</v>
      </c>
      <c r="B108" s="11" t="s">
        <v>138</v>
      </c>
      <c r="C108" s="11">
        <v>0</v>
      </c>
      <c r="D108" s="11">
        <v>0</v>
      </c>
      <c r="E108" s="11">
        <v>0</v>
      </c>
      <c r="F108" s="11">
        <f t="shared" si="23"/>
        <v>0</v>
      </c>
      <c r="G108" s="17">
        <f t="shared" si="39"/>
        <v>11.79</v>
      </c>
      <c r="H108" s="17">
        <f t="shared" si="40"/>
        <v>0</v>
      </c>
      <c r="I108" s="17">
        <f t="shared" si="41"/>
        <v>0</v>
      </c>
      <c r="J108" s="18">
        <f t="shared" si="42"/>
        <v>0</v>
      </c>
      <c r="K108" s="18">
        <f t="shared" si="43"/>
        <v>0</v>
      </c>
      <c r="L108" s="18">
        <f t="shared" si="24"/>
        <v>11.79</v>
      </c>
      <c r="M108" s="18">
        <f t="shared" si="44"/>
        <v>0</v>
      </c>
      <c r="N108" s="18">
        <f t="shared" si="25"/>
        <v>11.79</v>
      </c>
      <c r="O108" s="8"/>
      <c r="P108" s="137" t="e">
        <f>[1]!Table2[[#This Row],[Usage]]-30000</f>
        <v>#REF!</v>
      </c>
      <c r="Q108" s="1">
        <f t="shared" si="26"/>
        <v>0</v>
      </c>
      <c r="R108" s="1" t="e">
        <f>IF([1]!Table2[[#This Row],[Usage above 30000]]&gt;0,[1]!Table2[[#This Row],[Usage above 30000]],0)</f>
        <v>#REF!</v>
      </c>
      <c r="S108" s="138" t="e">
        <f t="shared" si="27"/>
        <v>#REF!</v>
      </c>
      <c r="T108" s="138" t="e">
        <f t="shared" si="35"/>
        <v>#REF!</v>
      </c>
      <c r="U108" s="138" t="e">
        <f t="shared" si="36"/>
        <v>#REF!</v>
      </c>
      <c r="V108" s="138" t="e">
        <f t="shared" si="37"/>
        <v>#REF!</v>
      </c>
      <c r="W108" s="138" t="e">
        <f t="shared" si="38"/>
        <v>#REF!</v>
      </c>
      <c r="X108" s="5" t="e">
        <f t="shared" si="28"/>
        <v>#REF!</v>
      </c>
      <c r="Y108" s="5" t="e">
        <f t="shared" si="29"/>
        <v>#REF!</v>
      </c>
      <c r="Z108" s="5" t="e">
        <f t="shared" si="30"/>
        <v>#REF!</v>
      </c>
      <c r="AA108" s="5" t="e">
        <f t="shared" si="31"/>
        <v>#REF!</v>
      </c>
      <c r="AB108" s="6" t="e">
        <f t="shared" si="32"/>
        <v>#REF!</v>
      </c>
      <c r="AC108" s="142" t="e">
        <f t="shared" si="33"/>
        <v>#REF!</v>
      </c>
      <c r="AD108" s="143" t="e">
        <f>[1]!Table2[[#This Row],[Base Rate ]]</f>
        <v>#REF!</v>
      </c>
      <c r="AE108" s="144" t="e">
        <f t="shared" si="34"/>
        <v>#REF!</v>
      </c>
      <c r="AG108" s="6" t="e">
        <f>[1]!Table2[[#This Row],[Total Due]]-AE108</f>
        <v>#REF!</v>
      </c>
    </row>
    <row r="109" spans="1:33">
      <c r="A109" s="1" t="s">
        <v>99</v>
      </c>
      <c r="B109" s="11"/>
      <c r="C109" s="11">
        <v>1662000</v>
      </c>
      <c r="D109" s="11">
        <v>1675000</v>
      </c>
      <c r="E109" s="11">
        <v>0</v>
      </c>
      <c r="F109" s="11">
        <f t="shared" si="23"/>
        <v>13000</v>
      </c>
      <c r="G109" s="17">
        <f t="shared" si="39"/>
        <v>40.090000000000003</v>
      </c>
      <c r="H109" s="17">
        <f t="shared" si="40"/>
        <v>6.5400000000000009</v>
      </c>
      <c r="I109" s="17">
        <f t="shared" si="41"/>
        <v>0</v>
      </c>
      <c r="J109" s="18">
        <f t="shared" si="42"/>
        <v>0</v>
      </c>
      <c r="K109" s="18">
        <f t="shared" si="43"/>
        <v>0</v>
      </c>
      <c r="L109" s="18">
        <f t="shared" si="24"/>
        <v>46.63</v>
      </c>
      <c r="M109" s="18">
        <f t="shared" si="44"/>
        <v>0</v>
      </c>
      <c r="N109" s="18">
        <f t="shared" si="25"/>
        <v>46.63</v>
      </c>
      <c r="O109" s="8"/>
      <c r="P109" s="137" t="e">
        <f>[1]!Table2[[#This Row],[Usage]]-30000</f>
        <v>#REF!</v>
      </c>
      <c r="Q109" s="1">
        <f t="shared" si="26"/>
        <v>13000</v>
      </c>
      <c r="R109" s="1" t="e">
        <f>IF([1]!Table2[[#This Row],[Usage above 30000]]&gt;0,[1]!Table2[[#This Row],[Usage above 30000]],0)</f>
        <v>#REF!</v>
      </c>
      <c r="S109" s="138" t="e">
        <f t="shared" si="27"/>
        <v>#REF!</v>
      </c>
      <c r="T109" s="138" t="e">
        <f t="shared" si="35"/>
        <v>#REF!</v>
      </c>
      <c r="U109" s="138" t="e">
        <f t="shared" si="36"/>
        <v>#REF!</v>
      </c>
      <c r="V109" s="138" t="e">
        <f t="shared" si="37"/>
        <v>#REF!</v>
      </c>
      <c r="W109" s="138" t="e">
        <f t="shared" si="38"/>
        <v>#REF!</v>
      </c>
      <c r="X109" s="5" t="e">
        <f t="shared" si="28"/>
        <v>#REF!</v>
      </c>
      <c r="Y109" s="5" t="e">
        <f t="shared" si="29"/>
        <v>#REF!</v>
      </c>
      <c r="Z109" s="5" t="e">
        <f t="shared" si="30"/>
        <v>#REF!</v>
      </c>
      <c r="AA109" s="5" t="e">
        <f t="shared" si="31"/>
        <v>#REF!</v>
      </c>
      <c r="AB109" s="6" t="e">
        <f t="shared" si="32"/>
        <v>#REF!</v>
      </c>
      <c r="AC109" s="142" t="e">
        <f t="shared" si="33"/>
        <v>#REF!</v>
      </c>
      <c r="AD109" s="143" t="e">
        <f>[1]!Table2[[#This Row],[Base Rate ]]</f>
        <v>#REF!</v>
      </c>
      <c r="AE109" s="144" t="e">
        <f t="shared" si="34"/>
        <v>#REF!</v>
      </c>
      <c r="AG109" s="6" t="e">
        <f>[1]!Table2[[#This Row],[Total Due]]-AE109</f>
        <v>#REF!</v>
      </c>
    </row>
    <row r="110" spans="1:33">
      <c r="A110" s="1" t="s">
        <v>100</v>
      </c>
      <c r="B110" s="11"/>
      <c r="C110" s="11">
        <v>515000</v>
      </c>
      <c r="D110" s="11">
        <v>529000</v>
      </c>
      <c r="E110" s="11">
        <v>0</v>
      </c>
      <c r="F110" s="11">
        <f t="shared" si="23"/>
        <v>14000</v>
      </c>
      <c r="G110" s="17">
        <f t="shared" si="39"/>
        <v>40.090000000000003</v>
      </c>
      <c r="H110" s="17">
        <f t="shared" si="40"/>
        <v>8.7200000000000006</v>
      </c>
      <c r="I110" s="17">
        <f t="shared" si="41"/>
        <v>0</v>
      </c>
      <c r="J110" s="18">
        <f t="shared" si="42"/>
        <v>0</v>
      </c>
      <c r="K110" s="18">
        <f t="shared" si="43"/>
        <v>0</v>
      </c>
      <c r="L110" s="18">
        <f t="shared" si="24"/>
        <v>48.81</v>
      </c>
      <c r="M110" s="18">
        <f t="shared" si="44"/>
        <v>0</v>
      </c>
      <c r="N110" s="18">
        <f t="shared" si="25"/>
        <v>48.81</v>
      </c>
      <c r="O110" s="8"/>
      <c r="P110" s="137" t="e">
        <f>[1]!Table2[[#This Row],[Usage]]-30000</f>
        <v>#REF!</v>
      </c>
      <c r="Q110" s="1">
        <f t="shared" si="26"/>
        <v>14000</v>
      </c>
      <c r="R110" s="1" t="e">
        <f>IF([1]!Table2[[#This Row],[Usage above 30000]]&gt;0,[1]!Table2[[#This Row],[Usage above 30000]],0)</f>
        <v>#REF!</v>
      </c>
      <c r="S110" s="138" t="e">
        <f t="shared" si="27"/>
        <v>#REF!</v>
      </c>
      <c r="T110" s="138" t="e">
        <f t="shared" si="35"/>
        <v>#REF!</v>
      </c>
      <c r="U110" s="138" t="e">
        <f t="shared" si="36"/>
        <v>#REF!</v>
      </c>
      <c r="V110" s="138" t="e">
        <f t="shared" si="37"/>
        <v>#REF!</v>
      </c>
      <c r="W110" s="138" t="e">
        <f t="shared" si="38"/>
        <v>#REF!</v>
      </c>
      <c r="X110" s="5" t="e">
        <f t="shared" si="28"/>
        <v>#REF!</v>
      </c>
      <c r="Y110" s="5" t="e">
        <f t="shared" si="29"/>
        <v>#REF!</v>
      </c>
      <c r="Z110" s="5" t="e">
        <f t="shared" si="30"/>
        <v>#REF!</v>
      </c>
      <c r="AA110" s="5" t="e">
        <f t="shared" si="31"/>
        <v>#REF!</v>
      </c>
      <c r="AB110" s="6" t="e">
        <f t="shared" si="32"/>
        <v>#REF!</v>
      </c>
      <c r="AC110" s="142" t="e">
        <f t="shared" si="33"/>
        <v>#REF!</v>
      </c>
      <c r="AD110" s="143" t="e">
        <f>[1]!Table2[[#This Row],[Base Rate ]]</f>
        <v>#REF!</v>
      </c>
      <c r="AE110" s="144" t="e">
        <f t="shared" si="34"/>
        <v>#REF!</v>
      </c>
      <c r="AG110" s="6" t="e">
        <f>[1]!Table2[[#This Row],[Total Due]]-AE110</f>
        <v>#REF!</v>
      </c>
    </row>
    <row r="111" spans="1:33">
      <c r="A111" s="1" t="s">
        <v>101</v>
      </c>
      <c r="B111" s="11"/>
      <c r="C111" s="11">
        <v>4548000</v>
      </c>
      <c r="D111" s="11">
        <v>4556000</v>
      </c>
      <c r="E111" s="11">
        <v>0</v>
      </c>
      <c r="F111" s="11">
        <f t="shared" si="23"/>
        <v>8000</v>
      </c>
      <c r="G111" s="17">
        <f t="shared" si="39"/>
        <v>40.090000000000003</v>
      </c>
      <c r="H111" s="17">
        <f t="shared" si="40"/>
        <v>0</v>
      </c>
      <c r="I111" s="17">
        <f t="shared" si="41"/>
        <v>0</v>
      </c>
      <c r="J111" s="18">
        <f t="shared" si="42"/>
        <v>0</v>
      </c>
      <c r="K111" s="18">
        <f t="shared" si="43"/>
        <v>0</v>
      </c>
      <c r="L111" s="18">
        <f t="shared" si="24"/>
        <v>40.090000000000003</v>
      </c>
      <c r="M111" s="18">
        <f t="shared" si="44"/>
        <v>0</v>
      </c>
      <c r="N111" s="18">
        <f t="shared" si="25"/>
        <v>40.090000000000003</v>
      </c>
      <c r="O111" s="8"/>
      <c r="P111" s="137" t="e">
        <f>[1]!Table2[[#This Row],[Usage]]-30000</f>
        <v>#REF!</v>
      </c>
      <c r="Q111" s="1">
        <f t="shared" si="26"/>
        <v>8000</v>
      </c>
      <c r="R111" s="1" t="e">
        <f>IF([1]!Table2[[#This Row],[Usage above 30000]]&gt;0,[1]!Table2[[#This Row],[Usage above 30000]],0)</f>
        <v>#REF!</v>
      </c>
      <c r="S111" s="138" t="e">
        <f t="shared" si="27"/>
        <v>#REF!</v>
      </c>
      <c r="T111" s="138" t="e">
        <f t="shared" si="35"/>
        <v>#REF!</v>
      </c>
      <c r="U111" s="138" t="e">
        <f t="shared" si="36"/>
        <v>#REF!</v>
      </c>
      <c r="V111" s="138" t="e">
        <f t="shared" si="37"/>
        <v>#REF!</v>
      </c>
      <c r="W111" s="138" t="e">
        <f t="shared" si="38"/>
        <v>#REF!</v>
      </c>
      <c r="X111" s="5" t="e">
        <f t="shared" si="28"/>
        <v>#REF!</v>
      </c>
      <c r="Y111" s="5" t="e">
        <f t="shared" si="29"/>
        <v>#REF!</v>
      </c>
      <c r="Z111" s="5" t="e">
        <f t="shared" si="30"/>
        <v>#REF!</v>
      </c>
      <c r="AA111" s="5" t="e">
        <f t="shared" si="31"/>
        <v>#REF!</v>
      </c>
      <c r="AB111" s="6" t="e">
        <f t="shared" si="32"/>
        <v>#REF!</v>
      </c>
      <c r="AC111" s="142" t="e">
        <f t="shared" si="33"/>
        <v>#REF!</v>
      </c>
      <c r="AD111" s="143" t="e">
        <f>[1]!Table2[[#This Row],[Base Rate ]]</f>
        <v>#REF!</v>
      </c>
      <c r="AE111" s="144" t="e">
        <f t="shared" si="34"/>
        <v>#REF!</v>
      </c>
      <c r="AG111" s="6" t="e">
        <f>[1]!Table2[[#This Row],[Total Due]]-AE111</f>
        <v>#REF!</v>
      </c>
    </row>
    <row r="112" spans="1:33">
      <c r="A112" s="1" t="s">
        <v>102</v>
      </c>
      <c r="B112" s="11" t="s">
        <v>138</v>
      </c>
      <c r="C112" s="11">
        <v>0</v>
      </c>
      <c r="D112" s="11">
        <v>0</v>
      </c>
      <c r="E112" s="11">
        <v>0</v>
      </c>
      <c r="F112" s="11">
        <f t="shared" si="23"/>
        <v>0</v>
      </c>
      <c r="G112" s="17">
        <f t="shared" si="39"/>
        <v>11.79</v>
      </c>
      <c r="H112" s="17">
        <f t="shared" si="40"/>
        <v>0</v>
      </c>
      <c r="I112" s="17">
        <f t="shared" si="41"/>
        <v>0</v>
      </c>
      <c r="J112" s="18">
        <f t="shared" si="42"/>
        <v>0</v>
      </c>
      <c r="K112" s="18">
        <f t="shared" si="43"/>
        <v>0</v>
      </c>
      <c r="L112" s="18">
        <f t="shared" si="24"/>
        <v>11.79</v>
      </c>
      <c r="M112" s="18">
        <f t="shared" si="44"/>
        <v>0</v>
      </c>
      <c r="N112" s="18">
        <f t="shared" si="25"/>
        <v>11.79</v>
      </c>
      <c r="O112" s="8"/>
      <c r="P112" s="137" t="e">
        <f>[1]!Table2[[#This Row],[Usage]]-30000</f>
        <v>#REF!</v>
      </c>
      <c r="Q112" s="1">
        <f t="shared" si="26"/>
        <v>0</v>
      </c>
      <c r="R112" s="1" t="e">
        <f>IF([1]!Table2[[#This Row],[Usage above 30000]]&gt;0,[1]!Table2[[#This Row],[Usage above 30000]],0)</f>
        <v>#REF!</v>
      </c>
      <c r="S112" s="138" t="e">
        <f t="shared" si="27"/>
        <v>#REF!</v>
      </c>
      <c r="T112" s="138" t="e">
        <f t="shared" si="35"/>
        <v>#REF!</v>
      </c>
      <c r="U112" s="138" t="e">
        <f t="shared" si="36"/>
        <v>#REF!</v>
      </c>
      <c r="V112" s="138" t="e">
        <f t="shared" si="37"/>
        <v>#REF!</v>
      </c>
      <c r="W112" s="138" t="e">
        <f t="shared" si="38"/>
        <v>#REF!</v>
      </c>
      <c r="X112" s="5" t="e">
        <f t="shared" si="28"/>
        <v>#REF!</v>
      </c>
      <c r="Y112" s="5" t="e">
        <f t="shared" si="29"/>
        <v>#REF!</v>
      </c>
      <c r="Z112" s="5" t="e">
        <f t="shared" si="30"/>
        <v>#REF!</v>
      </c>
      <c r="AA112" s="5" t="e">
        <f t="shared" si="31"/>
        <v>#REF!</v>
      </c>
      <c r="AB112" s="6" t="e">
        <f t="shared" si="32"/>
        <v>#REF!</v>
      </c>
      <c r="AC112" s="142" t="e">
        <f t="shared" si="33"/>
        <v>#REF!</v>
      </c>
      <c r="AD112" s="143" t="e">
        <f>[1]!Table2[[#This Row],[Base Rate ]]</f>
        <v>#REF!</v>
      </c>
      <c r="AE112" s="144" t="e">
        <f t="shared" si="34"/>
        <v>#REF!</v>
      </c>
      <c r="AG112" s="6" t="e">
        <f>[1]!Table2[[#This Row],[Total Due]]-AE112</f>
        <v>#REF!</v>
      </c>
    </row>
    <row r="113" spans="1:33">
      <c r="A113" s="1" t="s">
        <v>103</v>
      </c>
      <c r="B113" s="11"/>
      <c r="C113" s="11">
        <v>1201000</v>
      </c>
      <c r="D113" s="11">
        <v>1222000</v>
      </c>
      <c r="E113" s="11">
        <v>0</v>
      </c>
      <c r="F113" s="11">
        <f t="shared" si="23"/>
        <v>21000</v>
      </c>
      <c r="G113" s="17">
        <f t="shared" si="39"/>
        <v>40.090000000000003</v>
      </c>
      <c r="H113" s="17">
        <f t="shared" si="40"/>
        <v>21.8</v>
      </c>
      <c r="I113" s="17">
        <f t="shared" si="41"/>
        <v>2.5299999999999998</v>
      </c>
      <c r="J113" s="18">
        <f t="shared" si="42"/>
        <v>0</v>
      </c>
      <c r="K113" s="18">
        <f t="shared" si="43"/>
        <v>0</v>
      </c>
      <c r="L113" s="18">
        <f t="shared" si="24"/>
        <v>64.42</v>
      </c>
      <c r="M113" s="18">
        <f t="shared" ref="M113:M136" si="45">IF(   $H$5=1,    IF((F113-$H$6)&gt;0,((F113-$H$6)/$N$7)*$E$8,0),   IF(F113&gt;0,(F113/$N$4)*$E$8,0)    )</f>
        <v>0</v>
      </c>
      <c r="N113" s="18">
        <f t="shared" si="25"/>
        <v>64.42</v>
      </c>
      <c r="O113" s="8"/>
      <c r="P113" s="137" t="e">
        <f>[1]!Table2[[#This Row],[Usage]]-30000</f>
        <v>#REF!</v>
      </c>
      <c r="Q113" s="1">
        <f t="shared" si="26"/>
        <v>21000</v>
      </c>
      <c r="R113" s="1" t="e">
        <f>IF([1]!Table2[[#This Row],[Usage above 30000]]&gt;0,[1]!Table2[[#This Row],[Usage above 30000]],0)</f>
        <v>#REF!</v>
      </c>
      <c r="S113" s="138" t="e">
        <f t="shared" si="27"/>
        <v>#REF!</v>
      </c>
      <c r="T113" s="138" t="e">
        <f t="shared" si="35"/>
        <v>#REF!</v>
      </c>
      <c r="U113" s="138" t="e">
        <f t="shared" si="36"/>
        <v>#REF!</v>
      </c>
      <c r="V113" s="138" t="e">
        <f t="shared" si="37"/>
        <v>#REF!</v>
      </c>
      <c r="W113" s="138" t="e">
        <f t="shared" si="38"/>
        <v>#REF!</v>
      </c>
      <c r="X113" s="5" t="e">
        <f t="shared" si="28"/>
        <v>#REF!</v>
      </c>
      <c r="Y113" s="5" t="e">
        <f t="shared" si="29"/>
        <v>#REF!</v>
      </c>
      <c r="Z113" s="5" t="e">
        <f t="shared" si="30"/>
        <v>#REF!</v>
      </c>
      <c r="AA113" s="5" t="e">
        <f t="shared" si="31"/>
        <v>#REF!</v>
      </c>
      <c r="AB113" s="6" t="e">
        <f t="shared" si="32"/>
        <v>#REF!</v>
      </c>
      <c r="AC113" s="142" t="e">
        <f t="shared" si="33"/>
        <v>#REF!</v>
      </c>
      <c r="AD113" s="143" t="e">
        <f>[1]!Table2[[#This Row],[Base Rate ]]</f>
        <v>#REF!</v>
      </c>
      <c r="AE113" s="144" t="e">
        <f t="shared" si="34"/>
        <v>#REF!</v>
      </c>
      <c r="AG113" s="6" t="e">
        <f>[1]!Table2[[#This Row],[Total Due]]-AE113</f>
        <v>#REF!</v>
      </c>
    </row>
    <row r="114" spans="1:33">
      <c r="A114" s="1" t="s">
        <v>104</v>
      </c>
      <c r="B114" s="11" t="s">
        <v>138</v>
      </c>
      <c r="C114" s="11">
        <v>0</v>
      </c>
      <c r="D114" s="11">
        <v>0</v>
      </c>
      <c r="E114" s="11">
        <v>0</v>
      </c>
      <c r="F114" s="11">
        <f t="shared" si="23"/>
        <v>0</v>
      </c>
      <c r="G114" s="17">
        <f t="shared" si="39"/>
        <v>11.79</v>
      </c>
      <c r="H114" s="17">
        <f t="shared" si="40"/>
        <v>0</v>
      </c>
      <c r="I114" s="17">
        <f t="shared" si="41"/>
        <v>0</v>
      </c>
      <c r="J114" s="18">
        <f t="shared" si="42"/>
        <v>0</v>
      </c>
      <c r="K114" s="18">
        <f t="shared" si="43"/>
        <v>0</v>
      </c>
      <c r="L114" s="18">
        <f t="shared" si="24"/>
        <v>11.79</v>
      </c>
      <c r="M114" s="18">
        <f t="shared" si="45"/>
        <v>0</v>
      </c>
      <c r="N114" s="18">
        <f t="shared" si="25"/>
        <v>11.79</v>
      </c>
      <c r="O114" s="8"/>
      <c r="P114" s="137" t="e">
        <f>[1]!Table2[[#This Row],[Usage]]-30000</f>
        <v>#REF!</v>
      </c>
      <c r="Q114" s="1">
        <f t="shared" si="26"/>
        <v>0</v>
      </c>
      <c r="R114" s="1" t="e">
        <f>IF([1]!Table2[[#This Row],[Usage above 30000]]&gt;0,[1]!Table2[[#This Row],[Usage above 30000]],0)</f>
        <v>#REF!</v>
      </c>
      <c r="S114" s="138" t="e">
        <f t="shared" si="27"/>
        <v>#REF!</v>
      </c>
      <c r="T114" s="138" t="e">
        <f t="shared" si="35"/>
        <v>#REF!</v>
      </c>
      <c r="U114" s="138" t="e">
        <f t="shared" si="36"/>
        <v>#REF!</v>
      </c>
      <c r="V114" s="138" t="e">
        <f t="shared" si="37"/>
        <v>#REF!</v>
      </c>
      <c r="W114" s="138" t="e">
        <f t="shared" si="38"/>
        <v>#REF!</v>
      </c>
      <c r="X114" s="5" t="e">
        <f t="shared" si="28"/>
        <v>#REF!</v>
      </c>
      <c r="Y114" s="5" t="e">
        <f t="shared" si="29"/>
        <v>#REF!</v>
      </c>
      <c r="Z114" s="5" t="e">
        <f t="shared" si="30"/>
        <v>#REF!</v>
      </c>
      <c r="AA114" s="5" t="e">
        <f t="shared" si="31"/>
        <v>#REF!</v>
      </c>
      <c r="AB114" s="6" t="e">
        <f t="shared" si="32"/>
        <v>#REF!</v>
      </c>
      <c r="AC114" s="142" t="e">
        <f t="shared" si="33"/>
        <v>#REF!</v>
      </c>
      <c r="AD114" s="143" t="e">
        <f>[1]!Table2[[#This Row],[Base Rate ]]</f>
        <v>#REF!</v>
      </c>
      <c r="AE114" s="144" t="e">
        <f t="shared" si="34"/>
        <v>#REF!</v>
      </c>
      <c r="AG114" s="6" t="e">
        <f>[1]!Table2[[#This Row],[Total Due]]-AE114</f>
        <v>#REF!</v>
      </c>
    </row>
    <row r="115" spans="1:33">
      <c r="A115" s="1" t="s">
        <v>105</v>
      </c>
      <c r="B115" s="11"/>
      <c r="C115" s="11">
        <v>1467000</v>
      </c>
      <c r="D115" s="11">
        <v>1475000</v>
      </c>
      <c r="E115" s="11">
        <v>0</v>
      </c>
      <c r="F115" s="11">
        <f t="shared" si="23"/>
        <v>8000</v>
      </c>
      <c r="G115" s="17">
        <f t="shared" si="39"/>
        <v>40.090000000000003</v>
      </c>
      <c r="H115" s="17">
        <f t="shared" si="40"/>
        <v>0</v>
      </c>
      <c r="I115" s="17">
        <f t="shared" si="41"/>
        <v>0</v>
      </c>
      <c r="J115" s="18">
        <f t="shared" si="42"/>
        <v>0</v>
      </c>
      <c r="K115" s="18">
        <f t="shared" si="43"/>
        <v>0</v>
      </c>
      <c r="L115" s="18">
        <f t="shared" si="24"/>
        <v>40.090000000000003</v>
      </c>
      <c r="M115" s="18">
        <f t="shared" si="45"/>
        <v>0</v>
      </c>
      <c r="N115" s="18">
        <f t="shared" si="25"/>
        <v>40.090000000000003</v>
      </c>
      <c r="O115" s="8"/>
      <c r="P115" s="137" t="e">
        <f>[1]!Table2[[#This Row],[Usage]]-30000</f>
        <v>#REF!</v>
      </c>
      <c r="Q115" s="1">
        <f t="shared" si="26"/>
        <v>8000</v>
      </c>
      <c r="R115" s="1" t="e">
        <f>IF([1]!Table2[[#This Row],[Usage above 30000]]&gt;0,[1]!Table2[[#This Row],[Usage above 30000]],0)</f>
        <v>#REF!</v>
      </c>
      <c r="S115" s="138" t="e">
        <f t="shared" si="27"/>
        <v>#REF!</v>
      </c>
      <c r="T115" s="138" t="e">
        <f t="shared" si="35"/>
        <v>#REF!</v>
      </c>
      <c r="U115" s="138" t="e">
        <f t="shared" si="36"/>
        <v>#REF!</v>
      </c>
      <c r="V115" s="138" t="e">
        <f t="shared" si="37"/>
        <v>#REF!</v>
      </c>
      <c r="W115" s="138" t="e">
        <f t="shared" si="38"/>
        <v>#REF!</v>
      </c>
      <c r="X115" s="5" t="e">
        <f t="shared" si="28"/>
        <v>#REF!</v>
      </c>
      <c r="Y115" s="5" t="e">
        <f t="shared" si="29"/>
        <v>#REF!</v>
      </c>
      <c r="Z115" s="5" t="e">
        <f t="shared" si="30"/>
        <v>#REF!</v>
      </c>
      <c r="AA115" s="5" t="e">
        <f t="shared" si="31"/>
        <v>#REF!</v>
      </c>
      <c r="AB115" s="6" t="e">
        <f t="shared" si="32"/>
        <v>#REF!</v>
      </c>
      <c r="AC115" s="142" t="e">
        <f t="shared" si="33"/>
        <v>#REF!</v>
      </c>
      <c r="AD115" s="143" t="e">
        <f>[1]!Table2[[#This Row],[Base Rate ]]</f>
        <v>#REF!</v>
      </c>
      <c r="AE115" s="144" t="e">
        <f t="shared" si="34"/>
        <v>#REF!</v>
      </c>
      <c r="AG115" s="6" t="e">
        <f>[1]!Table2[[#This Row],[Total Due]]-AE115</f>
        <v>#REF!</v>
      </c>
    </row>
    <row r="116" spans="1:33">
      <c r="A116" s="1" t="s">
        <v>106</v>
      </c>
      <c r="B116" s="11"/>
      <c r="C116" s="11">
        <v>1791000</v>
      </c>
      <c r="D116" s="11">
        <v>1794000</v>
      </c>
      <c r="E116" s="11">
        <v>0</v>
      </c>
      <c r="F116" s="11">
        <f t="shared" si="23"/>
        <v>3000</v>
      </c>
      <c r="G116" s="17">
        <f t="shared" si="39"/>
        <v>40.090000000000003</v>
      </c>
      <c r="H116" s="17">
        <f t="shared" si="40"/>
        <v>0</v>
      </c>
      <c r="I116" s="17">
        <f t="shared" si="41"/>
        <v>0</v>
      </c>
      <c r="J116" s="18">
        <f t="shared" si="42"/>
        <v>0</v>
      </c>
      <c r="K116" s="18">
        <f t="shared" si="43"/>
        <v>0</v>
      </c>
      <c r="L116" s="18">
        <f t="shared" si="24"/>
        <v>40.090000000000003</v>
      </c>
      <c r="M116" s="18">
        <f t="shared" si="45"/>
        <v>0</v>
      </c>
      <c r="N116" s="18">
        <f t="shared" si="25"/>
        <v>40.090000000000003</v>
      </c>
      <c r="O116" s="8"/>
      <c r="P116" s="137" t="e">
        <f>[1]!Table2[[#This Row],[Usage]]-30000</f>
        <v>#REF!</v>
      </c>
      <c r="Q116" s="1">
        <f t="shared" si="26"/>
        <v>3000</v>
      </c>
      <c r="R116" s="1" t="e">
        <f>IF([1]!Table2[[#This Row],[Usage above 30000]]&gt;0,[1]!Table2[[#This Row],[Usage above 30000]],0)</f>
        <v>#REF!</v>
      </c>
      <c r="S116" s="138" t="e">
        <f t="shared" si="27"/>
        <v>#REF!</v>
      </c>
      <c r="T116" s="138" t="e">
        <f t="shared" si="35"/>
        <v>#REF!</v>
      </c>
      <c r="U116" s="138" t="e">
        <f t="shared" si="36"/>
        <v>#REF!</v>
      </c>
      <c r="V116" s="138" t="e">
        <f t="shared" si="37"/>
        <v>#REF!</v>
      </c>
      <c r="W116" s="138" t="e">
        <f t="shared" si="38"/>
        <v>#REF!</v>
      </c>
      <c r="X116" s="5" t="e">
        <f t="shared" si="28"/>
        <v>#REF!</v>
      </c>
      <c r="Y116" s="5" t="e">
        <f t="shared" si="29"/>
        <v>#REF!</v>
      </c>
      <c r="Z116" s="5" t="e">
        <f t="shared" si="30"/>
        <v>#REF!</v>
      </c>
      <c r="AA116" s="5" t="e">
        <f t="shared" si="31"/>
        <v>#REF!</v>
      </c>
      <c r="AB116" s="6" t="e">
        <f t="shared" si="32"/>
        <v>#REF!</v>
      </c>
      <c r="AC116" s="142" t="e">
        <f t="shared" si="33"/>
        <v>#REF!</v>
      </c>
      <c r="AD116" s="143" t="e">
        <f>[1]!Table2[[#This Row],[Base Rate ]]</f>
        <v>#REF!</v>
      </c>
      <c r="AE116" s="144" t="e">
        <f t="shared" si="34"/>
        <v>#REF!</v>
      </c>
      <c r="AG116" s="6" t="e">
        <f>[1]!Table2[[#This Row],[Total Due]]-AE116</f>
        <v>#REF!</v>
      </c>
    </row>
    <row r="117" spans="1:33">
      <c r="A117" s="1" t="s">
        <v>107</v>
      </c>
      <c r="B117" s="11"/>
      <c r="C117" s="11">
        <v>322000</v>
      </c>
      <c r="D117" s="11">
        <v>329000</v>
      </c>
      <c r="E117" s="11">
        <v>0</v>
      </c>
      <c r="F117" s="11">
        <f t="shared" si="23"/>
        <v>7000</v>
      </c>
      <c r="G117" s="17">
        <f t="shared" si="39"/>
        <v>40.090000000000003</v>
      </c>
      <c r="H117" s="17">
        <f t="shared" si="40"/>
        <v>0</v>
      </c>
      <c r="I117" s="17">
        <f t="shared" si="41"/>
        <v>0</v>
      </c>
      <c r="J117" s="18">
        <f t="shared" si="42"/>
        <v>0</v>
      </c>
      <c r="K117" s="18">
        <f t="shared" si="43"/>
        <v>0</v>
      </c>
      <c r="L117" s="18">
        <f t="shared" si="24"/>
        <v>40.090000000000003</v>
      </c>
      <c r="M117" s="18">
        <f t="shared" si="45"/>
        <v>0</v>
      </c>
      <c r="N117" s="18">
        <f t="shared" si="25"/>
        <v>40.090000000000003</v>
      </c>
      <c r="O117" s="8"/>
      <c r="P117" s="137" t="e">
        <f>[1]!Table2[[#This Row],[Usage]]-30000</f>
        <v>#REF!</v>
      </c>
      <c r="Q117" s="1">
        <f t="shared" si="26"/>
        <v>7000</v>
      </c>
      <c r="R117" s="1" t="e">
        <f>IF([1]!Table2[[#This Row],[Usage above 30000]]&gt;0,[1]!Table2[[#This Row],[Usage above 30000]],0)</f>
        <v>#REF!</v>
      </c>
      <c r="S117" s="138" t="e">
        <f t="shared" si="27"/>
        <v>#REF!</v>
      </c>
      <c r="T117" s="138" t="e">
        <f t="shared" si="35"/>
        <v>#REF!</v>
      </c>
      <c r="U117" s="138" t="e">
        <f t="shared" si="36"/>
        <v>#REF!</v>
      </c>
      <c r="V117" s="138" t="e">
        <f t="shared" si="37"/>
        <v>#REF!</v>
      </c>
      <c r="W117" s="138" t="e">
        <f t="shared" si="38"/>
        <v>#REF!</v>
      </c>
      <c r="X117" s="5" t="e">
        <f t="shared" si="28"/>
        <v>#REF!</v>
      </c>
      <c r="Y117" s="5" t="e">
        <f t="shared" si="29"/>
        <v>#REF!</v>
      </c>
      <c r="Z117" s="5" t="e">
        <f t="shared" si="30"/>
        <v>#REF!</v>
      </c>
      <c r="AA117" s="5" t="e">
        <f t="shared" si="31"/>
        <v>#REF!</v>
      </c>
      <c r="AB117" s="6" t="e">
        <f t="shared" si="32"/>
        <v>#REF!</v>
      </c>
      <c r="AC117" s="142" t="e">
        <f t="shared" si="33"/>
        <v>#REF!</v>
      </c>
      <c r="AD117" s="143" t="e">
        <f>[1]!Table2[[#This Row],[Base Rate ]]</f>
        <v>#REF!</v>
      </c>
      <c r="AE117" s="144" t="e">
        <f t="shared" si="34"/>
        <v>#REF!</v>
      </c>
      <c r="AG117" s="6" t="e">
        <f>[1]!Table2[[#This Row],[Total Due]]-AE117</f>
        <v>#REF!</v>
      </c>
    </row>
    <row r="118" spans="1:33">
      <c r="A118" s="1" t="s">
        <v>108</v>
      </c>
      <c r="B118" s="11"/>
      <c r="C118" s="11">
        <v>2588000</v>
      </c>
      <c r="D118" s="11">
        <v>2609000</v>
      </c>
      <c r="E118" s="11">
        <v>0</v>
      </c>
      <c r="F118" s="11">
        <f t="shared" si="23"/>
        <v>21000</v>
      </c>
      <c r="G118" s="17">
        <f t="shared" si="39"/>
        <v>40.090000000000003</v>
      </c>
      <c r="H118" s="17">
        <f t="shared" si="40"/>
        <v>21.8</v>
      </c>
      <c r="I118" s="17">
        <f t="shared" si="41"/>
        <v>2.5299999999999998</v>
      </c>
      <c r="J118" s="18">
        <f t="shared" si="42"/>
        <v>0</v>
      </c>
      <c r="K118" s="18">
        <f t="shared" si="43"/>
        <v>0</v>
      </c>
      <c r="L118" s="18">
        <f t="shared" si="24"/>
        <v>64.42</v>
      </c>
      <c r="M118" s="18">
        <f t="shared" si="45"/>
        <v>0</v>
      </c>
      <c r="N118" s="18">
        <f t="shared" si="25"/>
        <v>64.42</v>
      </c>
      <c r="O118" s="8"/>
      <c r="P118" s="137" t="e">
        <f>[1]!Table2[[#This Row],[Usage]]-30000</f>
        <v>#REF!</v>
      </c>
      <c r="Q118" s="1">
        <f t="shared" si="26"/>
        <v>21000</v>
      </c>
      <c r="R118" s="1" t="e">
        <f>IF([1]!Table2[[#This Row],[Usage above 30000]]&gt;0,[1]!Table2[[#This Row],[Usage above 30000]],0)</f>
        <v>#REF!</v>
      </c>
      <c r="S118" s="138" t="e">
        <f t="shared" si="27"/>
        <v>#REF!</v>
      </c>
      <c r="T118" s="138" t="e">
        <f t="shared" si="35"/>
        <v>#REF!</v>
      </c>
      <c r="U118" s="138" t="e">
        <f t="shared" si="36"/>
        <v>#REF!</v>
      </c>
      <c r="V118" s="138" t="e">
        <f t="shared" si="37"/>
        <v>#REF!</v>
      </c>
      <c r="W118" s="138" t="e">
        <f t="shared" si="38"/>
        <v>#REF!</v>
      </c>
      <c r="X118" s="5" t="e">
        <f t="shared" si="28"/>
        <v>#REF!</v>
      </c>
      <c r="Y118" s="5" t="e">
        <f t="shared" si="29"/>
        <v>#REF!</v>
      </c>
      <c r="Z118" s="5" t="e">
        <f t="shared" si="30"/>
        <v>#REF!</v>
      </c>
      <c r="AA118" s="5" t="e">
        <f t="shared" si="31"/>
        <v>#REF!</v>
      </c>
      <c r="AB118" s="6" t="e">
        <f t="shared" si="32"/>
        <v>#REF!</v>
      </c>
      <c r="AC118" s="142" t="e">
        <f t="shared" si="33"/>
        <v>#REF!</v>
      </c>
      <c r="AD118" s="143" t="e">
        <f>[1]!Table2[[#This Row],[Base Rate ]]</f>
        <v>#REF!</v>
      </c>
      <c r="AE118" s="144" t="e">
        <f t="shared" si="34"/>
        <v>#REF!</v>
      </c>
      <c r="AG118" s="6" t="e">
        <f>[1]!Table2[[#This Row],[Total Due]]-AE118</f>
        <v>#REF!</v>
      </c>
    </row>
    <row r="119" spans="1:33">
      <c r="A119" s="1" t="s">
        <v>109</v>
      </c>
      <c r="B119" s="11" t="s">
        <v>138</v>
      </c>
      <c r="C119" s="11">
        <v>0</v>
      </c>
      <c r="D119" s="11">
        <v>0</v>
      </c>
      <c r="E119" s="11">
        <v>0</v>
      </c>
      <c r="F119" s="11">
        <f t="shared" si="23"/>
        <v>0</v>
      </c>
      <c r="G119" s="17">
        <f t="shared" si="39"/>
        <v>11.79</v>
      </c>
      <c r="H119" s="17">
        <f t="shared" si="40"/>
        <v>0</v>
      </c>
      <c r="I119" s="17">
        <f t="shared" si="41"/>
        <v>0</v>
      </c>
      <c r="J119" s="18">
        <f t="shared" si="42"/>
        <v>0</v>
      </c>
      <c r="K119" s="18">
        <f t="shared" si="43"/>
        <v>0</v>
      </c>
      <c r="L119" s="18">
        <f t="shared" si="24"/>
        <v>11.79</v>
      </c>
      <c r="M119" s="18">
        <f t="shared" si="45"/>
        <v>0</v>
      </c>
      <c r="N119" s="18">
        <f t="shared" si="25"/>
        <v>11.79</v>
      </c>
      <c r="O119" s="8"/>
      <c r="P119" s="137" t="e">
        <f>[1]!Table2[[#This Row],[Usage]]-30000</f>
        <v>#REF!</v>
      </c>
      <c r="Q119" s="1">
        <f t="shared" si="26"/>
        <v>0</v>
      </c>
      <c r="R119" s="1" t="e">
        <f>IF([1]!Table2[[#This Row],[Usage above 30000]]&gt;0,[1]!Table2[[#This Row],[Usage above 30000]],0)</f>
        <v>#REF!</v>
      </c>
      <c r="S119" s="138" t="e">
        <f t="shared" si="27"/>
        <v>#REF!</v>
      </c>
      <c r="T119" s="138" t="e">
        <f t="shared" si="35"/>
        <v>#REF!</v>
      </c>
      <c r="U119" s="138" t="e">
        <f t="shared" si="36"/>
        <v>#REF!</v>
      </c>
      <c r="V119" s="138" t="e">
        <f t="shared" si="37"/>
        <v>#REF!</v>
      </c>
      <c r="W119" s="138" t="e">
        <f t="shared" si="38"/>
        <v>#REF!</v>
      </c>
      <c r="X119" s="5" t="e">
        <f t="shared" si="28"/>
        <v>#REF!</v>
      </c>
      <c r="Y119" s="5" t="e">
        <f t="shared" si="29"/>
        <v>#REF!</v>
      </c>
      <c r="Z119" s="5" t="e">
        <f t="shared" si="30"/>
        <v>#REF!</v>
      </c>
      <c r="AA119" s="5" t="e">
        <f t="shared" si="31"/>
        <v>#REF!</v>
      </c>
      <c r="AB119" s="6" t="e">
        <f t="shared" si="32"/>
        <v>#REF!</v>
      </c>
      <c r="AC119" s="142" t="e">
        <f t="shared" si="33"/>
        <v>#REF!</v>
      </c>
      <c r="AD119" s="143" t="e">
        <f>[1]!Table2[[#This Row],[Base Rate ]]</f>
        <v>#REF!</v>
      </c>
      <c r="AE119" s="144" t="e">
        <f t="shared" si="34"/>
        <v>#REF!</v>
      </c>
      <c r="AG119" s="6" t="e">
        <f>[1]!Table2[[#This Row],[Total Due]]-AE119</f>
        <v>#REF!</v>
      </c>
    </row>
    <row r="120" spans="1:33">
      <c r="A120" s="1" t="s">
        <v>110</v>
      </c>
      <c r="B120" s="11"/>
      <c r="C120" s="11">
        <v>3793000</v>
      </c>
      <c r="D120" s="11">
        <v>3834000</v>
      </c>
      <c r="E120" s="11">
        <v>0</v>
      </c>
      <c r="F120" s="11">
        <f t="shared" si="23"/>
        <v>41000</v>
      </c>
      <c r="G120" s="17">
        <f t="shared" si="39"/>
        <v>40.090000000000003</v>
      </c>
      <c r="H120" s="17">
        <f t="shared" si="40"/>
        <v>21.8</v>
      </c>
      <c r="I120" s="17">
        <f t="shared" si="41"/>
        <v>25.299999999999997</v>
      </c>
      <c r="J120" s="18">
        <f t="shared" si="42"/>
        <v>29.5</v>
      </c>
      <c r="K120" s="18">
        <f t="shared" si="43"/>
        <v>3.42</v>
      </c>
      <c r="L120" s="18">
        <f t="shared" si="24"/>
        <v>120.11</v>
      </c>
      <c r="M120" s="18">
        <f t="shared" si="45"/>
        <v>0</v>
      </c>
      <c r="N120" s="18">
        <f t="shared" si="25"/>
        <v>120.11</v>
      </c>
      <c r="O120" s="8"/>
      <c r="P120" s="137" t="e">
        <f>[1]!Table2[[#This Row],[Usage]]-30000</f>
        <v>#REF!</v>
      </c>
      <c r="Q120" s="1">
        <f t="shared" si="26"/>
        <v>41000</v>
      </c>
      <c r="R120" s="1" t="e">
        <f>IF([1]!Table2[[#This Row],[Usage above 30000]]&gt;0,[1]!Table2[[#This Row],[Usage above 30000]],0)</f>
        <v>#REF!</v>
      </c>
      <c r="S120" s="138" t="e">
        <f t="shared" si="27"/>
        <v>#REF!</v>
      </c>
      <c r="T120" s="138" t="e">
        <f t="shared" si="35"/>
        <v>#REF!</v>
      </c>
      <c r="U120" s="138" t="e">
        <f t="shared" si="36"/>
        <v>#REF!</v>
      </c>
      <c r="V120" s="138" t="e">
        <f t="shared" si="37"/>
        <v>#REF!</v>
      </c>
      <c r="W120" s="138" t="e">
        <f t="shared" si="38"/>
        <v>#REF!</v>
      </c>
      <c r="X120" s="5" t="e">
        <f t="shared" si="28"/>
        <v>#REF!</v>
      </c>
      <c r="Y120" s="5" t="e">
        <f t="shared" si="29"/>
        <v>#REF!</v>
      </c>
      <c r="Z120" s="5" t="e">
        <f t="shared" si="30"/>
        <v>#REF!</v>
      </c>
      <c r="AA120" s="5" t="e">
        <f t="shared" si="31"/>
        <v>#REF!</v>
      </c>
      <c r="AB120" s="6" t="e">
        <f t="shared" si="32"/>
        <v>#REF!</v>
      </c>
      <c r="AC120" s="142" t="e">
        <f t="shared" si="33"/>
        <v>#REF!</v>
      </c>
      <c r="AD120" s="143" t="e">
        <f>[1]!Table2[[#This Row],[Base Rate ]]</f>
        <v>#REF!</v>
      </c>
      <c r="AE120" s="144" t="e">
        <f t="shared" si="34"/>
        <v>#REF!</v>
      </c>
      <c r="AG120" s="6" t="e">
        <f>[1]!Table2[[#This Row],[Total Due]]-AE120</f>
        <v>#REF!</v>
      </c>
    </row>
    <row r="121" spans="1:33">
      <c r="A121" s="1" t="s">
        <v>111</v>
      </c>
      <c r="B121" s="11"/>
      <c r="C121" s="11">
        <v>3508000</v>
      </c>
      <c r="D121" s="11">
        <v>3522000</v>
      </c>
      <c r="E121" s="11">
        <v>0</v>
      </c>
      <c r="F121" s="11">
        <f t="shared" si="23"/>
        <v>14000</v>
      </c>
      <c r="G121" s="17">
        <f t="shared" si="39"/>
        <v>40.090000000000003</v>
      </c>
      <c r="H121" s="17">
        <f t="shared" si="40"/>
        <v>8.7200000000000006</v>
      </c>
      <c r="I121" s="17">
        <f t="shared" si="41"/>
        <v>0</v>
      </c>
      <c r="J121" s="18">
        <f t="shared" si="42"/>
        <v>0</v>
      </c>
      <c r="K121" s="18">
        <f t="shared" si="43"/>
        <v>0</v>
      </c>
      <c r="L121" s="18">
        <f t="shared" si="24"/>
        <v>48.81</v>
      </c>
      <c r="M121" s="18">
        <f t="shared" si="45"/>
        <v>0</v>
      </c>
      <c r="N121" s="18">
        <f t="shared" si="25"/>
        <v>48.81</v>
      </c>
      <c r="O121" s="8"/>
      <c r="P121" s="137" t="e">
        <f>[1]!Table2[[#This Row],[Usage]]-30000</f>
        <v>#REF!</v>
      </c>
      <c r="Q121" s="1">
        <f t="shared" si="26"/>
        <v>14000</v>
      </c>
      <c r="R121" s="1" t="e">
        <f>IF([1]!Table2[[#This Row],[Usage above 30000]]&gt;0,[1]!Table2[[#This Row],[Usage above 30000]],0)</f>
        <v>#REF!</v>
      </c>
      <c r="S121" s="138" t="e">
        <f t="shared" si="27"/>
        <v>#REF!</v>
      </c>
      <c r="T121" s="138" t="e">
        <f t="shared" si="35"/>
        <v>#REF!</v>
      </c>
      <c r="U121" s="138" t="e">
        <f t="shared" si="36"/>
        <v>#REF!</v>
      </c>
      <c r="V121" s="138" t="e">
        <f t="shared" si="37"/>
        <v>#REF!</v>
      </c>
      <c r="W121" s="138" t="e">
        <f t="shared" si="38"/>
        <v>#REF!</v>
      </c>
      <c r="X121" s="5" t="e">
        <f t="shared" si="28"/>
        <v>#REF!</v>
      </c>
      <c r="Y121" s="5" t="e">
        <f t="shared" si="29"/>
        <v>#REF!</v>
      </c>
      <c r="Z121" s="5" t="e">
        <f t="shared" si="30"/>
        <v>#REF!</v>
      </c>
      <c r="AA121" s="5" t="e">
        <f t="shared" si="31"/>
        <v>#REF!</v>
      </c>
      <c r="AB121" s="6" t="e">
        <f t="shared" si="32"/>
        <v>#REF!</v>
      </c>
      <c r="AC121" s="142" t="e">
        <f t="shared" si="33"/>
        <v>#REF!</v>
      </c>
      <c r="AD121" s="143" t="e">
        <f>[1]!Table2[[#This Row],[Base Rate ]]</f>
        <v>#REF!</v>
      </c>
      <c r="AE121" s="144" t="e">
        <f t="shared" si="34"/>
        <v>#REF!</v>
      </c>
      <c r="AG121" s="6" t="e">
        <f>[1]!Table2[[#This Row],[Total Due]]-AE121</f>
        <v>#REF!</v>
      </c>
    </row>
    <row r="122" spans="1:33">
      <c r="A122" s="1" t="s">
        <v>112</v>
      </c>
      <c r="B122" s="11"/>
      <c r="C122" s="11">
        <v>341000</v>
      </c>
      <c r="D122" s="11">
        <v>348000</v>
      </c>
      <c r="E122" s="11">
        <v>0</v>
      </c>
      <c r="F122" s="11">
        <f t="shared" si="23"/>
        <v>7000</v>
      </c>
      <c r="G122" s="17">
        <f t="shared" si="39"/>
        <v>40.090000000000003</v>
      </c>
      <c r="H122" s="17">
        <f t="shared" si="40"/>
        <v>0</v>
      </c>
      <c r="I122" s="17">
        <f t="shared" si="41"/>
        <v>0</v>
      </c>
      <c r="J122" s="18">
        <f t="shared" si="42"/>
        <v>0</v>
      </c>
      <c r="K122" s="18">
        <f t="shared" si="43"/>
        <v>0</v>
      </c>
      <c r="L122" s="18">
        <f t="shared" si="24"/>
        <v>40.090000000000003</v>
      </c>
      <c r="M122" s="18">
        <f t="shared" si="45"/>
        <v>0</v>
      </c>
      <c r="N122" s="18">
        <f t="shared" si="25"/>
        <v>40.090000000000003</v>
      </c>
      <c r="O122" s="8"/>
      <c r="P122" s="137" t="e">
        <f>[1]!Table2[[#This Row],[Usage]]-30000</f>
        <v>#REF!</v>
      </c>
      <c r="Q122" s="1">
        <f t="shared" si="26"/>
        <v>7000</v>
      </c>
      <c r="R122" s="1" t="e">
        <f>IF([1]!Table2[[#This Row],[Usage above 30000]]&gt;0,[1]!Table2[[#This Row],[Usage above 30000]],0)</f>
        <v>#REF!</v>
      </c>
      <c r="S122" s="138" t="e">
        <f t="shared" si="27"/>
        <v>#REF!</v>
      </c>
      <c r="T122" s="138" t="e">
        <f t="shared" si="35"/>
        <v>#REF!</v>
      </c>
      <c r="U122" s="138" t="e">
        <f t="shared" si="36"/>
        <v>#REF!</v>
      </c>
      <c r="V122" s="138" t="e">
        <f t="shared" si="37"/>
        <v>#REF!</v>
      </c>
      <c r="W122" s="138" t="e">
        <f t="shared" si="38"/>
        <v>#REF!</v>
      </c>
      <c r="X122" s="5" t="e">
        <f t="shared" si="28"/>
        <v>#REF!</v>
      </c>
      <c r="Y122" s="5" t="e">
        <f t="shared" si="29"/>
        <v>#REF!</v>
      </c>
      <c r="Z122" s="5" t="e">
        <f t="shared" si="30"/>
        <v>#REF!</v>
      </c>
      <c r="AA122" s="5" t="e">
        <f t="shared" si="31"/>
        <v>#REF!</v>
      </c>
      <c r="AB122" s="6" t="e">
        <f t="shared" si="32"/>
        <v>#REF!</v>
      </c>
      <c r="AC122" s="142" t="e">
        <f t="shared" si="33"/>
        <v>#REF!</v>
      </c>
      <c r="AD122" s="143" t="e">
        <f>[1]!Table2[[#This Row],[Base Rate ]]</f>
        <v>#REF!</v>
      </c>
      <c r="AE122" s="144" t="e">
        <f t="shared" si="34"/>
        <v>#REF!</v>
      </c>
      <c r="AG122" s="6" t="e">
        <f>[1]!Table2[[#This Row],[Total Due]]-AE122</f>
        <v>#REF!</v>
      </c>
    </row>
    <row r="123" spans="1:33">
      <c r="A123" s="1" t="s">
        <v>113</v>
      </c>
      <c r="B123" s="11"/>
      <c r="C123" s="11">
        <v>1443000</v>
      </c>
      <c r="D123" s="11">
        <v>1459000</v>
      </c>
      <c r="E123" s="11">
        <v>0</v>
      </c>
      <c r="F123" s="11">
        <f t="shared" si="23"/>
        <v>16000</v>
      </c>
      <c r="G123" s="17">
        <f t="shared" si="39"/>
        <v>40.090000000000003</v>
      </c>
      <c r="H123" s="17">
        <f t="shared" si="40"/>
        <v>13.080000000000002</v>
      </c>
      <c r="I123" s="17">
        <f t="shared" si="41"/>
        <v>0</v>
      </c>
      <c r="J123" s="18">
        <f t="shared" si="42"/>
        <v>0</v>
      </c>
      <c r="K123" s="18">
        <f t="shared" si="43"/>
        <v>0</v>
      </c>
      <c r="L123" s="18">
        <f t="shared" si="24"/>
        <v>53.17</v>
      </c>
      <c r="M123" s="18">
        <f t="shared" si="45"/>
        <v>0</v>
      </c>
      <c r="N123" s="18">
        <f t="shared" si="25"/>
        <v>53.17</v>
      </c>
      <c r="O123" s="8"/>
      <c r="P123" s="137" t="e">
        <f>[1]!Table2[[#This Row],[Usage]]-30000</f>
        <v>#REF!</v>
      </c>
      <c r="Q123" s="1">
        <f t="shared" si="26"/>
        <v>16000</v>
      </c>
      <c r="R123" s="1" t="e">
        <f>IF([1]!Table2[[#This Row],[Usage above 30000]]&gt;0,[1]!Table2[[#This Row],[Usage above 30000]],0)</f>
        <v>#REF!</v>
      </c>
      <c r="S123" s="138" t="e">
        <f t="shared" si="27"/>
        <v>#REF!</v>
      </c>
      <c r="T123" s="138" t="e">
        <f t="shared" si="35"/>
        <v>#REF!</v>
      </c>
      <c r="U123" s="138" t="e">
        <f t="shared" si="36"/>
        <v>#REF!</v>
      </c>
      <c r="V123" s="138" t="e">
        <f t="shared" si="37"/>
        <v>#REF!</v>
      </c>
      <c r="W123" s="138" t="e">
        <f t="shared" si="38"/>
        <v>#REF!</v>
      </c>
      <c r="X123" s="5" t="e">
        <f t="shared" si="28"/>
        <v>#REF!</v>
      </c>
      <c r="Y123" s="5" t="e">
        <f t="shared" si="29"/>
        <v>#REF!</v>
      </c>
      <c r="Z123" s="5" t="e">
        <f t="shared" si="30"/>
        <v>#REF!</v>
      </c>
      <c r="AA123" s="5" t="e">
        <f t="shared" si="31"/>
        <v>#REF!</v>
      </c>
      <c r="AB123" s="6" t="e">
        <f t="shared" si="32"/>
        <v>#REF!</v>
      </c>
      <c r="AC123" s="142" t="e">
        <f t="shared" si="33"/>
        <v>#REF!</v>
      </c>
      <c r="AD123" s="143" t="e">
        <f>[1]!Table2[[#This Row],[Base Rate ]]</f>
        <v>#REF!</v>
      </c>
      <c r="AE123" s="144" t="e">
        <f t="shared" si="34"/>
        <v>#REF!</v>
      </c>
      <c r="AG123" s="6" t="e">
        <f>[1]!Table2[[#This Row],[Total Due]]-AE123</f>
        <v>#REF!</v>
      </c>
    </row>
    <row r="124" spans="1:33">
      <c r="A124" s="1" t="s">
        <v>114</v>
      </c>
      <c r="B124" s="11"/>
      <c r="C124" s="11">
        <v>2578000</v>
      </c>
      <c r="D124" s="11">
        <v>2585000</v>
      </c>
      <c r="E124" s="11">
        <v>0</v>
      </c>
      <c r="F124" s="11">
        <f t="shared" si="23"/>
        <v>7000</v>
      </c>
      <c r="G124" s="17">
        <f t="shared" si="39"/>
        <v>40.090000000000003</v>
      </c>
      <c r="H124" s="17">
        <f t="shared" si="40"/>
        <v>0</v>
      </c>
      <c r="I124" s="17">
        <f t="shared" si="41"/>
        <v>0</v>
      </c>
      <c r="J124" s="18">
        <f t="shared" si="42"/>
        <v>0</v>
      </c>
      <c r="K124" s="18">
        <f t="shared" si="43"/>
        <v>0</v>
      </c>
      <c r="L124" s="18">
        <f t="shared" si="24"/>
        <v>40.090000000000003</v>
      </c>
      <c r="M124" s="18">
        <f t="shared" si="45"/>
        <v>0</v>
      </c>
      <c r="N124" s="18">
        <f t="shared" si="25"/>
        <v>40.090000000000003</v>
      </c>
      <c r="O124" s="8"/>
      <c r="P124" s="137" t="e">
        <f>[1]!Table2[[#This Row],[Usage]]-30000</f>
        <v>#REF!</v>
      </c>
      <c r="Q124" s="1">
        <f t="shared" si="26"/>
        <v>7000</v>
      </c>
      <c r="R124" s="1" t="e">
        <f>IF([1]!Table2[[#This Row],[Usage above 30000]]&gt;0,[1]!Table2[[#This Row],[Usage above 30000]],0)</f>
        <v>#REF!</v>
      </c>
      <c r="S124" s="138" t="e">
        <f t="shared" si="27"/>
        <v>#REF!</v>
      </c>
      <c r="T124" s="138" t="e">
        <f t="shared" si="35"/>
        <v>#REF!</v>
      </c>
      <c r="U124" s="138" t="e">
        <f t="shared" si="36"/>
        <v>#REF!</v>
      </c>
      <c r="V124" s="138" t="e">
        <f t="shared" si="37"/>
        <v>#REF!</v>
      </c>
      <c r="W124" s="138" t="e">
        <f t="shared" si="38"/>
        <v>#REF!</v>
      </c>
      <c r="X124" s="5" t="e">
        <f t="shared" si="28"/>
        <v>#REF!</v>
      </c>
      <c r="Y124" s="5" t="e">
        <f t="shared" si="29"/>
        <v>#REF!</v>
      </c>
      <c r="Z124" s="5" t="e">
        <f t="shared" si="30"/>
        <v>#REF!</v>
      </c>
      <c r="AA124" s="5" t="e">
        <f t="shared" si="31"/>
        <v>#REF!</v>
      </c>
      <c r="AB124" s="6" t="e">
        <f t="shared" si="32"/>
        <v>#REF!</v>
      </c>
      <c r="AC124" s="142" t="e">
        <f t="shared" si="33"/>
        <v>#REF!</v>
      </c>
      <c r="AD124" s="143" t="e">
        <f>[1]!Table2[[#This Row],[Base Rate ]]</f>
        <v>#REF!</v>
      </c>
      <c r="AE124" s="144" t="e">
        <f t="shared" si="34"/>
        <v>#REF!</v>
      </c>
      <c r="AG124" s="6" t="e">
        <f>[1]!Table2[[#This Row],[Total Due]]-AE124</f>
        <v>#REF!</v>
      </c>
    </row>
    <row r="125" spans="1:33">
      <c r="A125" s="1" t="s">
        <v>115</v>
      </c>
      <c r="B125" s="11"/>
      <c r="C125" s="11">
        <v>2468000</v>
      </c>
      <c r="D125" s="11">
        <v>2501000</v>
      </c>
      <c r="E125" s="11">
        <v>0</v>
      </c>
      <c r="F125" s="11">
        <f t="shared" si="23"/>
        <v>33000</v>
      </c>
      <c r="G125" s="17">
        <f t="shared" si="39"/>
        <v>40.090000000000003</v>
      </c>
      <c r="H125" s="17">
        <f t="shared" si="40"/>
        <v>21.8</v>
      </c>
      <c r="I125" s="17">
        <f t="shared" si="41"/>
        <v>25.299999999999997</v>
      </c>
      <c r="J125" s="18">
        <f t="shared" si="42"/>
        <v>8.8500000000000014</v>
      </c>
      <c r="K125" s="18">
        <f t="shared" si="43"/>
        <v>0</v>
      </c>
      <c r="L125" s="18">
        <f t="shared" si="24"/>
        <v>96.039999999999992</v>
      </c>
      <c r="M125" s="18">
        <f t="shared" si="45"/>
        <v>0</v>
      </c>
      <c r="N125" s="18">
        <f t="shared" si="25"/>
        <v>96.039999999999992</v>
      </c>
      <c r="O125" s="8"/>
      <c r="P125" s="137" t="e">
        <f>[1]!Table2[[#This Row],[Usage]]-30000</f>
        <v>#REF!</v>
      </c>
      <c r="Q125" s="1">
        <f t="shared" si="26"/>
        <v>33000</v>
      </c>
      <c r="R125" s="1" t="e">
        <f>IF([1]!Table2[[#This Row],[Usage above 30000]]&gt;0,[1]!Table2[[#This Row],[Usage above 30000]],0)</f>
        <v>#REF!</v>
      </c>
      <c r="S125" s="138" t="e">
        <f t="shared" si="27"/>
        <v>#REF!</v>
      </c>
      <c r="T125" s="138" t="e">
        <f t="shared" si="35"/>
        <v>#REF!</v>
      </c>
      <c r="U125" s="138" t="e">
        <f t="shared" si="36"/>
        <v>#REF!</v>
      </c>
      <c r="V125" s="138" t="e">
        <f t="shared" si="37"/>
        <v>#REF!</v>
      </c>
      <c r="W125" s="138" t="e">
        <f t="shared" si="38"/>
        <v>#REF!</v>
      </c>
      <c r="X125" s="5" t="e">
        <f t="shared" si="28"/>
        <v>#REF!</v>
      </c>
      <c r="Y125" s="5" t="e">
        <f t="shared" si="29"/>
        <v>#REF!</v>
      </c>
      <c r="Z125" s="5" t="e">
        <f t="shared" si="30"/>
        <v>#REF!</v>
      </c>
      <c r="AA125" s="5" t="e">
        <f t="shared" si="31"/>
        <v>#REF!</v>
      </c>
      <c r="AB125" s="6" t="e">
        <f t="shared" si="32"/>
        <v>#REF!</v>
      </c>
      <c r="AC125" s="142" t="e">
        <f t="shared" si="33"/>
        <v>#REF!</v>
      </c>
      <c r="AD125" s="143" t="e">
        <f>[1]!Table2[[#This Row],[Base Rate ]]</f>
        <v>#REF!</v>
      </c>
      <c r="AE125" s="144" t="e">
        <f t="shared" si="34"/>
        <v>#REF!</v>
      </c>
      <c r="AG125" s="6" t="e">
        <f>[1]!Table2[[#This Row],[Total Due]]-AE125</f>
        <v>#REF!</v>
      </c>
    </row>
    <row r="126" spans="1:33">
      <c r="A126" s="1" t="s">
        <v>116</v>
      </c>
      <c r="B126" s="11"/>
      <c r="C126" s="11">
        <v>4257000</v>
      </c>
      <c r="D126" s="11">
        <v>4263000</v>
      </c>
      <c r="E126" s="11">
        <v>0</v>
      </c>
      <c r="F126" s="11">
        <f t="shared" si="23"/>
        <v>6000</v>
      </c>
      <c r="G126" s="17">
        <f t="shared" si="39"/>
        <v>40.090000000000003</v>
      </c>
      <c r="H126" s="17">
        <f t="shared" si="40"/>
        <v>0</v>
      </c>
      <c r="I126" s="17">
        <f t="shared" si="41"/>
        <v>0</v>
      </c>
      <c r="J126" s="18">
        <f t="shared" si="42"/>
        <v>0</v>
      </c>
      <c r="K126" s="18">
        <f t="shared" si="43"/>
        <v>0</v>
      </c>
      <c r="L126" s="18">
        <f t="shared" si="24"/>
        <v>40.090000000000003</v>
      </c>
      <c r="M126" s="18">
        <f t="shared" si="45"/>
        <v>0</v>
      </c>
      <c r="N126" s="18">
        <f t="shared" si="25"/>
        <v>40.090000000000003</v>
      </c>
      <c r="O126" s="8"/>
      <c r="P126" s="137" t="e">
        <f>[1]!Table2[[#This Row],[Usage]]-30000</f>
        <v>#REF!</v>
      </c>
      <c r="Q126" s="1">
        <f t="shared" si="26"/>
        <v>6000</v>
      </c>
      <c r="R126" s="1" t="e">
        <f>IF([1]!Table2[[#This Row],[Usage above 30000]]&gt;0,[1]!Table2[[#This Row],[Usage above 30000]],0)</f>
        <v>#REF!</v>
      </c>
      <c r="S126" s="138" t="e">
        <f t="shared" si="27"/>
        <v>#REF!</v>
      </c>
      <c r="T126" s="138" t="e">
        <f t="shared" si="35"/>
        <v>#REF!</v>
      </c>
      <c r="U126" s="138" t="e">
        <f t="shared" si="36"/>
        <v>#REF!</v>
      </c>
      <c r="V126" s="138" t="e">
        <f t="shared" si="37"/>
        <v>#REF!</v>
      </c>
      <c r="W126" s="138" t="e">
        <f t="shared" si="38"/>
        <v>#REF!</v>
      </c>
      <c r="X126" s="5" t="e">
        <f t="shared" si="28"/>
        <v>#REF!</v>
      </c>
      <c r="Y126" s="5" t="e">
        <f t="shared" si="29"/>
        <v>#REF!</v>
      </c>
      <c r="Z126" s="5" t="e">
        <f t="shared" si="30"/>
        <v>#REF!</v>
      </c>
      <c r="AA126" s="5" t="e">
        <f t="shared" si="31"/>
        <v>#REF!</v>
      </c>
      <c r="AB126" s="6" t="e">
        <f t="shared" si="32"/>
        <v>#REF!</v>
      </c>
      <c r="AC126" s="142" t="e">
        <f t="shared" si="33"/>
        <v>#REF!</v>
      </c>
      <c r="AD126" s="143" t="e">
        <f>[1]!Table2[[#This Row],[Base Rate ]]</f>
        <v>#REF!</v>
      </c>
      <c r="AE126" s="144" t="e">
        <f t="shared" si="34"/>
        <v>#REF!</v>
      </c>
      <c r="AG126" s="6" t="e">
        <f>[1]!Table2[[#This Row],[Total Due]]-AE126</f>
        <v>#REF!</v>
      </c>
    </row>
    <row r="127" spans="1:33">
      <c r="A127" s="1" t="s">
        <v>117</v>
      </c>
      <c r="B127" s="11"/>
      <c r="C127" s="11">
        <v>1890000</v>
      </c>
      <c r="D127" s="11">
        <v>1909000</v>
      </c>
      <c r="E127" s="11">
        <v>0</v>
      </c>
      <c r="F127" s="11">
        <f t="shared" si="23"/>
        <v>19000</v>
      </c>
      <c r="G127" s="17">
        <f t="shared" si="39"/>
        <v>40.090000000000003</v>
      </c>
      <c r="H127" s="17">
        <f t="shared" si="40"/>
        <v>19.62</v>
      </c>
      <c r="I127" s="17">
        <f t="shared" si="41"/>
        <v>0</v>
      </c>
      <c r="J127" s="18">
        <f t="shared" si="42"/>
        <v>0</v>
      </c>
      <c r="K127" s="18">
        <f t="shared" si="43"/>
        <v>0</v>
      </c>
      <c r="L127" s="18">
        <f t="shared" si="24"/>
        <v>59.710000000000008</v>
      </c>
      <c r="M127" s="18">
        <f t="shared" si="45"/>
        <v>0</v>
      </c>
      <c r="N127" s="18">
        <f t="shared" si="25"/>
        <v>59.710000000000008</v>
      </c>
      <c r="O127" s="8"/>
      <c r="P127" s="137" t="e">
        <f>[1]!Table2[[#This Row],[Usage]]-30000</f>
        <v>#REF!</v>
      </c>
      <c r="Q127" s="1">
        <f t="shared" si="26"/>
        <v>19000</v>
      </c>
      <c r="R127" s="1" t="e">
        <f>IF([1]!Table2[[#This Row],[Usage above 30000]]&gt;0,[1]!Table2[[#This Row],[Usage above 30000]],0)</f>
        <v>#REF!</v>
      </c>
      <c r="S127" s="138" t="e">
        <f t="shared" si="27"/>
        <v>#REF!</v>
      </c>
      <c r="T127" s="138" t="e">
        <f t="shared" si="35"/>
        <v>#REF!</v>
      </c>
      <c r="U127" s="138" t="e">
        <f t="shared" si="36"/>
        <v>#REF!</v>
      </c>
      <c r="V127" s="138" t="e">
        <f t="shared" si="37"/>
        <v>#REF!</v>
      </c>
      <c r="W127" s="138" t="e">
        <f t="shared" si="38"/>
        <v>#REF!</v>
      </c>
      <c r="X127" s="5" t="e">
        <f t="shared" si="28"/>
        <v>#REF!</v>
      </c>
      <c r="Y127" s="5" t="e">
        <f t="shared" si="29"/>
        <v>#REF!</v>
      </c>
      <c r="Z127" s="5" t="e">
        <f t="shared" si="30"/>
        <v>#REF!</v>
      </c>
      <c r="AA127" s="5" t="e">
        <f t="shared" si="31"/>
        <v>#REF!</v>
      </c>
      <c r="AB127" s="6" t="e">
        <f t="shared" si="32"/>
        <v>#REF!</v>
      </c>
      <c r="AC127" s="142" t="e">
        <f t="shared" si="33"/>
        <v>#REF!</v>
      </c>
      <c r="AD127" s="143" t="e">
        <f>[1]!Table2[[#This Row],[Base Rate ]]</f>
        <v>#REF!</v>
      </c>
      <c r="AE127" s="144" t="e">
        <f t="shared" si="34"/>
        <v>#REF!</v>
      </c>
      <c r="AG127" s="6" t="e">
        <f>[1]!Table2[[#This Row],[Total Due]]-AE127</f>
        <v>#REF!</v>
      </c>
    </row>
    <row r="128" spans="1:33">
      <c r="A128" s="1" t="s">
        <v>118</v>
      </c>
      <c r="B128" s="11"/>
      <c r="C128" s="11">
        <v>1179000</v>
      </c>
      <c r="D128" s="11">
        <v>1179000</v>
      </c>
      <c r="E128" s="11">
        <v>22000</v>
      </c>
      <c r="F128" s="11">
        <f t="shared" si="23"/>
        <v>22000</v>
      </c>
      <c r="G128" s="17">
        <f t="shared" si="39"/>
        <v>40.090000000000003</v>
      </c>
      <c r="H128" s="17">
        <f t="shared" si="40"/>
        <v>21.8</v>
      </c>
      <c r="I128" s="17">
        <f t="shared" si="41"/>
        <v>5.0599999999999996</v>
      </c>
      <c r="J128" s="18">
        <f t="shared" si="42"/>
        <v>0</v>
      </c>
      <c r="K128" s="18">
        <f t="shared" si="43"/>
        <v>0</v>
      </c>
      <c r="L128" s="18">
        <f t="shared" si="24"/>
        <v>66.95</v>
      </c>
      <c r="M128" s="18">
        <f t="shared" si="45"/>
        <v>0</v>
      </c>
      <c r="N128" s="18">
        <f t="shared" si="25"/>
        <v>66.95</v>
      </c>
      <c r="O128" s="8" t="s">
        <v>174</v>
      </c>
      <c r="P128" s="137" t="e">
        <f>[1]!Table2[[#This Row],[Usage]]-30000</f>
        <v>#REF!</v>
      </c>
      <c r="Q128" s="1">
        <f t="shared" si="26"/>
        <v>22000</v>
      </c>
      <c r="R128" s="1" t="e">
        <f>IF([1]!Table2[[#This Row],[Usage above 30000]]&gt;0,[1]!Table2[[#This Row],[Usage above 30000]],0)</f>
        <v>#REF!</v>
      </c>
      <c r="S128" s="138" t="e">
        <f t="shared" si="27"/>
        <v>#REF!</v>
      </c>
      <c r="T128" s="138" t="e">
        <f t="shared" si="35"/>
        <v>#REF!</v>
      </c>
      <c r="U128" s="138" t="e">
        <f t="shared" si="36"/>
        <v>#REF!</v>
      </c>
      <c r="V128" s="138" t="e">
        <f t="shared" si="37"/>
        <v>#REF!</v>
      </c>
      <c r="W128" s="138" t="e">
        <f t="shared" si="38"/>
        <v>#REF!</v>
      </c>
      <c r="X128" s="5" t="e">
        <f t="shared" si="28"/>
        <v>#REF!</v>
      </c>
      <c r="Y128" s="5" t="e">
        <f t="shared" si="29"/>
        <v>#REF!</v>
      </c>
      <c r="Z128" s="5" t="e">
        <f t="shared" si="30"/>
        <v>#REF!</v>
      </c>
      <c r="AA128" s="5" t="e">
        <f t="shared" si="31"/>
        <v>#REF!</v>
      </c>
      <c r="AB128" s="6" t="e">
        <f t="shared" si="32"/>
        <v>#REF!</v>
      </c>
      <c r="AC128" s="142" t="e">
        <f t="shared" si="33"/>
        <v>#REF!</v>
      </c>
      <c r="AD128" s="143" t="e">
        <f>[1]!Table2[[#This Row],[Base Rate ]]</f>
        <v>#REF!</v>
      </c>
      <c r="AE128" s="144" t="e">
        <f t="shared" si="34"/>
        <v>#REF!</v>
      </c>
      <c r="AG128" s="6" t="e">
        <f>[1]!Table2[[#This Row],[Total Due]]-AE128</f>
        <v>#REF!</v>
      </c>
    </row>
    <row r="129" spans="1:34">
      <c r="A129" s="1" t="s">
        <v>119</v>
      </c>
      <c r="B129" s="11"/>
      <c r="C129" s="11">
        <v>6840000</v>
      </c>
      <c r="D129" s="11">
        <v>6851000</v>
      </c>
      <c r="E129" s="11">
        <v>0</v>
      </c>
      <c r="F129" s="11">
        <f t="shared" si="23"/>
        <v>11000</v>
      </c>
      <c r="G129" s="17">
        <f t="shared" si="39"/>
        <v>40.090000000000003</v>
      </c>
      <c r="H129" s="17">
        <f t="shared" si="40"/>
        <v>2.1800000000000002</v>
      </c>
      <c r="I129" s="17">
        <f t="shared" si="41"/>
        <v>0</v>
      </c>
      <c r="J129" s="18">
        <f t="shared" si="42"/>
        <v>0</v>
      </c>
      <c r="K129" s="18">
        <f t="shared" si="43"/>
        <v>0</v>
      </c>
      <c r="L129" s="18">
        <f t="shared" si="24"/>
        <v>42.27</v>
      </c>
      <c r="M129" s="18">
        <f t="shared" si="45"/>
        <v>0</v>
      </c>
      <c r="N129" s="18">
        <f t="shared" si="25"/>
        <v>42.27</v>
      </c>
      <c r="O129" s="8"/>
      <c r="P129" s="137" t="e">
        <f>[1]!Table2[[#This Row],[Usage]]-30000</f>
        <v>#REF!</v>
      </c>
      <c r="Q129" s="1">
        <f t="shared" si="26"/>
        <v>11000</v>
      </c>
      <c r="R129" s="1" t="e">
        <f>IF([1]!Table2[[#This Row],[Usage above 30000]]&gt;0,[1]!Table2[[#This Row],[Usage above 30000]],0)</f>
        <v>#REF!</v>
      </c>
      <c r="S129" s="138" t="e">
        <f t="shared" si="27"/>
        <v>#REF!</v>
      </c>
      <c r="T129" s="138" t="e">
        <f t="shared" si="35"/>
        <v>#REF!</v>
      </c>
      <c r="U129" s="138" t="e">
        <f t="shared" si="36"/>
        <v>#REF!</v>
      </c>
      <c r="V129" s="138" t="e">
        <f t="shared" si="37"/>
        <v>#REF!</v>
      </c>
      <c r="W129" s="138" t="e">
        <f t="shared" si="38"/>
        <v>#REF!</v>
      </c>
      <c r="X129" s="5" t="e">
        <f t="shared" si="28"/>
        <v>#REF!</v>
      </c>
      <c r="Y129" s="5" t="e">
        <f t="shared" si="29"/>
        <v>#REF!</v>
      </c>
      <c r="Z129" s="5" t="e">
        <f t="shared" si="30"/>
        <v>#REF!</v>
      </c>
      <c r="AA129" s="5" t="e">
        <f t="shared" si="31"/>
        <v>#REF!</v>
      </c>
      <c r="AB129" s="6" t="e">
        <f t="shared" si="32"/>
        <v>#REF!</v>
      </c>
      <c r="AC129" s="142" t="e">
        <f t="shared" si="33"/>
        <v>#REF!</v>
      </c>
      <c r="AD129" s="143" t="e">
        <f>[1]!Table2[[#This Row],[Base Rate ]]</f>
        <v>#REF!</v>
      </c>
      <c r="AE129" s="144" t="e">
        <f t="shared" si="34"/>
        <v>#REF!</v>
      </c>
      <c r="AG129" s="6" t="e">
        <f>[1]!Table2[[#This Row],[Total Due]]-AE129</f>
        <v>#REF!</v>
      </c>
    </row>
    <row r="130" spans="1:34">
      <c r="A130" s="1" t="s">
        <v>120</v>
      </c>
      <c r="B130" s="11"/>
      <c r="C130" s="11">
        <v>3693000</v>
      </c>
      <c r="D130" s="11">
        <v>3701000</v>
      </c>
      <c r="E130" s="11">
        <v>0</v>
      </c>
      <c r="F130" s="11">
        <f t="shared" si="23"/>
        <v>8000</v>
      </c>
      <c r="G130" s="17">
        <f t="shared" si="39"/>
        <v>40.090000000000003</v>
      </c>
      <c r="H130" s="17">
        <f t="shared" si="40"/>
        <v>0</v>
      </c>
      <c r="I130" s="17">
        <f t="shared" si="41"/>
        <v>0</v>
      </c>
      <c r="J130" s="18">
        <f t="shared" si="42"/>
        <v>0</v>
      </c>
      <c r="K130" s="18">
        <f t="shared" si="43"/>
        <v>0</v>
      </c>
      <c r="L130" s="18">
        <f t="shared" si="24"/>
        <v>40.090000000000003</v>
      </c>
      <c r="M130" s="18">
        <f t="shared" si="45"/>
        <v>0</v>
      </c>
      <c r="N130" s="18">
        <f t="shared" si="25"/>
        <v>40.090000000000003</v>
      </c>
      <c r="O130" s="8"/>
      <c r="P130" s="137" t="e">
        <f>[1]!Table2[[#This Row],[Usage]]-30000</f>
        <v>#REF!</v>
      </c>
      <c r="Q130" s="1">
        <f t="shared" si="26"/>
        <v>8000</v>
      </c>
      <c r="R130" s="1" t="e">
        <f>IF([1]!Table2[[#This Row],[Usage above 30000]]&gt;0,[1]!Table2[[#This Row],[Usage above 30000]],0)</f>
        <v>#REF!</v>
      </c>
      <c r="S130" s="138" t="e">
        <f t="shared" si="27"/>
        <v>#REF!</v>
      </c>
      <c r="T130" s="138" t="e">
        <f t="shared" si="35"/>
        <v>#REF!</v>
      </c>
      <c r="U130" s="138" t="e">
        <f t="shared" si="36"/>
        <v>#REF!</v>
      </c>
      <c r="V130" s="138" t="e">
        <f t="shared" si="37"/>
        <v>#REF!</v>
      </c>
      <c r="W130" s="138" t="e">
        <f t="shared" si="38"/>
        <v>#REF!</v>
      </c>
      <c r="X130" s="5" t="e">
        <f t="shared" si="28"/>
        <v>#REF!</v>
      </c>
      <c r="Y130" s="5" t="e">
        <f t="shared" si="29"/>
        <v>#REF!</v>
      </c>
      <c r="Z130" s="5" t="e">
        <f t="shared" si="30"/>
        <v>#REF!</v>
      </c>
      <c r="AA130" s="5" t="e">
        <f t="shared" si="31"/>
        <v>#REF!</v>
      </c>
      <c r="AB130" s="6" t="e">
        <f t="shared" si="32"/>
        <v>#REF!</v>
      </c>
      <c r="AC130" s="142" t="e">
        <f t="shared" si="33"/>
        <v>#REF!</v>
      </c>
      <c r="AD130" s="143" t="e">
        <f>[1]!Table2[[#This Row],[Base Rate ]]</f>
        <v>#REF!</v>
      </c>
      <c r="AE130" s="144" t="e">
        <f t="shared" si="34"/>
        <v>#REF!</v>
      </c>
      <c r="AG130" s="6" t="e">
        <f>[1]!Table2[[#This Row],[Total Due]]-AE130</f>
        <v>#REF!</v>
      </c>
    </row>
    <row r="131" spans="1:34">
      <c r="A131" s="1" t="s">
        <v>121</v>
      </c>
      <c r="B131" s="11" t="s">
        <v>138</v>
      </c>
      <c r="C131" s="11">
        <v>0</v>
      </c>
      <c r="D131" s="11">
        <v>0</v>
      </c>
      <c r="E131" s="11">
        <v>0</v>
      </c>
      <c r="F131" s="11">
        <f t="shared" si="23"/>
        <v>0</v>
      </c>
      <c r="G131" s="17">
        <f t="shared" si="39"/>
        <v>11.79</v>
      </c>
      <c r="H131" s="17">
        <f t="shared" si="40"/>
        <v>0</v>
      </c>
      <c r="I131" s="17">
        <f t="shared" si="41"/>
        <v>0</v>
      </c>
      <c r="J131" s="18">
        <f t="shared" si="42"/>
        <v>0</v>
      </c>
      <c r="K131" s="18">
        <f t="shared" si="43"/>
        <v>0</v>
      </c>
      <c r="L131" s="18">
        <f t="shared" si="24"/>
        <v>11.79</v>
      </c>
      <c r="M131" s="18">
        <f t="shared" si="45"/>
        <v>0</v>
      </c>
      <c r="N131" s="18">
        <f t="shared" si="25"/>
        <v>11.79</v>
      </c>
      <c r="O131" s="8"/>
      <c r="P131" s="137" t="e">
        <f>[1]!Table2[[#This Row],[Usage]]-30000</f>
        <v>#REF!</v>
      </c>
      <c r="Q131" s="1">
        <f t="shared" si="26"/>
        <v>0</v>
      </c>
      <c r="R131" s="1" t="e">
        <f>IF([1]!Table2[[#This Row],[Usage above 30000]]&gt;0,[1]!Table2[[#This Row],[Usage above 30000]],0)</f>
        <v>#REF!</v>
      </c>
      <c r="S131" s="138" t="e">
        <f t="shared" si="27"/>
        <v>#REF!</v>
      </c>
      <c r="T131" s="138" t="e">
        <f t="shared" si="35"/>
        <v>#REF!</v>
      </c>
      <c r="U131" s="138" t="e">
        <f t="shared" si="36"/>
        <v>#REF!</v>
      </c>
      <c r="V131" s="138" t="e">
        <f t="shared" si="37"/>
        <v>#REF!</v>
      </c>
      <c r="W131" s="138" t="e">
        <f t="shared" si="38"/>
        <v>#REF!</v>
      </c>
      <c r="X131" s="5" t="e">
        <f t="shared" si="28"/>
        <v>#REF!</v>
      </c>
      <c r="Y131" s="5" t="e">
        <f t="shared" si="29"/>
        <v>#REF!</v>
      </c>
      <c r="Z131" s="5" t="e">
        <f t="shared" si="30"/>
        <v>#REF!</v>
      </c>
      <c r="AA131" s="5" t="e">
        <f t="shared" si="31"/>
        <v>#REF!</v>
      </c>
      <c r="AB131" s="6" t="e">
        <f t="shared" si="32"/>
        <v>#REF!</v>
      </c>
      <c r="AC131" s="142" t="e">
        <f t="shared" si="33"/>
        <v>#REF!</v>
      </c>
      <c r="AD131" s="143" t="e">
        <f>[1]!Table2[[#This Row],[Base Rate ]]</f>
        <v>#REF!</v>
      </c>
      <c r="AE131" s="144" t="e">
        <f t="shared" si="34"/>
        <v>#REF!</v>
      </c>
      <c r="AG131" s="6" t="e">
        <f>[1]!Table2[[#This Row],[Total Due]]-AE131</f>
        <v>#REF!</v>
      </c>
    </row>
    <row r="132" spans="1:34">
      <c r="A132" s="1" t="s">
        <v>122</v>
      </c>
      <c r="B132" s="11"/>
      <c r="C132" s="11">
        <v>1297000</v>
      </c>
      <c r="D132" s="11">
        <v>1331000</v>
      </c>
      <c r="E132" s="11">
        <v>0</v>
      </c>
      <c r="F132" s="11">
        <f t="shared" si="23"/>
        <v>34000</v>
      </c>
      <c r="G132" s="17">
        <f t="shared" si="39"/>
        <v>40.090000000000003</v>
      </c>
      <c r="H132" s="17">
        <f t="shared" si="40"/>
        <v>21.8</v>
      </c>
      <c r="I132" s="17">
        <f t="shared" si="41"/>
        <v>25.299999999999997</v>
      </c>
      <c r="J132" s="18">
        <f t="shared" si="42"/>
        <v>11.8</v>
      </c>
      <c r="K132" s="18">
        <f t="shared" si="43"/>
        <v>0</v>
      </c>
      <c r="L132" s="18">
        <f t="shared" si="24"/>
        <v>98.99</v>
      </c>
      <c r="M132" s="18">
        <f t="shared" si="45"/>
        <v>0</v>
      </c>
      <c r="N132" s="18">
        <f t="shared" si="25"/>
        <v>98.99</v>
      </c>
      <c r="O132" s="8"/>
      <c r="P132" s="137" t="e">
        <f>[1]!Table2[[#This Row],[Usage]]-30000</f>
        <v>#REF!</v>
      </c>
      <c r="Q132" s="1">
        <f t="shared" si="26"/>
        <v>34000</v>
      </c>
      <c r="R132" s="1" t="e">
        <f>IF([1]!Table2[[#This Row],[Usage above 30000]]&gt;0,[1]!Table2[[#This Row],[Usage above 30000]],0)</f>
        <v>#REF!</v>
      </c>
      <c r="S132" s="138" t="e">
        <f t="shared" si="27"/>
        <v>#REF!</v>
      </c>
      <c r="T132" s="138" t="e">
        <f t="shared" si="35"/>
        <v>#REF!</v>
      </c>
      <c r="U132" s="138" t="e">
        <f t="shared" si="36"/>
        <v>#REF!</v>
      </c>
      <c r="V132" s="138" t="e">
        <f t="shared" si="37"/>
        <v>#REF!</v>
      </c>
      <c r="W132" s="138" t="e">
        <f t="shared" si="38"/>
        <v>#REF!</v>
      </c>
      <c r="X132" s="5" t="e">
        <f t="shared" si="28"/>
        <v>#REF!</v>
      </c>
      <c r="Y132" s="5" t="e">
        <f t="shared" si="29"/>
        <v>#REF!</v>
      </c>
      <c r="Z132" s="5" t="e">
        <f t="shared" si="30"/>
        <v>#REF!</v>
      </c>
      <c r="AA132" s="5" t="e">
        <f t="shared" si="31"/>
        <v>#REF!</v>
      </c>
      <c r="AB132" s="6" t="e">
        <f t="shared" si="32"/>
        <v>#REF!</v>
      </c>
      <c r="AC132" s="142" t="e">
        <f t="shared" si="33"/>
        <v>#REF!</v>
      </c>
      <c r="AD132" s="143" t="e">
        <f>[1]!Table2[[#This Row],[Base Rate ]]</f>
        <v>#REF!</v>
      </c>
      <c r="AE132" s="144" t="e">
        <f t="shared" si="34"/>
        <v>#REF!</v>
      </c>
      <c r="AG132" s="6" t="e">
        <f>[1]!Table2[[#This Row],[Total Due]]-AE132</f>
        <v>#REF!</v>
      </c>
    </row>
    <row r="133" spans="1:34">
      <c r="A133" s="1" t="s">
        <v>123</v>
      </c>
      <c r="B133" s="11" t="s">
        <v>138</v>
      </c>
      <c r="C133" s="11">
        <v>0</v>
      </c>
      <c r="D133" s="11">
        <v>0</v>
      </c>
      <c r="E133" s="11">
        <v>0</v>
      </c>
      <c r="F133" s="11">
        <f t="shared" si="23"/>
        <v>0</v>
      </c>
      <c r="G133" s="17">
        <f t="shared" si="39"/>
        <v>11.79</v>
      </c>
      <c r="H133" s="17">
        <f t="shared" si="40"/>
        <v>0</v>
      </c>
      <c r="I133" s="17">
        <f t="shared" si="41"/>
        <v>0</v>
      </c>
      <c r="J133" s="18">
        <f t="shared" si="42"/>
        <v>0</v>
      </c>
      <c r="K133" s="18">
        <f t="shared" si="43"/>
        <v>0</v>
      </c>
      <c r="L133" s="18">
        <f t="shared" si="24"/>
        <v>11.79</v>
      </c>
      <c r="M133" s="18">
        <f t="shared" si="45"/>
        <v>0</v>
      </c>
      <c r="N133" s="18">
        <f t="shared" si="25"/>
        <v>11.79</v>
      </c>
      <c r="O133" s="8"/>
      <c r="P133" s="137" t="e">
        <f>[1]!Table2[[#This Row],[Usage]]-30000</f>
        <v>#REF!</v>
      </c>
      <c r="Q133" s="1">
        <f t="shared" si="26"/>
        <v>0</v>
      </c>
      <c r="R133" s="1" t="e">
        <f>IF([1]!Table2[[#This Row],[Usage above 30000]]&gt;0,[1]!Table2[[#This Row],[Usage above 30000]],0)</f>
        <v>#REF!</v>
      </c>
      <c r="S133" s="138" t="e">
        <f t="shared" si="27"/>
        <v>#REF!</v>
      </c>
      <c r="T133" s="138" t="e">
        <f t="shared" si="35"/>
        <v>#REF!</v>
      </c>
      <c r="U133" s="138" t="e">
        <f t="shared" si="36"/>
        <v>#REF!</v>
      </c>
      <c r="V133" s="138" t="e">
        <f t="shared" si="37"/>
        <v>#REF!</v>
      </c>
      <c r="W133" s="138" t="e">
        <f t="shared" si="38"/>
        <v>#REF!</v>
      </c>
      <c r="X133" s="5" t="e">
        <f t="shared" si="28"/>
        <v>#REF!</v>
      </c>
      <c r="Y133" s="5" t="e">
        <f t="shared" si="29"/>
        <v>#REF!</v>
      </c>
      <c r="Z133" s="5" t="e">
        <f t="shared" si="30"/>
        <v>#REF!</v>
      </c>
      <c r="AA133" s="5" t="e">
        <f t="shared" si="31"/>
        <v>#REF!</v>
      </c>
      <c r="AB133" s="6" t="e">
        <f t="shared" si="32"/>
        <v>#REF!</v>
      </c>
      <c r="AC133" s="142" t="e">
        <f t="shared" si="33"/>
        <v>#REF!</v>
      </c>
      <c r="AD133" s="143" t="e">
        <f>[1]!Table2[[#This Row],[Base Rate ]]</f>
        <v>#REF!</v>
      </c>
      <c r="AE133" s="144" t="e">
        <f t="shared" si="34"/>
        <v>#REF!</v>
      </c>
      <c r="AG133" s="6" t="e">
        <f>[1]!Table2[[#This Row],[Total Due]]-AE133</f>
        <v>#REF!</v>
      </c>
    </row>
    <row r="134" spans="1:34">
      <c r="A134" s="1" t="s">
        <v>124</v>
      </c>
      <c r="B134" s="11" t="s">
        <v>138</v>
      </c>
      <c r="C134" s="11">
        <v>0</v>
      </c>
      <c r="D134" s="11">
        <v>0</v>
      </c>
      <c r="E134" s="11">
        <v>0</v>
      </c>
      <c r="F134" s="11">
        <f t="shared" si="23"/>
        <v>0</v>
      </c>
      <c r="G134" s="17">
        <f t="shared" si="39"/>
        <v>11.79</v>
      </c>
      <c r="H134" s="17">
        <f t="shared" si="40"/>
        <v>0</v>
      </c>
      <c r="I134" s="17">
        <f t="shared" si="41"/>
        <v>0</v>
      </c>
      <c r="J134" s="18">
        <f t="shared" si="42"/>
        <v>0</v>
      </c>
      <c r="K134" s="18">
        <f t="shared" si="43"/>
        <v>0</v>
      </c>
      <c r="L134" s="18">
        <f t="shared" si="24"/>
        <v>11.79</v>
      </c>
      <c r="M134" s="18">
        <f t="shared" si="45"/>
        <v>0</v>
      </c>
      <c r="N134" s="18">
        <f t="shared" si="25"/>
        <v>11.79</v>
      </c>
      <c r="O134" s="8"/>
      <c r="P134" s="137" t="e">
        <f>[1]!Table2[[#This Row],[Usage]]-30000</f>
        <v>#REF!</v>
      </c>
      <c r="Q134" s="1">
        <f t="shared" si="26"/>
        <v>0</v>
      </c>
      <c r="R134" s="1" t="e">
        <f>IF([1]!Table2[[#This Row],[Usage above 30000]]&gt;0,[1]!Table2[[#This Row],[Usage above 30000]],0)</f>
        <v>#REF!</v>
      </c>
      <c r="S134" s="138" t="e">
        <f t="shared" si="27"/>
        <v>#REF!</v>
      </c>
      <c r="T134" s="138" t="e">
        <f t="shared" si="35"/>
        <v>#REF!</v>
      </c>
      <c r="U134" s="138" t="e">
        <f t="shared" si="36"/>
        <v>#REF!</v>
      </c>
      <c r="V134" s="138" t="e">
        <f t="shared" si="37"/>
        <v>#REF!</v>
      </c>
      <c r="W134" s="138" t="e">
        <f t="shared" si="38"/>
        <v>#REF!</v>
      </c>
      <c r="X134" s="5" t="e">
        <f t="shared" si="28"/>
        <v>#REF!</v>
      </c>
      <c r="Y134" s="5" t="e">
        <f t="shared" si="29"/>
        <v>#REF!</v>
      </c>
      <c r="Z134" s="5" t="e">
        <f t="shared" si="30"/>
        <v>#REF!</v>
      </c>
      <c r="AA134" s="5" t="e">
        <f t="shared" si="31"/>
        <v>#REF!</v>
      </c>
      <c r="AB134" s="6" t="e">
        <f t="shared" si="32"/>
        <v>#REF!</v>
      </c>
      <c r="AC134" s="142" t="e">
        <f t="shared" si="33"/>
        <v>#REF!</v>
      </c>
      <c r="AD134" s="143" t="e">
        <f>[1]!Table2[[#This Row],[Base Rate ]]</f>
        <v>#REF!</v>
      </c>
      <c r="AE134" s="144" t="e">
        <f t="shared" si="34"/>
        <v>#REF!</v>
      </c>
      <c r="AG134" s="6" t="e">
        <f>[1]!Table2[[#This Row],[Total Due]]-AE134</f>
        <v>#REF!</v>
      </c>
    </row>
    <row r="135" spans="1:34">
      <c r="A135" s="1" t="s">
        <v>125</v>
      </c>
      <c r="B135" s="11" t="s">
        <v>138</v>
      </c>
      <c r="C135" s="11">
        <v>0</v>
      </c>
      <c r="D135" s="11">
        <v>0</v>
      </c>
      <c r="E135" s="11">
        <v>0</v>
      </c>
      <c r="F135" s="11">
        <f t="shared" si="23"/>
        <v>0</v>
      </c>
      <c r="G135" s="17">
        <f t="shared" si="39"/>
        <v>11.79</v>
      </c>
      <c r="H135" s="17">
        <f t="shared" si="40"/>
        <v>0</v>
      </c>
      <c r="I135" s="17">
        <f t="shared" si="41"/>
        <v>0</v>
      </c>
      <c r="J135" s="18">
        <f t="shared" si="42"/>
        <v>0</v>
      </c>
      <c r="K135" s="18">
        <f t="shared" si="43"/>
        <v>0</v>
      </c>
      <c r="L135" s="18">
        <f t="shared" si="24"/>
        <v>11.79</v>
      </c>
      <c r="M135" s="18">
        <f t="shared" si="45"/>
        <v>0</v>
      </c>
      <c r="N135" s="18">
        <f t="shared" si="25"/>
        <v>11.79</v>
      </c>
      <c r="O135" s="8"/>
      <c r="P135" s="137" t="e">
        <f>[1]!Table2[[#This Row],[Usage]]-30000</f>
        <v>#REF!</v>
      </c>
      <c r="Q135" s="1">
        <f t="shared" si="26"/>
        <v>0</v>
      </c>
      <c r="R135" s="1" t="e">
        <f>IF([1]!Table2[[#This Row],[Usage above 30000]]&gt;0,[1]!Table2[[#This Row],[Usage above 30000]],0)</f>
        <v>#REF!</v>
      </c>
      <c r="S135" s="138" t="e">
        <f t="shared" si="27"/>
        <v>#REF!</v>
      </c>
      <c r="T135" s="138" t="e">
        <f t="shared" si="35"/>
        <v>#REF!</v>
      </c>
      <c r="U135" s="138" t="e">
        <f t="shared" si="36"/>
        <v>#REF!</v>
      </c>
      <c r="V135" s="138" t="e">
        <f t="shared" si="37"/>
        <v>#REF!</v>
      </c>
      <c r="W135" s="138" t="e">
        <f t="shared" si="38"/>
        <v>#REF!</v>
      </c>
      <c r="X135" s="5" t="e">
        <f t="shared" si="28"/>
        <v>#REF!</v>
      </c>
      <c r="Y135" s="5" t="e">
        <f t="shared" si="29"/>
        <v>#REF!</v>
      </c>
      <c r="Z135" s="5" t="e">
        <f t="shared" si="30"/>
        <v>#REF!</v>
      </c>
      <c r="AA135" s="5" t="e">
        <f t="shared" si="31"/>
        <v>#REF!</v>
      </c>
      <c r="AB135" s="6" t="e">
        <f t="shared" si="32"/>
        <v>#REF!</v>
      </c>
      <c r="AC135" s="142" t="e">
        <f t="shared" si="33"/>
        <v>#REF!</v>
      </c>
      <c r="AD135" s="143" t="e">
        <f>[1]!Table2[[#This Row],[Base Rate ]]</f>
        <v>#REF!</v>
      </c>
      <c r="AE135" s="144" t="e">
        <f t="shared" si="34"/>
        <v>#REF!</v>
      </c>
      <c r="AG135" s="6" t="e">
        <f>[1]!Table2[[#This Row],[Total Due]]-AE135</f>
        <v>#REF!</v>
      </c>
    </row>
    <row r="136" spans="1:34" ht="15.75" thickBot="1">
      <c r="A136" s="1" t="s">
        <v>126</v>
      </c>
      <c r="B136" s="11"/>
      <c r="C136" s="11">
        <v>1003000</v>
      </c>
      <c r="D136" s="11">
        <v>1041000</v>
      </c>
      <c r="E136" s="11">
        <v>0</v>
      </c>
      <c r="F136" s="11">
        <f t="shared" si="23"/>
        <v>38000</v>
      </c>
      <c r="G136" s="17">
        <f t="shared" si="39"/>
        <v>40.090000000000003</v>
      </c>
      <c r="H136" s="17">
        <f t="shared" si="40"/>
        <v>21.8</v>
      </c>
      <c r="I136" s="17">
        <f t="shared" si="41"/>
        <v>25.299999999999997</v>
      </c>
      <c r="J136" s="18">
        <f t="shared" si="42"/>
        <v>23.6</v>
      </c>
      <c r="K136" s="18">
        <f t="shared" si="43"/>
        <v>0</v>
      </c>
      <c r="L136" s="18">
        <f t="shared" si="24"/>
        <v>110.78999999999999</v>
      </c>
      <c r="M136" s="18">
        <f t="shared" si="45"/>
        <v>0</v>
      </c>
      <c r="N136" s="18">
        <f t="shared" si="25"/>
        <v>110.78999999999999</v>
      </c>
      <c r="O136" s="8"/>
      <c r="P136" s="137" t="e">
        <f>[1]!Table2[[#This Row],[Usage]]-30000</f>
        <v>#REF!</v>
      </c>
      <c r="Q136" s="1">
        <f t="shared" si="26"/>
        <v>38000</v>
      </c>
      <c r="R136" s="1" t="e">
        <f>IF([1]!Table2[[#This Row],[Usage above 30000]]&gt;0,[1]!Table2[[#This Row],[Usage above 30000]],0)</f>
        <v>#REF!</v>
      </c>
      <c r="S136" s="138" t="e">
        <f t="shared" si="27"/>
        <v>#REF!</v>
      </c>
      <c r="T136" s="138" t="e">
        <f t="shared" si="35"/>
        <v>#REF!</v>
      </c>
      <c r="U136" s="138" t="e">
        <f t="shared" si="36"/>
        <v>#REF!</v>
      </c>
      <c r="V136" s="138" t="e">
        <f t="shared" si="37"/>
        <v>#REF!</v>
      </c>
      <c r="W136" s="138" t="e">
        <f t="shared" si="38"/>
        <v>#REF!</v>
      </c>
      <c r="X136" s="5" t="e">
        <f t="shared" si="28"/>
        <v>#REF!</v>
      </c>
      <c r="Y136" s="5" t="e">
        <f t="shared" si="29"/>
        <v>#REF!</v>
      </c>
      <c r="Z136" s="5" t="e">
        <f t="shared" si="30"/>
        <v>#REF!</v>
      </c>
      <c r="AA136" s="5" t="e">
        <f t="shared" si="31"/>
        <v>#REF!</v>
      </c>
      <c r="AB136" s="6" t="e">
        <f t="shared" si="32"/>
        <v>#REF!</v>
      </c>
      <c r="AC136" s="145" t="e">
        <f t="shared" si="33"/>
        <v>#REF!</v>
      </c>
      <c r="AD136" s="146" t="e">
        <f>[1]!Table2[[#This Row],[Base Rate ]]</f>
        <v>#REF!</v>
      </c>
      <c r="AE136" s="147" t="e">
        <f t="shared" si="34"/>
        <v>#REF!</v>
      </c>
      <c r="AG136" s="6" t="e">
        <f>[1]!Table2[[#This Row],[Total Due]]-AE136</f>
        <v>#REF!</v>
      </c>
    </row>
    <row r="137" spans="1:34">
      <c r="B137" s="11"/>
      <c r="C137" s="11"/>
      <c r="D137" s="11"/>
      <c r="E137" s="11"/>
      <c r="F137" s="11"/>
      <c r="G137" s="17"/>
      <c r="H137" s="17"/>
      <c r="I137" s="17"/>
      <c r="J137" s="18"/>
      <c r="K137" s="18"/>
      <c r="L137" s="18"/>
      <c r="M137" s="18"/>
      <c r="N137" s="18"/>
      <c r="O137" s="8"/>
    </row>
    <row r="138" spans="1:34">
      <c r="J138" s="1" t="s">
        <v>136</v>
      </c>
      <c r="M138" s="27">
        <f>SUM(M11:M136)</f>
        <v>0</v>
      </c>
      <c r="N138" s="5">
        <f>SUM(N11:N136)</f>
        <v>8886.6200000000099</v>
      </c>
      <c r="AE138" s="6" t="e">
        <f>SUM(AE11:AE136)</f>
        <v>#REF!</v>
      </c>
      <c r="AG138" s="6" t="e">
        <f>SUM(AG11:AG136)</f>
        <v>#REF!</v>
      </c>
    </row>
    <row r="139" spans="1:34" customFormat="1" ht="6.75" customHeight="1">
      <c r="A139" s="44"/>
      <c r="B139" s="44"/>
      <c r="C139" s="44"/>
      <c r="D139" s="44"/>
      <c r="E139" s="44"/>
      <c r="F139" s="44"/>
      <c r="G139" s="44"/>
      <c r="H139" s="44"/>
      <c r="I139" s="44"/>
      <c r="J139" s="44"/>
      <c r="K139" s="44"/>
      <c r="L139" s="44"/>
      <c r="M139" s="44"/>
      <c r="N139" s="44"/>
      <c r="O139" s="44"/>
      <c r="P139" s="1"/>
      <c r="Q139" s="1"/>
      <c r="R139" s="1"/>
      <c r="S139" s="1"/>
      <c r="T139" s="1"/>
      <c r="U139" s="1"/>
      <c r="V139" s="1"/>
      <c r="W139" s="1"/>
      <c r="X139" s="1"/>
      <c r="Y139" s="1"/>
      <c r="Z139" s="1"/>
      <c r="AA139" s="1"/>
      <c r="AB139" s="1"/>
      <c r="AC139" s="1"/>
      <c r="AD139" s="1"/>
      <c r="AE139" s="1"/>
      <c r="AF139" s="1"/>
      <c r="AG139" s="1"/>
      <c r="AH139" s="1"/>
    </row>
    <row r="140" spans="1:34" customFormat="1">
      <c r="A140" t="s">
        <v>249</v>
      </c>
      <c r="D140" s="76" t="s">
        <v>256</v>
      </c>
      <c r="E140" s="76"/>
      <c r="F140" s="81">
        <f t="shared" ref="F140:L140" si="46">SUM(F11:F136)</f>
        <v>2710000</v>
      </c>
      <c r="G140" s="75">
        <f t="shared" si="46"/>
        <v>4196.7500000000045</v>
      </c>
      <c r="H140" s="75">
        <f t="shared" si="46"/>
        <v>1818.5599999999981</v>
      </c>
      <c r="I140" s="75">
        <f t="shared" si="46"/>
        <v>632.49999999999977</v>
      </c>
      <c r="J140" s="75">
        <f t="shared" si="46"/>
        <v>415.95000000000005</v>
      </c>
      <c r="K140" s="75">
        <f t="shared" si="46"/>
        <v>1822.8600000000001</v>
      </c>
      <c r="L140" s="75">
        <f t="shared" si="46"/>
        <v>8886.6200000000099</v>
      </c>
      <c r="P140" s="1"/>
      <c r="Q140" s="1"/>
      <c r="R140" s="1"/>
      <c r="S140" s="1"/>
      <c r="T140" s="1"/>
      <c r="U140" s="1"/>
      <c r="V140" s="1"/>
      <c r="W140" s="1"/>
      <c r="X140" s="1"/>
      <c r="Y140" s="1"/>
      <c r="Z140" s="1"/>
      <c r="AA140" s="1"/>
      <c r="AB140" s="1"/>
      <c r="AC140" s="1"/>
      <c r="AD140" s="1"/>
      <c r="AE140" s="1"/>
      <c r="AF140" s="1"/>
      <c r="AG140" s="1"/>
      <c r="AH140" s="1"/>
    </row>
    <row r="141" spans="1:34" customFormat="1">
      <c r="A141" t="s">
        <v>250</v>
      </c>
      <c r="P141" s="1"/>
      <c r="Q141" s="1"/>
      <c r="R141" s="1"/>
      <c r="S141" s="1"/>
      <c r="T141" s="1"/>
      <c r="U141" s="1"/>
      <c r="V141" s="1"/>
      <c r="W141" s="1"/>
      <c r="X141" s="1"/>
      <c r="Y141" s="1"/>
      <c r="Z141" s="1"/>
      <c r="AA141" s="1"/>
      <c r="AB141" s="1"/>
      <c r="AC141" s="1"/>
      <c r="AD141" s="1"/>
      <c r="AE141" s="1"/>
      <c r="AF141" s="1"/>
      <c r="AG141" s="1"/>
      <c r="AH141" s="1"/>
    </row>
    <row r="142" spans="1:34" customFormat="1">
      <c r="D142" t="s">
        <v>248</v>
      </c>
      <c r="E142" t="s">
        <v>148</v>
      </c>
      <c r="G142" t="s">
        <v>258</v>
      </c>
      <c r="H142" t="s">
        <v>166</v>
      </c>
      <c r="I142" t="s">
        <v>167</v>
      </c>
      <c r="J142" t="s">
        <v>169</v>
      </c>
      <c r="K142" t="s">
        <v>252</v>
      </c>
      <c r="L142" t="s">
        <v>251</v>
      </c>
      <c r="M142" s="1"/>
      <c r="P142" s="1"/>
      <c r="Q142" s="1"/>
      <c r="R142" s="1"/>
      <c r="S142" s="1"/>
      <c r="T142" s="1"/>
      <c r="U142" s="1"/>
      <c r="V142" s="1"/>
      <c r="W142" s="1"/>
      <c r="X142" s="1"/>
      <c r="Y142" s="1"/>
      <c r="Z142" s="1"/>
      <c r="AA142" s="1"/>
      <c r="AB142" s="1"/>
      <c r="AC142" s="1"/>
      <c r="AD142" s="1"/>
      <c r="AE142" s="1"/>
      <c r="AF142" s="1"/>
      <c r="AG142" s="1"/>
      <c r="AH142" s="1"/>
    </row>
    <row r="143" spans="1:34" customFormat="1">
      <c r="A143" t="s">
        <v>254</v>
      </c>
      <c r="D143">
        <v>82</v>
      </c>
      <c r="E143" s="25">
        <f>SUM(M18:M130)</f>
        <v>0</v>
      </c>
      <c r="G143" s="25">
        <f>SUM(G18:G130)-G145</f>
        <v>3287.3800000000028</v>
      </c>
      <c r="H143" s="80">
        <f>SUM(H18:H130)-H145</f>
        <v>830.57999999999993</v>
      </c>
      <c r="I143" s="25">
        <f>SUM(I18:I130)-I145</f>
        <v>455.4</v>
      </c>
      <c r="J143" s="25">
        <f>SUM(J18:J130)-J145</f>
        <v>235.99999999999997</v>
      </c>
      <c r="K143" s="25">
        <f>SUM(K18:K130)-K145</f>
        <v>143.63999999999999</v>
      </c>
      <c r="L143" s="25">
        <f>SUM(F143:K143)</f>
        <v>4953.0000000000027</v>
      </c>
      <c r="M143" s="1"/>
      <c r="P143" s="1"/>
      <c r="Q143" s="1"/>
      <c r="R143" s="1"/>
      <c r="S143" s="1"/>
      <c r="T143" s="1"/>
      <c r="U143" s="1"/>
      <c r="V143" s="1"/>
      <c r="W143" s="1"/>
      <c r="X143" s="1"/>
      <c r="Y143" s="1"/>
      <c r="Z143" s="1"/>
      <c r="AA143" s="1"/>
      <c r="AB143" s="1"/>
      <c r="AC143" s="1"/>
      <c r="AD143" s="1"/>
      <c r="AE143" s="1"/>
      <c r="AF143" s="1"/>
      <c r="AG143" s="1"/>
      <c r="AH143" s="1"/>
    </row>
    <row r="144" spans="1:34" customFormat="1">
      <c r="A144" t="s">
        <v>255</v>
      </c>
      <c r="D144">
        <v>8</v>
      </c>
      <c r="E144" s="25">
        <f>SUM(M11:M15)+M17+SUM(M131:M136)</f>
        <v>0</v>
      </c>
      <c r="G144" s="34">
        <f>SUM(G11:G15)+G17+G132+G136</f>
        <v>320.72000000000003</v>
      </c>
      <c r="H144" s="34">
        <f>SUM(H11:H15)+H17+H132+H136</f>
        <v>152.60000000000002</v>
      </c>
      <c r="I144" s="34">
        <f>SUM(I11:I15)+I17+I132+I136</f>
        <v>177.09999999999997</v>
      </c>
      <c r="J144" s="34">
        <f>SUM(J11:J15)+J17+J132+J136</f>
        <v>179.95000000000002</v>
      </c>
      <c r="K144" s="34">
        <f>SUM(K11:K15)+K17+K132+K136</f>
        <v>1679.22</v>
      </c>
      <c r="L144" s="25">
        <f t="shared" ref="L144:L147" si="47">SUM(F144:K144)</f>
        <v>2509.59</v>
      </c>
      <c r="M144" s="1"/>
      <c r="P144" s="1"/>
      <c r="Q144" s="1"/>
      <c r="R144" s="1"/>
      <c r="S144" s="1"/>
      <c r="T144" s="1"/>
      <c r="U144" s="1"/>
      <c r="V144" s="1"/>
      <c r="W144" s="1"/>
      <c r="X144" s="1"/>
      <c r="Y144" s="1"/>
      <c r="Z144" s="1"/>
      <c r="AA144" s="1"/>
      <c r="AB144" s="1"/>
      <c r="AC144" s="1"/>
      <c r="AD144" s="1"/>
      <c r="AE144" s="1"/>
      <c r="AF144" s="1"/>
      <c r="AG144" s="1"/>
      <c r="AH144" s="1"/>
    </row>
    <row r="145" spans="1:34"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47"/>
        <v>365.49000000000007</v>
      </c>
      <c r="M145" s="1"/>
      <c r="P145" s="1"/>
      <c r="Q145" s="1"/>
      <c r="R145" s="1"/>
      <c r="S145" s="1"/>
      <c r="T145" s="1"/>
      <c r="U145" s="1"/>
      <c r="V145" s="1"/>
      <c r="W145" s="1"/>
      <c r="X145" s="1"/>
      <c r="Y145" s="1"/>
      <c r="Z145" s="1"/>
      <c r="AA145" s="1"/>
      <c r="AB145" s="1"/>
      <c r="AC145" s="1"/>
      <c r="AD145" s="1"/>
      <c r="AE145" s="1"/>
      <c r="AF145" s="1"/>
      <c r="AG145" s="1"/>
      <c r="AH145" s="1"/>
    </row>
    <row r="146" spans="1:34" customFormat="1">
      <c r="A146" t="s">
        <v>261</v>
      </c>
      <c r="D146">
        <v>4</v>
      </c>
      <c r="E146" s="25">
        <v>0</v>
      </c>
      <c r="G146" s="25">
        <f>G135+G134+G133+G131</f>
        <v>47.16</v>
      </c>
      <c r="H146" s="25">
        <f>H135+H134+H133+H131</f>
        <v>0</v>
      </c>
      <c r="I146" s="25">
        <f>I135+I134+I133+I131</f>
        <v>0</v>
      </c>
      <c r="J146" s="25">
        <f>J135+J134+J133+J131</f>
        <v>0</v>
      </c>
      <c r="K146" s="25">
        <f>K135+K134+K133+K131</f>
        <v>0</v>
      </c>
      <c r="L146" s="25">
        <f t="shared" si="47"/>
        <v>47.16</v>
      </c>
      <c r="M146" s="1"/>
      <c r="P146" s="1"/>
      <c r="Q146" s="1"/>
      <c r="R146" s="1"/>
      <c r="S146" s="1"/>
      <c r="T146" s="1"/>
      <c r="U146" s="1"/>
      <c r="V146" s="1"/>
      <c r="W146" s="1"/>
      <c r="X146" s="1"/>
      <c r="Y146" s="1"/>
      <c r="Z146" s="1"/>
      <c r="AA146" s="1"/>
      <c r="AB146" s="1"/>
      <c r="AC146" s="1"/>
      <c r="AD146" s="1"/>
      <c r="AE146" s="1"/>
      <c r="AF146" s="1"/>
      <c r="AG146" s="1"/>
      <c r="AH146" s="1"/>
    </row>
    <row r="147" spans="1:34" customFormat="1">
      <c r="A147" t="s">
        <v>253</v>
      </c>
      <c r="D147">
        <v>1</v>
      </c>
      <c r="E147" s="25">
        <f>M16</f>
        <v>0</v>
      </c>
      <c r="G147" s="25">
        <f>G16</f>
        <v>176</v>
      </c>
      <c r="H147" s="25">
        <f>H16</f>
        <v>835.38</v>
      </c>
      <c r="I147" s="25">
        <f>I16</f>
        <v>0</v>
      </c>
      <c r="J147" s="25">
        <f>J16</f>
        <v>0</v>
      </c>
      <c r="K147" s="25">
        <f>K16</f>
        <v>0</v>
      </c>
      <c r="L147" s="25">
        <f t="shared" si="47"/>
        <v>1011.38</v>
      </c>
      <c r="M147" s="1"/>
      <c r="P147" s="1"/>
      <c r="Q147" s="1"/>
      <c r="R147" s="1"/>
      <c r="S147" s="1"/>
      <c r="T147" s="1"/>
      <c r="U147" s="1"/>
      <c r="V147" s="1"/>
      <c r="W147" s="1"/>
      <c r="X147" s="1"/>
      <c r="Y147" s="1"/>
      <c r="Z147" s="1"/>
      <c r="AA147" s="1"/>
      <c r="AB147" s="1"/>
      <c r="AC147" s="1"/>
      <c r="AD147" s="1"/>
      <c r="AE147" s="1"/>
      <c r="AF147" s="1"/>
      <c r="AG147" s="1"/>
      <c r="AH147" s="1"/>
    </row>
    <row r="148" spans="1:34" customFormat="1" ht="15.75" thickBot="1">
      <c r="B148" t="s">
        <v>257</v>
      </c>
      <c r="D148" s="73">
        <f>SUM(D143:D147)</f>
        <v>126</v>
      </c>
      <c r="E148" s="74">
        <f>SUM(E143:E147)</f>
        <v>0</v>
      </c>
      <c r="F148" s="73"/>
      <c r="G148" s="74">
        <f t="shared" ref="G148:L148" si="48">SUM(G143:G147)</f>
        <v>4196.7500000000036</v>
      </c>
      <c r="H148" s="74">
        <f t="shared" si="48"/>
        <v>1818.56</v>
      </c>
      <c r="I148" s="74">
        <f t="shared" si="48"/>
        <v>632.5</v>
      </c>
      <c r="J148" s="74">
        <f t="shared" si="48"/>
        <v>415.95</v>
      </c>
      <c r="K148" s="74">
        <f t="shared" si="48"/>
        <v>1822.8600000000001</v>
      </c>
      <c r="L148" s="74">
        <f t="shared" si="48"/>
        <v>8886.6200000000026</v>
      </c>
      <c r="M148" s="1"/>
      <c r="P148" s="1"/>
      <c r="Q148" s="1"/>
      <c r="R148" s="1"/>
      <c r="S148" s="1"/>
      <c r="T148" s="1"/>
      <c r="U148" s="1"/>
      <c r="V148" s="1"/>
      <c r="W148" s="1"/>
      <c r="X148" s="1"/>
      <c r="Y148" s="1"/>
      <c r="Z148" s="1"/>
      <c r="AA148" s="1"/>
      <c r="AB148" s="1"/>
      <c r="AC148" s="1"/>
      <c r="AD148" s="1"/>
      <c r="AE148" s="1"/>
      <c r="AF148" s="1"/>
      <c r="AG148" s="1"/>
      <c r="AH148" s="1"/>
    </row>
    <row r="149" spans="1:34" customFormat="1" ht="15.75" thickTop="1">
      <c r="D149" s="78"/>
      <c r="E149" s="78"/>
      <c r="F149" s="78"/>
      <c r="G149" s="79"/>
      <c r="H149" s="79"/>
      <c r="I149" s="79"/>
      <c r="J149" s="79"/>
      <c r="K149" s="79"/>
      <c r="L149" s="79"/>
      <c r="M149" s="1"/>
      <c r="P149" s="1"/>
      <c r="Q149" s="1"/>
      <c r="R149" s="1"/>
      <c r="S149" s="1"/>
      <c r="T149" s="1"/>
      <c r="U149" s="1"/>
      <c r="V149" s="1"/>
      <c r="W149" s="1"/>
      <c r="X149" s="1"/>
      <c r="Y149" s="1"/>
      <c r="Z149" s="1"/>
      <c r="AA149" s="1"/>
      <c r="AB149" s="1"/>
      <c r="AC149" s="1"/>
      <c r="AD149" s="1"/>
      <c r="AE149" s="1"/>
      <c r="AF149" s="1"/>
      <c r="AG149" s="1"/>
      <c r="AH149" s="1"/>
    </row>
    <row r="150" spans="1:34" customFormat="1">
      <c r="A150" t="s">
        <v>262</v>
      </c>
      <c r="D150" s="75"/>
      <c r="E150" s="81">
        <v>0</v>
      </c>
      <c r="F150" s="75"/>
      <c r="G150" s="81">
        <f>F140-G151-G152-(SUM(H153:K153))</f>
        <v>723000</v>
      </c>
      <c r="H150" s="81">
        <f>H143/2.18*1000</f>
        <v>380999.99999999994</v>
      </c>
      <c r="I150" s="81">
        <f>I143/2.53*1000</f>
        <v>180000</v>
      </c>
      <c r="J150" s="81">
        <f>J143/2.95*1000</f>
        <v>79999.999999999985</v>
      </c>
      <c r="K150" s="81">
        <f>K143/3.42*1000</f>
        <v>42000</v>
      </c>
      <c r="L150" s="81">
        <f>SUM(G150:K150)</f>
        <v>1406000</v>
      </c>
      <c r="M150" s="1"/>
      <c r="P150" s="1"/>
      <c r="Q150" s="1"/>
      <c r="R150" s="1"/>
      <c r="S150" s="1"/>
      <c r="T150" s="1"/>
      <c r="U150" s="1"/>
      <c r="V150" s="1"/>
      <c r="W150" s="1"/>
      <c r="X150" s="1"/>
      <c r="Y150" s="1"/>
      <c r="Z150" s="1"/>
      <c r="AA150" s="1"/>
      <c r="AB150" s="1"/>
      <c r="AC150" s="1"/>
      <c r="AD150" s="1"/>
      <c r="AE150" s="1"/>
      <c r="AF150" s="1"/>
      <c r="AG150" s="1"/>
      <c r="AH150" s="1"/>
    </row>
    <row r="151" spans="1:34" customFormat="1">
      <c r="A151" t="s">
        <v>263</v>
      </c>
      <c r="D151" s="75"/>
      <c r="E151" s="81">
        <v>0</v>
      </c>
      <c r="F151" s="75"/>
      <c r="G151" s="81">
        <f>(SUM(F11:F15)+F17+SUM(F131:F136)-H151-I151-J151-K151)</f>
        <v>70000</v>
      </c>
      <c r="H151" s="81">
        <f>H144/2.18*1000</f>
        <v>70000</v>
      </c>
      <c r="I151" s="81">
        <f>I144/2.53*1000</f>
        <v>69999.999999999985</v>
      </c>
      <c r="J151" s="81">
        <f>J144/2.95*1000</f>
        <v>61000</v>
      </c>
      <c r="K151" s="81">
        <f>K144/3.42*1000</f>
        <v>491000</v>
      </c>
      <c r="L151" s="81">
        <f>SUM(G151:K151)</f>
        <v>762000</v>
      </c>
      <c r="M151" s="1"/>
      <c r="P151" s="1"/>
      <c r="Q151" s="1"/>
      <c r="R151" s="1"/>
      <c r="S151" s="1"/>
      <c r="T151" s="1"/>
      <c r="U151" s="1"/>
      <c r="V151" s="1"/>
      <c r="W151" s="1"/>
      <c r="X151" s="1"/>
      <c r="Y151" s="1"/>
      <c r="Z151" s="1"/>
      <c r="AA151" s="1"/>
      <c r="AB151" s="1"/>
      <c r="AC151" s="1"/>
      <c r="AD151" s="1"/>
      <c r="AE151" s="1"/>
      <c r="AF151" s="1"/>
      <c r="AG151" s="1"/>
      <c r="AH151" s="1"/>
    </row>
    <row r="152" spans="1:34" customFormat="1">
      <c r="A152" t="s">
        <v>264</v>
      </c>
      <c r="D152" s="75"/>
      <c r="E152" s="81">
        <v>0</v>
      </c>
      <c r="F152" s="75"/>
      <c r="G152" s="81">
        <f>IF(F16&gt;100000,100000,F16)</f>
        <v>100000</v>
      </c>
      <c r="H152" s="81">
        <f>H147/1.89*1000</f>
        <v>442000</v>
      </c>
      <c r="I152" s="81" t="s">
        <v>259</v>
      </c>
      <c r="J152" s="81" t="s">
        <v>259</v>
      </c>
      <c r="K152" s="81" t="s">
        <v>259</v>
      </c>
      <c r="L152" s="81">
        <f>SUM(G152:K152)</f>
        <v>542000</v>
      </c>
      <c r="M152" s="1"/>
      <c r="P152" s="1"/>
      <c r="Q152" s="1"/>
      <c r="R152" s="1"/>
      <c r="S152" s="1"/>
      <c r="T152" s="1"/>
      <c r="U152" s="1"/>
      <c r="V152" s="1"/>
      <c r="W152" s="1"/>
      <c r="X152" s="1"/>
      <c r="Y152" s="1"/>
      <c r="Z152" s="1"/>
      <c r="AA152" s="1"/>
      <c r="AB152" s="1"/>
      <c r="AC152" s="1"/>
      <c r="AD152" s="1"/>
      <c r="AE152" s="1"/>
      <c r="AF152" s="1"/>
      <c r="AG152" s="1"/>
      <c r="AH152" s="1"/>
    </row>
    <row r="153" spans="1:34" customFormat="1" ht="15.75" thickBot="1">
      <c r="B153" t="s">
        <v>265</v>
      </c>
      <c r="D153" s="77"/>
      <c r="E153" s="82">
        <f>SUM(E150:E152)</f>
        <v>0</v>
      </c>
      <c r="F153" s="77"/>
      <c r="G153" s="82">
        <f>G150+G151+G152</f>
        <v>893000</v>
      </c>
      <c r="H153" s="82">
        <f>SUM(H150:H152)</f>
        <v>893000</v>
      </c>
      <c r="I153" s="82">
        <f>SUM(I150:I152)</f>
        <v>250000</v>
      </c>
      <c r="J153" s="82">
        <f>SUM(J150:J152)</f>
        <v>141000</v>
      </c>
      <c r="K153" s="82">
        <f>SUM(K150:K152)</f>
        <v>533000</v>
      </c>
      <c r="L153" s="82">
        <f>SUM(L150:L152)</f>
        <v>2710000</v>
      </c>
      <c r="M153" s="1"/>
      <c r="P153" s="1"/>
      <c r="Q153" s="1"/>
      <c r="R153" s="1"/>
      <c r="S153" s="1"/>
      <c r="T153" s="1"/>
      <c r="U153" s="1"/>
      <c r="V153" s="1"/>
      <c r="W153" s="1"/>
      <c r="X153" s="1"/>
      <c r="Y153" s="1"/>
      <c r="Z153" s="1"/>
      <c r="AA153" s="1"/>
      <c r="AB153" s="1"/>
      <c r="AC153" s="1"/>
      <c r="AD153" s="1"/>
      <c r="AE153" s="1"/>
      <c r="AF153" s="1"/>
      <c r="AG153" s="1"/>
      <c r="AH153" s="1"/>
    </row>
    <row r="154" spans="1:34" ht="15.75" thickTop="1">
      <c r="E154" s="1" t="s">
        <v>274</v>
      </c>
    </row>
    <row r="155" spans="1:34">
      <c r="E155" s="75" t="s">
        <v>275</v>
      </c>
    </row>
    <row r="156" spans="1:34">
      <c r="E156" s="75" t="s">
        <v>273</v>
      </c>
    </row>
    <row r="157" spans="1:34">
      <c r="E157" s="75" t="s">
        <v>276</v>
      </c>
    </row>
  </sheetData>
  <mergeCells count="4">
    <mergeCell ref="AC4:AE4"/>
    <mergeCell ref="AC5:AE5"/>
    <mergeCell ref="T9:W9"/>
    <mergeCell ref="X9:AA9"/>
  </mergeCells>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16.xml><?xml version="1.0" encoding="utf-8"?>
<worksheet xmlns="http://schemas.openxmlformats.org/spreadsheetml/2006/main" xmlns:r="http://schemas.openxmlformats.org/officeDocument/2006/relationships">
  <sheetPr>
    <pageSetUpPr fitToPage="1"/>
  </sheetPr>
  <dimension ref="A1:O157"/>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23">
        <v>40940</v>
      </c>
      <c r="D4" s="1" t="s">
        <v>146</v>
      </c>
      <c r="G4" s="1" t="s">
        <v>156</v>
      </c>
      <c r="K4" s="1" t="s">
        <v>149</v>
      </c>
      <c r="N4" s="1">
        <f>SUM(F11:F136)</f>
        <v>937000</v>
      </c>
    </row>
    <row r="5" spans="1:15">
      <c r="A5" s="1" t="s">
        <v>165</v>
      </c>
      <c r="B5" s="24" t="s">
        <v>179</v>
      </c>
      <c r="D5" s="1" t="s">
        <v>144</v>
      </c>
      <c r="G5" s="1" t="s">
        <v>155</v>
      </c>
      <c r="H5" s="1">
        <v>0</v>
      </c>
      <c r="K5" s="1" t="s">
        <v>154</v>
      </c>
      <c r="N5" s="1">
        <f>N4-F16</f>
        <v>756000</v>
      </c>
    </row>
    <row r="6" spans="1:15">
      <c r="B6" s="4"/>
      <c r="D6" s="1" t="s">
        <v>145</v>
      </c>
      <c r="G6" s="1" t="s">
        <v>158</v>
      </c>
      <c r="H6" s="1">
        <v>35000</v>
      </c>
      <c r="K6" s="1" t="s">
        <v>160</v>
      </c>
      <c r="N6" s="1">
        <f>SUMIF(F11:F15,"&gt;" &amp; $H$6)+SUMIF(F17:F136,"&gt;" &amp; $H$6)+SUMIF(F16,"&gt;" &amp; $H$7)</f>
        <v>399000</v>
      </c>
    </row>
    <row r="7" spans="1:15">
      <c r="B7" s="4"/>
      <c r="D7" s="1" t="s">
        <v>150</v>
      </c>
      <c r="E7" s="12">
        <f>E6-E5</f>
        <v>0</v>
      </c>
      <c r="G7" s="1" t="s">
        <v>159</v>
      </c>
      <c r="H7" s="12">
        <v>100000</v>
      </c>
      <c r="K7" s="1" t="s">
        <v>161</v>
      </c>
      <c r="N7" s="1">
        <f>(SUMIF(F11:F15,"&gt;" &amp; $H$6)-(COUNTIF(F11:F15,"&gt;" &amp; $H$6)*$H$6))+(SUMIF(F17:F136,"&gt;" &amp; $H$6)-(COUNTIF(F17:F136,"&gt;" &amp; $H$6)*$H$6))+(SUMIF(F16,"&gt;" &amp; $H$7)-(COUNTIF(F16,"&gt;" &amp; $H$7)*$H$7))</f>
        <v>159000</v>
      </c>
    </row>
    <row r="8" spans="1:15">
      <c r="D8" s="1" t="s">
        <v>147</v>
      </c>
      <c r="E8" s="25">
        <v>0</v>
      </c>
      <c r="H8" s="6"/>
    </row>
    <row r="10" spans="1:15">
      <c r="A10" s="7" t="s">
        <v>0</v>
      </c>
      <c r="B10" s="10" t="s">
        <v>137</v>
      </c>
      <c r="C10" s="13" t="s">
        <v>180</v>
      </c>
      <c r="D10" s="26" t="s">
        <v>196</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7771000</v>
      </c>
      <c r="D11" s="11">
        <v>7771000</v>
      </c>
      <c r="E11" s="11">
        <v>0</v>
      </c>
      <c r="F11" s="83">
        <f>Table21623[[#This Row],[Usage]]</f>
        <v>74000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116.28</v>
      </c>
      <c r="L11" s="18">
        <f>SUM(G11:K11)</f>
        <v>232.97</v>
      </c>
      <c r="M11" s="18">
        <f>IF(   $H$5=1,    IF((F11-$H$6)&gt;0,((F11-$H$6)/$N$7)*$E$8,0),   IF(F11&gt;0,(F11/$N$4)*$E$8,0)    )</f>
        <v>0</v>
      </c>
      <c r="N11" s="18">
        <f>SUM(L11:M11)</f>
        <v>232.97</v>
      </c>
      <c r="O11" s="8"/>
    </row>
    <row r="12" spans="1:15">
      <c r="A12" s="1" t="s">
        <v>2</v>
      </c>
      <c r="B12" s="11"/>
      <c r="C12" s="11">
        <v>6677000</v>
      </c>
      <c r="D12" s="11">
        <v>6677000</v>
      </c>
      <c r="E12" s="11">
        <v>0</v>
      </c>
      <c r="F12" s="83">
        <f>Table21623[[#This Row],[Usage]]</f>
        <v>53000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44.46</v>
      </c>
      <c r="L12" s="18">
        <f t="shared" ref="L12:L75" si="0">SUM(G12:K12)</f>
        <v>161.15</v>
      </c>
      <c r="M12" s="18">
        <f>IF(   $H$5=1,    IF((F12-$H$6)&gt;0,((F12-$H$6)/$N$7)*$E$8,0),   IF(F12&gt;0,(F12/$N$4)*$E$8,0)    )</f>
        <v>0</v>
      </c>
      <c r="N12" s="18">
        <f t="shared" ref="N12:N75" si="1">SUM(L12:M12)</f>
        <v>161.15</v>
      </c>
      <c r="O12" s="8"/>
    </row>
    <row r="13" spans="1:15">
      <c r="A13" s="1" t="s">
        <v>3</v>
      </c>
      <c r="B13" s="11"/>
      <c r="C13" s="11">
        <v>0</v>
      </c>
      <c r="D13" s="11">
        <v>0</v>
      </c>
      <c r="E13" s="11">
        <v>0</v>
      </c>
      <c r="F13" s="83">
        <f>Table21623[[#This Row],[Usage]]</f>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0"/>
        <v>40.090000000000003</v>
      </c>
      <c r="M13" s="18">
        <f>IF(   $H$5=1,    IF((F13-$H$6)&gt;0,((F13-$H$6)/$N$7)*$E$8,0),   IF(F13&gt;0,(F13/$N$4)*$E$8,0)    )</f>
        <v>0</v>
      </c>
      <c r="N13" s="18">
        <f t="shared" si="1"/>
        <v>40.090000000000003</v>
      </c>
      <c r="O13" s="8" t="s">
        <v>134</v>
      </c>
    </row>
    <row r="14" spans="1:15">
      <c r="A14" s="1" t="s">
        <v>4</v>
      </c>
      <c r="B14" s="11"/>
      <c r="C14" s="11">
        <v>3358000</v>
      </c>
      <c r="D14" s="11">
        <v>3358000</v>
      </c>
      <c r="E14" s="11">
        <v>0</v>
      </c>
      <c r="F14" s="83">
        <f>Table21623[[#This Row],[Usage]]</f>
        <v>43000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10.26</v>
      </c>
      <c r="L14" s="18">
        <f t="shared" si="0"/>
        <v>126.95</v>
      </c>
      <c r="M14" s="18">
        <f>IF(   $H$5=1,    IF((F14-$H$6)&gt;0,((F14-$H$6)/$N$7)*$E$8,0),   IF(F14&gt;0,(F14/$N$4)*$E$8,0)    )</f>
        <v>0</v>
      </c>
      <c r="N14" s="18">
        <f t="shared" si="1"/>
        <v>126.95</v>
      </c>
      <c r="O14" s="8"/>
    </row>
    <row r="15" spans="1:15">
      <c r="A15" s="1" t="s">
        <v>5</v>
      </c>
      <c r="B15" s="11"/>
      <c r="C15" s="11">
        <v>2280000</v>
      </c>
      <c r="D15" s="11">
        <v>2280000</v>
      </c>
      <c r="E15" s="11">
        <v>0</v>
      </c>
      <c r="F15" s="83">
        <f>Table21623[[#This Row],[Usage]]</f>
        <v>48000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27.36</v>
      </c>
      <c r="L15" s="18">
        <f t="shared" si="0"/>
        <v>144.05000000000001</v>
      </c>
      <c r="M15" s="18">
        <f>IF(   $H$5=1,    IF((F15-$H$6)&gt;0,((F15-$H$6)/$N$7)*$E$8,0),   IF(F15&gt;0,(F15/$N$4)*$E$8,0)    )</f>
        <v>0</v>
      </c>
      <c r="N15" s="18">
        <f t="shared" si="1"/>
        <v>144.05000000000001</v>
      </c>
      <c r="O15" s="8"/>
    </row>
    <row r="16" spans="1:15">
      <c r="A16" s="1" t="s">
        <v>6</v>
      </c>
      <c r="B16" s="11"/>
      <c r="C16" s="11">
        <v>25128000</v>
      </c>
      <c r="D16" s="11">
        <v>25128000</v>
      </c>
      <c r="E16" s="11">
        <v>0</v>
      </c>
      <c r="F16" s="83">
        <f>Table21623[[#This Row],[Usage]]</f>
        <v>181000</v>
      </c>
      <c r="G16" s="17">
        <v>176</v>
      </c>
      <c r="H16" s="17">
        <f>IF(($F16-100000)&gt;=0,($F16-100000)/1000*1.89,0)</f>
        <v>153.09</v>
      </c>
      <c r="I16" s="17"/>
      <c r="J16" s="18"/>
      <c r="K16" s="18"/>
      <c r="L16" s="18">
        <f t="shared" si="0"/>
        <v>329.09000000000003</v>
      </c>
      <c r="M16" s="18">
        <f>IF(   $H$5=1,     IF((F16-$H$7)&gt;0,((F16-$H$7)/$N$7)*$E$8,0),   IF(F16&gt;0,(F16/$N$4)*$E$8,0)    )</f>
        <v>0</v>
      </c>
      <c r="N16" s="18">
        <f t="shared" si="1"/>
        <v>329.09000000000003</v>
      </c>
      <c r="O16" s="8" t="s">
        <v>133</v>
      </c>
    </row>
    <row r="17" spans="1:15">
      <c r="A17" s="1" t="s">
        <v>7</v>
      </c>
      <c r="B17" s="11"/>
      <c r="C17" s="11">
        <v>550000</v>
      </c>
      <c r="D17" s="11">
        <v>550000</v>
      </c>
      <c r="E17" s="11">
        <v>0</v>
      </c>
      <c r="F17" s="83">
        <f>Table21623[[#This Row],[Usage]]</f>
        <v>13000</v>
      </c>
      <c r="G17" s="17">
        <f t="shared" ref="G17:G80" si="2">IF(OR($F17&gt;0,$B17=""),40.09,11.79)</f>
        <v>40.090000000000003</v>
      </c>
      <c r="H17" s="17">
        <f t="shared" ref="H17:H80" si="3">IF(AND((($F17-10000)&gt;=0),(($F17-10000)&lt;= 10000)),($F17-10000)/1000*2.18,IF(($F17-10000)&gt;=10000,2.18*10,0))</f>
        <v>6.5400000000000009</v>
      </c>
      <c r="I17" s="17">
        <f t="shared" ref="I17:I80" si="4">IF(AND((($F17-20000)&gt;=0),(($F17-20000)&lt;=10000)),($F17-20000)/1000*2.53,IF(($F17-20000)&gt;=10000,2.53*10,0))</f>
        <v>0</v>
      </c>
      <c r="J17" s="18">
        <f t="shared" ref="J17:J80" si="5">IF(AND((($F17-30000)&gt;=0),(($F17-30000)&lt;=10000)),($F17-30000)/1000*2.95,IF(($F17-30000)&gt;=10000,2.95*10,0))</f>
        <v>0</v>
      </c>
      <c r="K17" s="18">
        <f t="shared" ref="K17:K80" si="6">IF((($F17-40000)&gt;=0),($F17-40000)/1000*3.42,0)</f>
        <v>0</v>
      </c>
      <c r="L17" s="18">
        <f t="shared" si="0"/>
        <v>46.63</v>
      </c>
      <c r="M17" s="18">
        <f t="shared" ref="M17:M48" si="7">IF(   $H$5=1,    IF((F17-$H$6)&gt;0,((F17-$H$6)/$N$7)*$E$8,0),   IF(F17&gt;0,(F17/$N$4)*$E$8,0)    )</f>
        <v>0</v>
      </c>
      <c r="N17" s="18">
        <f t="shared" si="1"/>
        <v>46.63</v>
      </c>
      <c r="O17" s="8"/>
    </row>
    <row r="18" spans="1:15">
      <c r="A18" s="1" t="s">
        <v>8</v>
      </c>
      <c r="B18" s="11"/>
      <c r="C18" s="11">
        <v>2218000</v>
      </c>
      <c r="D18" s="11">
        <v>2218000</v>
      </c>
      <c r="E18" s="11">
        <v>0</v>
      </c>
      <c r="F18" s="83">
        <f>Table21623[[#This Row],[Usage]]</f>
        <v>11000</v>
      </c>
      <c r="G18" s="17">
        <f t="shared" si="2"/>
        <v>40.090000000000003</v>
      </c>
      <c r="H18" s="17">
        <f t="shared" si="3"/>
        <v>2.1800000000000002</v>
      </c>
      <c r="I18" s="17">
        <f t="shared" si="4"/>
        <v>0</v>
      </c>
      <c r="J18" s="18">
        <f t="shared" si="5"/>
        <v>0</v>
      </c>
      <c r="K18" s="18">
        <f t="shared" si="6"/>
        <v>0</v>
      </c>
      <c r="L18" s="18">
        <f t="shared" si="0"/>
        <v>42.27</v>
      </c>
      <c r="M18" s="18">
        <f t="shared" si="7"/>
        <v>0</v>
      </c>
      <c r="N18" s="18">
        <f t="shared" si="1"/>
        <v>42.27</v>
      </c>
      <c r="O18" s="8" t="s">
        <v>174</v>
      </c>
    </row>
    <row r="19" spans="1:15">
      <c r="A19" s="1" t="s">
        <v>9</v>
      </c>
      <c r="B19" s="11"/>
      <c r="C19" s="11">
        <v>227000</v>
      </c>
      <c r="D19" s="11">
        <v>227000</v>
      </c>
      <c r="E19" s="11">
        <v>0</v>
      </c>
      <c r="F19" s="83">
        <f>Table21623[[#This Row],[Usage]]</f>
        <v>18000</v>
      </c>
      <c r="G19" s="17">
        <f t="shared" si="2"/>
        <v>40.090000000000003</v>
      </c>
      <c r="H19" s="17">
        <f t="shared" si="3"/>
        <v>17.440000000000001</v>
      </c>
      <c r="I19" s="17">
        <f t="shared" si="4"/>
        <v>0</v>
      </c>
      <c r="J19" s="18">
        <f t="shared" si="5"/>
        <v>0</v>
      </c>
      <c r="K19" s="18">
        <f t="shared" si="6"/>
        <v>0</v>
      </c>
      <c r="L19" s="18">
        <f t="shared" si="0"/>
        <v>57.53</v>
      </c>
      <c r="M19" s="18">
        <f t="shared" si="7"/>
        <v>0</v>
      </c>
      <c r="N19" s="18">
        <f t="shared" si="1"/>
        <v>57.53</v>
      </c>
      <c r="O19" s="8"/>
    </row>
    <row r="20" spans="1:15">
      <c r="A20" s="1" t="s">
        <v>10</v>
      </c>
      <c r="B20" s="11"/>
      <c r="C20" s="11">
        <v>1529000</v>
      </c>
      <c r="D20" s="11">
        <v>1529000</v>
      </c>
      <c r="E20" s="11">
        <v>0</v>
      </c>
      <c r="F20" s="83">
        <f>Table21623[[#This Row],[Usage]]</f>
        <v>10000</v>
      </c>
      <c r="G20" s="17">
        <f t="shared" si="2"/>
        <v>40.090000000000003</v>
      </c>
      <c r="H20" s="17">
        <f t="shared" si="3"/>
        <v>0</v>
      </c>
      <c r="I20" s="17">
        <f t="shared" si="4"/>
        <v>0</v>
      </c>
      <c r="J20" s="18">
        <f t="shared" si="5"/>
        <v>0</v>
      </c>
      <c r="K20" s="18">
        <f t="shared" si="6"/>
        <v>0</v>
      </c>
      <c r="L20" s="18">
        <f t="shared" si="0"/>
        <v>40.090000000000003</v>
      </c>
      <c r="M20" s="18">
        <f t="shared" si="7"/>
        <v>0</v>
      </c>
      <c r="N20" s="18">
        <f t="shared" si="1"/>
        <v>40.090000000000003</v>
      </c>
      <c r="O20" s="8"/>
    </row>
    <row r="21" spans="1:15">
      <c r="A21" s="1" t="s">
        <v>11</v>
      </c>
      <c r="B21" s="11"/>
      <c r="C21" s="11">
        <v>1980000</v>
      </c>
      <c r="D21" s="11">
        <v>1980000</v>
      </c>
      <c r="E21" s="11">
        <v>0</v>
      </c>
      <c r="F21" s="83">
        <f>Table21623[[#This Row],[Usage]]</f>
        <v>11000</v>
      </c>
      <c r="G21" s="17">
        <f t="shared" si="2"/>
        <v>40.090000000000003</v>
      </c>
      <c r="H21" s="17">
        <f t="shared" si="3"/>
        <v>2.1800000000000002</v>
      </c>
      <c r="I21" s="17">
        <f t="shared" si="4"/>
        <v>0</v>
      </c>
      <c r="J21" s="18">
        <f t="shared" si="5"/>
        <v>0</v>
      </c>
      <c r="K21" s="18">
        <f t="shared" si="6"/>
        <v>0</v>
      </c>
      <c r="L21" s="18">
        <f t="shared" si="0"/>
        <v>42.27</v>
      </c>
      <c r="M21" s="18">
        <f t="shared" si="7"/>
        <v>0</v>
      </c>
      <c r="N21" s="18">
        <f t="shared" si="1"/>
        <v>42.27</v>
      </c>
      <c r="O21" s="8"/>
    </row>
    <row r="22" spans="1:15">
      <c r="A22" s="1" t="s">
        <v>12</v>
      </c>
      <c r="B22" s="11"/>
      <c r="C22" s="11">
        <v>2238000</v>
      </c>
      <c r="D22" s="11">
        <v>2238000</v>
      </c>
      <c r="E22" s="11">
        <v>0</v>
      </c>
      <c r="F22" s="83">
        <f>Table21623[[#This Row],[Usage]]</f>
        <v>7000</v>
      </c>
      <c r="G22" s="17">
        <f t="shared" si="2"/>
        <v>40.090000000000003</v>
      </c>
      <c r="H22" s="17">
        <f t="shared" si="3"/>
        <v>0</v>
      </c>
      <c r="I22" s="17">
        <f t="shared" si="4"/>
        <v>0</v>
      </c>
      <c r="J22" s="18">
        <f t="shared" si="5"/>
        <v>0</v>
      </c>
      <c r="K22" s="18">
        <f t="shared" si="6"/>
        <v>0</v>
      </c>
      <c r="L22" s="18">
        <f t="shared" si="0"/>
        <v>40.090000000000003</v>
      </c>
      <c r="M22" s="18">
        <f t="shared" si="7"/>
        <v>0</v>
      </c>
      <c r="N22" s="18">
        <f t="shared" si="1"/>
        <v>40.090000000000003</v>
      </c>
      <c r="O22" s="8"/>
    </row>
    <row r="23" spans="1:15">
      <c r="A23" s="1" t="s">
        <v>13</v>
      </c>
      <c r="B23" s="11" t="s">
        <v>138</v>
      </c>
      <c r="C23" s="11">
        <v>0</v>
      </c>
      <c r="D23" s="11">
        <v>0</v>
      </c>
      <c r="E23" s="11">
        <v>0</v>
      </c>
      <c r="F23" s="83">
        <f>Table21623[[#This Row],[Usage]]</f>
        <v>0</v>
      </c>
      <c r="G23" s="17">
        <f t="shared" si="2"/>
        <v>11.79</v>
      </c>
      <c r="H23" s="17">
        <f t="shared" si="3"/>
        <v>0</v>
      </c>
      <c r="I23" s="17">
        <f t="shared" si="4"/>
        <v>0</v>
      </c>
      <c r="J23" s="18">
        <f t="shared" si="5"/>
        <v>0</v>
      </c>
      <c r="K23" s="18">
        <f t="shared" si="6"/>
        <v>0</v>
      </c>
      <c r="L23" s="18">
        <f t="shared" si="0"/>
        <v>11.79</v>
      </c>
      <c r="M23" s="18">
        <f t="shared" si="7"/>
        <v>0</v>
      </c>
      <c r="N23" s="18">
        <f t="shared" si="1"/>
        <v>11.79</v>
      </c>
      <c r="O23" s="8"/>
    </row>
    <row r="24" spans="1:15">
      <c r="A24" s="1" t="s">
        <v>14</v>
      </c>
      <c r="B24" s="11"/>
      <c r="C24" s="11">
        <v>6412000</v>
      </c>
      <c r="D24" s="11">
        <v>6412000</v>
      </c>
      <c r="E24" s="11">
        <v>0</v>
      </c>
      <c r="F24" s="83">
        <f>Table21623[[#This Row],[Usage]]</f>
        <v>5000</v>
      </c>
      <c r="G24" s="17">
        <f t="shared" si="2"/>
        <v>40.090000000000003</v>
      </c>
      <c r="H24" s="17">
        <f t="shared" si="3"/>
        <v>0</v>
      </c>
      <c r="I24" s="17">
        <f t="shared" si="4"/>
        <v>0</v>
      </c>
      <c r="J24" s="18">
        <f t="shared" si="5"/>
        <v>0</v>
      </c>
      <c r="K24" s="18">
        <f t="shared" si="6"/>
        <v>0</v>
      </c>
      <c r="L24" s="18">
        <f t="shared" si="0"/>
        <v>40.090000000000003</v>
      </c>
      <c r="M24" s="18">
        <f t="shared" si="7"/>
        <v>0</v>
      </c>
      <c r="N24" s="18">
        <f t="shared" si="1"/>
        <v>40.090000000000003</v>
      </c>
      <c r="O24" s="8"/>
    </row>
    <row r="25" spans="1:15">
      <c r="A25" s="1" t="s">
        <v>15</v>
      </c>
      <c r="B25" s="11"/>
      <c r="C25" s="11">
        <v>2666000</v>
      </c>
      <c r="D25" s="11">
        <v>2666000</v>
      </c>
      <c r="E25" s="11">
        <v>0</v>
      </c>
      <c r="F25" s="83">
        <f>Table21623[[#This Row],[Usage]]</f>
        <v>3000</v>
      </c>
      <c r="G25" s="17">
        <f t="shared" si="2"/>
        <v>40.090000000000003</v>
      </c>
      <c r="H25" s="17">
        <f t="shared" si="3"/>
        <v>0</v>
      </c>
      <c r="I25" s="17">
        <f t="shared" si="4"/>
        <v>0</v>
      </c>
      <c r="J25" s="18">
        <f t="shared" si="5"/>
        <v>0</v>
      </c>
      <c r="K25" s="18">
        <f>IF((($F25-40000)&gt;=0),($F25-40000)/1000*3.42,0)</f>
        <v>0</v>
      </c>
      <c r="L25" s="18">
        <f t="shared" si="0"/>
        <v>40.090000000000003</v>
      </c>
      <c r="M25" s="18">
        <f t="shared" si="7"/>
        <v>0</v>
      </c>
      <c r="N25" s="18">
        <f t="shared" si="1"/>
        <v>40.090000000000003</v>
      </c>
      <c r="O25" s="8"/>
    </row>
    <row r="26" spans="1:15">
      <c r="A26" s="1" t="s">
        <v>16</v>
      </c>
      <c r="B26" s="11"/>
      <c r="C26" s="11">
        <v>1585000</v>
      </c>
      <c r="D26" s="11">
        <v>1585000</v>
      </c>
      <c r="E26" s="11">
        <v>0</v>
      </c>
      <c r="F26" s="83">
        <f>Table21623[[#This Row],[Usage]]</f>
        <v>3000</v>
      </c>
      <c r="G26" s="17">
        <f t="shared" si="2"/>
        <v>40.090000000000003</v>
      </c>
      <c r="H26" s="17">
        <f t="shared" si="3"/>
        <v>0</v>
      </c>
      <c r="I26" s="17">
        <f t="shared" si="4"/>
        <v>0</v>
      </c>
      <c r="J26" s="18">
        <f t="shared" si="5"/>
        <v>0</v>
      </c>
      <c r="K26" s="18">
        <f t="shared" si="6"/>
        <v>0</v>
      </c>
      <c r="L26" s="18">
        <f t="shared" si="0"/>
        <v>40.090000000000003</v>
      </c>
      <c r="M26" s="18">
        <f t="shared" si="7"/>
        <v>0</v>
      </c>
      <c r="N26" s="18">
        <f t="shared" si="1"/>
        <v>40.090000000000003</v>
      </c>
      <c r="O26" s="8"/>
    </row>
    <row r="27" spans="1:15">
      <c r="A27" s="1" t="s">
        <v>17</v>
      </c>
      <c r="B27" s="11"/>
      <c r="C27" s="11">
        <v>1176000</v>
      </c>
      <c r="D27" s="11">
        <v>1176000</v>
      </c>
      <c r="E27" s="11">
        <v>0</v>
      </c>
      <c r="F27" s="83">
        <f>Table21623[[#This Row],[Usage]]</f>
        <v>6000</v>
      </c>
      <c r="G27" s="17">
        <f t="shared" si="2"/>
        <v>40.090000000000003</v>
      </c>
      <c r="H27" s="17">
        <f t="shared" si="3"/>
        <v>0</v>
      </c>
      <c r="I27" s="17">
        <f t="shared" si="4"/>
        <v>0</v>
      </c>
      <c r="J27" s="18">
        <f t="shared" si="5"/>
        <v>0</v>
      </c>
      <c r="K27" s="18">
        <f t="shared" si="6"/>
        <v>0</v>
      </c>
      <c r="L27" s="18">
        <f t="shared" si="0"/>
        <v>40.090000000000003</v>
      </c>
      <c r="M27" s="18">
        <f t="shared" si="7"/>
        <v>0</v>
      </c>
      <c r="N27" s="18">
        <f t="shared" si="1"/>
        <v>40.090000000000003</v>
      </c>
      <c r="O27" s="8"/>
    </row>
    <row r="28" spans="1:15">
      <c r="A28" s="1" t="s">
        <v>18</v>
      </c>
      <c r="B28" s="11"/>
      <c r="C28" s="11">
        <v>4038000</v>
      </c>
      <c r="D28" s="11">
        <v>4038000</v>
      </c>
      <c r="E28" s="11">
        <v>0</v>
      </c>
      <c r="F28" s="83">
        <f>Table21623[[#This Row],[Usage]]</f>
        <v>7000</v>
      </c>
      <c r="G28" s="17">
        <f t="shared" si="2"/>
        <v>40.090000000000003</v>
      </c>
      <c r="H28" s="17">
        <f t="shared" si="3"/>
        <v>0</v>
      </c>
      <c r="I28" s="17">
        <f t="shared" si="4"/>
        <v>0</v>
      </c>
      <c r="J28" s="18">
        <f t="shared" si="5"/>
        <v>0</v>
      </c>
      <c r="K28" s="18">
        <f t="shared" si="6"/>
        <v>0</v>
      </c>
      <c r="L28" s="18">
        <f t="shared" si="0"/>
        <v>40.090000000000003</v>
      </c>
      <c r="M28" s="18">
        <f t="shared" si="7"/>
        <v>0</v>
      </c>
      <c r="N28" s="18">
        <f t="shared" si="1"/>
        <v>40.090000000000003</v>
      </c>
      <c r="O28" s="8"/>
    </row>
    <row r="29" spans="1:15">
      <c r="A29" s="1" t="s">
        <v>19</v>
      </c>
      <c r="B29" s="11"/>
      <c r="C29" s="11">
        <v>1169000</v>
      </c>
      <c r="D29" s="11">
        <v>1169000</v>
      </c>
      <c r="E29" s="11">
        <v>0</v>
      </c>
      <c r="F29" s="83">
        <f>Table21623[[#This Row],[Usage]]</f>
        <v>5000</v>
      </c>
      <c r="G29" s="17">
        <f t="shared" si="2"/>
        <v>40.090000000000003</v>
      </c>
      <c r="H29" s="17">
        <f t="shared" si="3"/>
        <v>0</v>
      </c>
      <c r="I29" s="17">
        <f t="shared" si="4"/>
        <v>0</v>
      </c>
      <c r="J29" s="18">
        <f t="shared" si="5"/>
        <v>0</v>
      </c>
      <c r="K29" s="18">
        <f t="shared" si="6"/>
        <v>0</v>
      </c>
      <c r="L29" s="18">
        <f t="shared" si="0"/>
        <v>40.090000000000003</v>
      </c>
      <c r="M29" s="18">
        <f t="shared" si="7"/>
        <v>0</v>
      </c>
      <c r="N29" s="18">
        <f t="shared" si="1"/>
        <v>40.090000000000003</v>
      </c>
      <c r="O29" s="8"/>
    </row>
    <row r="30" spans="1:15">
      <c r="A30" s="1" t="s">
        <v>20</v>
      </c>
      <c r="B30" s="11"/>
      <c r="C30" s="11">
        <v>2219000</v>
      </c>
      <c r="D30" s="11">
        <v>2219000</v>
      </c>
      <c r="E30" s="11">
        <v>0</v>
      </c>
      <c r="F30" s="83">
        <f>Table21623[[#This Row],[Usage]]</f>
        <v>3000</v>
      </c>
      <c r="G30" s="17">
        <f t="shared" si="2"/>
        <v>40.090000000000003</v>
      </c>
      <c r="H30" s="17">
        <f t="shared" si="3"/>
        <v>0</v>
      </c>
      <c r="I30" s="17">
        <f t="shared" si="4"/>
        <v>0</v>
      </c>
      <c r="J30" s="18">
        <f t="shared" si="5"/>
        <v>0</v>
      </c>
      <c r="K30" s="18">
        <f t="shared" si="6"/>
        <v>0</v>
      </c>
      <c r="L30" s="18">
        <f t="shared" si="0"/>
        <v>40.090000000000003</v>
      </c>
      <c r="M30" s="18">
        <f t="shared" si="7"/>
        <v>0</v>
      </c>
      <c r="N30" s="18">
        <f t="shared" si="1"/>
        <v>40.090000000000003</v>
      </c>
      <c r="O30" s="8"/>
    </row>
    <row r="31" spans="1:15">
      <c r="A31" s="1" t="s">
        <v>21</v>
      </c>
      <c r="B31" s="11" t="s">
        <v>138</v>
      </c>
      <c r="C31" s="11">
        <v>0</v>
      </c>
      <c r="D31" s="11">
        <v>0</v>
      </c>
      <c r="E31" s="11">
        <v>0</v>
      </c>
      <c r="F31" s="83">
        <f>Table21623[[#This Row],[Usage]]</f>
        <v>0</v>
      </c>
      <c r="G31" s="17">
        <f t="shared" si="2"/>
        <v>11.79</v>
      </c>
      <c r="H31" s="17">
        <f t="shared" si="3"/>
        <v>0</v>
      </c>
      <c r="I31" s="17">
        <f t="shared" si="4"/>
        <v>0</v>
      </c>
      <c r="J31" s="18">
        <f t="shared" si="5"/>
        <v>0</v>
      </c>
      <c r="K31" s="18">
        <f t="shared" si="6"/>
        <v>0</v>
      </c>
      <c r="L31" s="18">
        <f t="shared" si="0"/>
        <v>11.79</v>
      </c>
      <c r="M31" s="18">
        <f t="shared" si="7"/>
        <v>0</v>
      </c>
      <c r="N31" s="18">
        <f t="shared" si="1"/>
        <v>11.79</v>
      </c>
      <c r="O31" s="8"/>
    </row>
    <row r="32" spans="1:15">
      <c r="A32" s="1" t="s">
        <v>22</v>
      </c>
      <c r="B32" s="11"/>
      <c r="C32" s="11">
        <v>635000</v>
      </c>
      <c r="D32" s="11">
        <v>635000</v>
      </c>
      <c r="E32" s="11">
        <v>0</v>
      </c>
      <c r="F32" s="83">
        <f>Table21623[[#This Row],[Usage]]</f>
        <v>11000</v>
      </c>
      <c r="G32" s="17">
        <f t="shared" si="2"/>
        <v>40.090000000000003</v>
      </c>
      <c r="H32" s="17">
        <f t="shared" si="3"/>
        <v>2.1800000000000002</v>
      </c>
      <c r="I32" s="17">
        <f t="shared" si="4"/>
        <v>0</v>
      </c>
      <c r="J32" s="18">
        <f t="shared" si="5"/>
        <v>0</v>
      </c>
      <c r="K32" s="18">
        <f t="shared" si="6"/>
        <v>0</v>
      </c>
      <c r="L32" s="18">
        <f t="shared" si="0"/>
        <v>42.27</v>
      </c>
      <c r="M32" s="18">
        <f t="shared" si="7"/>
        <v>0</v>
      </c>
      <c r="N32" s="18">
        <f t="shared" si="1"/>
        <v>42.27</v>
      </c>
      <c r="O32" s="8"/>
    </row>
    <row r="33" spans="1:15">
      <c r="A33" s="1" t="s">
        <v>23</v>
      </c>
      <c r="B33" s="11" t="s">
        <v>138</v>
      </c>
      <c r="C33" s="11">
        <v>0</v>
      </c>
      <c r="D33" s="11">
        <v>0</v>
      </c>
      <c r="E33" s="11">
        <v>0</v>
      </c>
      <c r="F33" s="83">
        <f>Table21623[[#This Row],[Usage]]</f>
        <v>0</v>
      </c>
      <c r="G33" s="17">
        <f t="shared" si="2"/>
        <v>11.79</v>
      </c>
      <c r="H33" s="17">
        <f t="shared" si="3"/>
        <v>0</v>
      </c>
      <c r="I33" s="17">
        <f t="shared" si="4"/>
        <v>0</v>
      </c>
      <c r="J33" s="18">
        <f t="shared" si="5"/>
        <v>0</v>
      </c>
      <c r="K33" s="18">
        <f t="shared" si="6"/>
        <v>0</v>
      </c>
      <c r="L33" s="18">
        <f t="shared" si="0"/>
        <v>11.79</v>
      </c>
      <c r="M33" s="18">
        <f t="shared" si="7"/>
        <v>0</v>
      </c>
      <c r="N33" s="18">
        <f t="shared" si="1"/>
        <v>11.79</v>
      </c>
      <c r="O33" s="8"/>
    </row>
    <row r="34" spans="1:15">
      <c r="A34" s="1" t="s">
        <v>24</v>
      </c>
      <c r="B34" s="11" t="s">
        <v>138</v>
      </c>
      <c r="C34" s="11">
        <v>0</v>
      </c>
      <c r="D34" s="11">
        <v>0</v>
      </c>
      <c r="E34" s="11">
        <v>0</v>
      </c>
      <c r="F34" s="83">
        <f>Table21623[[#This Row],[Usage]]</f>
        <v>0</v>
      </c>
      <c r="G34" s="17">
        <f t="shared" si="2"/>
        <v>11.79</v>
      </c>
      <c r="H34" s="17">
        <f t="shared" si="3"/>
        <v>0</v>
      </c>
      <c r="I34" s="17">
        <f t="shared" si="4"/>
        <v>0</v>
      </c>
      <c r="J34" s="18">
        <f t="shared" si="5"/>
        <v>0</v>
      </c>
      <c r="K34" s="18">
        <f t="shared" si="6"/>
        <v>0</v>
      </c>
      <c r="L34" s="18">
        <f t="shared" si="0"/>
        <v>11.79</v>
      </c>
      <c r="M34" s="18">
        <f t="shared" si="7"/>
        <v>0</v>
      </c>
      <c r="N34" s="18">
        <f t="shared" si="1"/>
        <v>11.79</v>
      </c>
      <c r="O34" s="8"/>
    </row>
    <row r="35" spans="1:15">
      <c r="A35" s="1" t="s">
        <v>25</v>
      </c>
      <c r="B35" s="11"/>
      <c r="C35" s="11">
        <v>2401000</v>
      </c>
      <c r="D35" s="11">
        <v>2401000</v>
      </c>
      <c r="E35" s="11">
        <v>0</v>
      </c>
      <c r="F35" s="83">
        <f>Table21623[[#This Row],[Usage]]</f>
        <v>15000</v>
      </c>
      <c r="G35" s="17">
        <f t="shared" si="2"/>
        <v>40.090000000000003</v>
      </c>
      <c r="H35" s="17">
        <f t="shared" si="3"/>
        <v>10.9</v>
      </c>
      <c r="I35" s="17">
        <f t="shared" si="4"/>
        <v>0</v>
      </c>
      <c r="J35" s="18">
        <f t="shared" si="5"/>
        <v>0</v>
      </c>
      <c r="K35" s="18">
        <f t="shared" si="6"/>
        <v>0</v>
      </c>
      <c r="L35" s="18">
        <f t="shared" si="0"/>
        <v>50.99</v>
      </c>
      <c r="M35" s="18">
        <f t="shared" si="7"/>
        <v>0</v>
      </c>
      <c r="N35" s="18">
        <f t="shared" si="1"/>
        <v>50.99</v>
      </c>
      <c r="O35" s="8"/>
    </row>
    <row r="36" spans="1:15">
      <c r="A36" s="1" t="s">
        <v>26</v>
      </c>
      <c r="B36" s="11"/>
      <c r="C36" s="11">
        <v>371000</v>
      </c>
      <c r="D36" s="11">
        <v>371000</v>
      </c>
      <c r="E36" s="11">
        <v>0</v>
      </c>
      <c r="F36" s="83">
        <f>Table21623[[#This Row],[Usage]]</f>
        <v>7000</v>
      </c>
      <c r="G36" s="17">
        <f t="shared" si="2"/>
        <v>40.090000000000003</v>
      </c>
      <c r="H36" s="17">
        <f t="shared" si="3"/>
        <v>0</v>
      </c>
      <c r="I36" s="17">
        <f t="shared" si="4"/>
        <v>0</v>
      </c>
      <c r="J36" s="18">
        <f t="shared" si="5"/>
        <v>0</v>
      </c>
      <c r="K36" s="18">
        <f t="shared" si="6"/>
        <v>0</v>
      </c>
      <c r="L36" s="18">
        <f t="shared" si="0"/>
        <v>40.090000000000003</v>
      </c>
      <c r="M36" s="18">
        <f t="shared" si="7"/>
        <v>0</v>
      </c>
      <c r="N36" s="18">
        <f t="shared" si="1"/>
        <v>40.090000000000003</v>
      </c>
      <c r="O36" s="8"/>
    </row>
    <row r="37" spans="1:15">
      <c r="A37" s="1" t="s">
        <v>27</v>
      </c>
      <c r="B37" s="11"/>
      <c r="C37" s="11">
        <v>2135000</v>
      </c>
      <c r="D37" s="11">
        <v>2135000</v>
      </c>
      <c r="E37" s="11">
        <v>0</v>
      </c>
      <c r="F37" s="83">
        <f>Table21623[[#This Row],[Usage]]</f>
        <v>5000</v>
      </c>
      <c r="G37" s="17">
        <f t="shared" si="2"/>
        <v>40.090000000000003</v>
      </c>
      <c r="H37" s="17">
        <f t="shared" si="3"/>
        <v>0</v>
      </c>
      <c r="I37" s="17">
        <f t="shared" si="4"/>
        <v>0</v>
      </c>
      <c r="J37" s="18">
        <f t="shared" si="5"/>
        <v>0</v>
      </c>
      <c r="K37" s="18">
        <f t="shared" si="6"/>
        <v>0</v>
      </c>
      <c r="L37" s="18">
        <f t="shared" si="0"/>
        <v>40.090000000000003</v>
      </c>
      <c r="M37" s="18">
        <f t="shared" si="7"/>
        <v>0</v>
      </c>
      <c r="N37" s="18">
        <f t="shared" si="1"/>
        <v>40.090000000000003</v>
      </c>
      <c r="O37" s="8"/>
    </row>
    <row r="38" spans="1:15">
      <c r="A38" s="1" t="s">
        <v>28</v>
      </c>
      <c r="B38" s="11"/>
      <c r="C38" s="11">
        <v>1354000</v>
      </c>
      <c r="D38" s="11">
        <v>1354000</v>
      </c>
      <c r="E38" s="11">
        <v>0</v>
      </c>
      <c r="F38" s="83">
        <f>Table21623[[#This Row],[Usage]]</f>
        <v>8000</v>
      </c>
      <c r="G38" s="17">
        <f t="shared" si="2"/>
        <v>40.090000000000003</v>
      </c>
      <c r="H38" s="17">
        <f t="shared" si="3"/>
        <v>0</v>
      </c>
      <c r="I38" s="17">
        <f t="shared" si="4"/>
        <v>0</v>
      </c>
      <c r="J38" s="18">
        <f t="shared" si="5"/>
        <v>0</v>
      </c>
      <c r="K38" s="18">
        <f t="shared" si="6"/>
        <v>0</v>
      </c>
      <c r="L38" s="18">
        <f t="shared" si="0"/>
        <v>40.090000000000003</v>
      </c>
      <c r="M38" s="18">
        <f t="shared" si="7"/>
        <v>0</v>
      </c>
      <c r="N38" s="18">
        <f t="shared" si="1"/>
        <v>40.090000000000003</v>
      </c>
      <c r="O38" s="8"/>
    </row>
    <row r="39" spans="1:15">
      <c r="A39" s="1" t="s">
        <v>29</v>
      </c>
      <c r="B39" s="11" t="s">
        <v>138</v>
      </c>
      <c r="C39" s="11">
        <v>0</v>
      </c>
      <c r="D39" s="11">
        <v>0</v>
      </c>
      <c r="E39" s="11">
        <v>0</v>
      </c>
      <c r="F39" s="83">
        <f>Table21623[[#This Row],[Usage]]</f>
        <v>0</v>
      </c>
      <c r="G39" s="17">
        <f t="shared" si="2"/>
        <v>11.79</v>
      </c>
      <c r="H39" s="17">
        <f t="shared" si="3"/>
        <v>0</v>
      </c>
      <c r="I39" s="17">
        <f t="shared" si="4"/>
        <v>0</v>
      </c>
      <c r="J39" s="18">
        <f t="shared" si="5"/>
        <v>0</v>
      </c>
      <c r="K39" s="18">
        <f t="shared" si="6"/>
        <v>0</v>
      </c>
      <c r="L39" s="18">
        <f t="shared" si="0"/>
        <v>11.79</v>
      </c>
      <c r="M39" s="18">
        <f t="shared" si="7"/>
        <v>0</v>
      </c>
      <c r="N39" s="18">
        <f t="shared" si="1"/>
        <v>11.79</v>
      </c>
      <c r="O39" s="8"/>
    </row>
    <row r="40" spans="1:15">
      <c r="A40" s="1" t="s">
        <v>30</v>
      </c>
      <c r="B40" s="11" t="s">
        <v>138</v>
      </c>
      <c r="C40" s="11">
        <v>0</v>
      </c>
      <c r="D40" s="11">
        <v>0</v>
      </c>
      <c r="E40" s="11">
        <v>0</v>
      </c>
      <c r="F40" s="83">
        <f>Table21623[[#This Row],[Usage]]</f>
        <v>0</v>
      </c>
      <c r="G40" s="17">
        <f t="shared" si="2"/>
        <v>11.79</v>
      </c>
      <c r="H40" s="17">
        <f t="shared" si="3"/>
        <v>0</v>
      </c>
      <c r="I40" s="17">
        <f t="shared" si="4"/>
        <v>0</v>
      </c>
      <c r="J40" s="18">
        <f t="shared" si="5"/>
        <v>0</v>
      </c>
      <c r="K40" s="18">
        <f t="shared" si="6"/>
        <v>0</v>
      </c>
      <c r="L40" s="18">
        <f t="shared" si="0"/>
        <v>11.79</v>
      </c>
      <c r="M40" s="18">
        <f t="shared" si="7"/>
        <v>0</v>
      </c>
      <c r="N40" s="18">
        <f t="shared" si="1"/>
        <v>11.79</v>
      </c>
      <c r="O40" s="8"/>
    </row>
    <row r="41" spans="1:15">
      <c r="A41" s="1" t="s">
        <v>31</v>
      </c>
      <c r="B41" s="11"/>
      <c r="C41" s="11">
        <v>519000</v>
      </c>
      <c r="D41" s="11">
        <v>519000</v>
      </c>
      <c r="E41" s="11">
        <v>0</v>
      </c>
      <c r="F41" s="83">
        <f>Table21623[[#This Row],[Usage]]</f>
        <v>4000</v>
      </c>
      <c r="G41" s="17">
        <f t="shared" si="2"/>
        <v>40.090000000000003</v>
      </c>
      <c r="H41" s="17">
        <f t="shared" si="3"/>
        <v>0</v>
      </c>
      <c r="I41" s="17">
        <f t="shared" si="4"/>
        <v>0</v>
      </c>
      <c r="J41" s="18">
        <f t="shared" si="5"/>
        <v>0</v>
      </c>
      <c r="K41" s="18">
        <f t="shared" si="6"/>
        <v>0</v>
      </c>
      <c r="L41" s="18">
        <f t="shared" si="0"/>
        <v>40.090000000000003</v>
      </c>
      <c r="M41" s="18">
        <f t="shared" si="7"/>
        <v>0</v>
      </c>
      <c r="N41" s="18">
        <f t="shared" si="1"/>
        <v>40.090000000000003</v>
      </c>
      <c r="O41" s="8"/>
    </row>
    <row r="42" spans="1:15">
      <c r="A42" s="1" t="s">
        <v>32</v>
      </c>
      <c r="B42" s="11"/>
      <c r="C42" s="11">
        <v>3880000</v>
      </c>
      <c r="D42" s="11">
        <v>3880000</v>
      </c>
      <c r="E42" s="11">
        <v>0</v>
      </c>
      <c r="F42" s="83">
        <f>Table21623[[#This Row],[Usage]]</f>
        <v>4000</v>
      </c>
      <c r="G42" s="17">
        <f t="shared" si="2"/>
        <v>40.090000000000003</v>
      </c>
      <c r="H42" s="17">
        <f t="shared" si="3"/>
        <v>0</v>
      </c>
      <c r="I42" s="17">
        <f t="shared" si="4"/>
        <v>0</v>
      </c>
      <c r="J42" s="18">
        <f t="shared" si="5"/>
        <v>0</v>
      </c>
      <c r="K42" s="18">
        <f t="shared" si="6"/>
        <v>0</v>
      </c>
      <c r="L42" s="18">
        <f t="shared" si="0"/>
        <v>40.090000000000003</v>
      </c>
      <c r="M42" s="18">
        <f t="shared" si="7"/>
        <v>0</v>
      </c>
      <c r="N42" s="18">
        <f t="shared" si="1"/>
        <v>40.090000000000003</v>
      </c>
      <c r="O42" s="8"/>
    </row>
    <row r="43" spans="1:15">
      <c r="A43" s="1" t="s">
        <v>33</v>
      </c>
      <c r="B43" s="11"/>
      <c r="C43" s="11">
        <v>1187000</v>
      </c>
      <c r="D43" s="11">
        <v>1187000</v>
      </c>
      <c r="E43" s="11">
        <v>0</v>
      </c>
      <c r="F43" s="83">
        <f>Table21623[[#This Row],[Usage]]</f>
        <v>4000</v>
      </c>
      <c r="G43" s="17">
        <f t="shared" si="2"/>
        <v>40.090000000000003</v>
      </c>
      <c r="H43" s="17">
        <f t="shared" si="3"/>
        <v>0</v>
      </c>
      <c r="I43" s="17">
        <f t="shared" si="4"/>
        <v>0</v>
      </c>
      <c r="J43" s="18">
        <f t="shared" si="5"/>
        <v>0</v>
      </c>
      <c r="K43" s="18">
        <f t="shared" si="6"/>
        <v>0</v>
      </c>
      <c r="L43" s="18">
        <f t="shared" si="0"/>
        <v>40.090000000000003</v>
      </c>
      <c r="M43" s="18">
        <f t="shared" si="7"/>
        <v>0</v>
      </c>
      <c r="N43" s="18">
        <f t="shared" si="1"/>
        <v>40.090000000000003</v>
      </c>
      <c r="O43" s="8"/>
    </row>
    <row r="44" spans="1:15">
      <c r="A44" s="1" t="s">
        <v>34</v>
      </c>
      <c r="B44" s="11"/>
      <c r="C44" s="11">
        <v>224000</v>
      </c>
      <c r="D44" s="11">
        <v>224000</v>
      </c>
      <c r="E44" s="11">
        <v>0</v>
      </c>
      <c r="F44" s="83">
        <f>Table21623[[#This Row],[Usage]]</f>
        <v>11000</v>
      </c>
      <c r="G44" s="17">
        <f t="shared" si="2"/>
        <v>40.090000000000003</v>
      </c>
      <c r="H44" s="17">
        <f t="shared" si="3"/>
        <v>2.1800000000000002</v>
      </c>
      <c r="I44" s="17">
        <f t="shared" si="4"/>
        <v>0</v>
      </c>
      <c r="J44" s="18">
        <f t="shared" si="5"/>
        <v>0</v>
      </c>
      <c r="K44" s="18">
        <f t="shared" si="6"/>
        <v>0</v>
      </c>
      <c r="L44" s="18">
        <f t="shared" si="0"/>
        <v>42.27</v>
      </c>
      <c r="M44" s="18">
        <f t="shared" si="7"/>
        <v>0</v>
      </c>
      <c r="N44" s="18">
        <f t="shared" si="1"/>
        <v>42.27</v>
      </c>
      <c r="O44" s="8" t="s">
        <v>178</v>
      </c>
    </row>
    <row r="45" spans="1:15">
      <c r="A45" s="1" t="s">
        <v>35</v>
      </c>
      <c r="B45" s="11"/>
      <c r="C45" s="11">
        <v>1534000</v>
      </c>
      <c r="D45" s="11">
        <v>1534000</v>
      </c>
      <c r="E45" s="11">
        <v>0</v>
      </c>
      <c r="F45" s="83">
        <f>Table21623[[#This Row],[Usage]]</f>
        <v>20000</v>
      </c>
      <c r="G45" s="17">
        <f t="shared" si="2"/>
        <v>40.090000000000003</v>
      </c>
      <c r="H45" s="17">
        <f t="shared" si="3"/>
        <v>21.8</v>
      </c>
      <c r="I45" s="17">
        <f t="shared" si="4"/>
        <v>0</v>
      </c>
      <c r="J45" s="18">
        <f t="shared" si="5"/>
        <v>0</v>
      </c>
      <c r="K45" s="18">
        <f t="shared" si="6"/>
        <v>0</v>
      </c>
      <c r="L45" s="18">
        <f t="shared" si="0"/>
        <v>61.89</v>
      </c>
      <c r="M45" s="18">
        <f t="shared" si="7"/>
        <v>0</v>
      </c>
      <c r="N45" s="18">
        <f t="shared" si="1"/>
        <v>61.89</v>
      </c>
      <c r="O45" s="8"/>
    </row>
    <row r="46" spans="1:15">
      <c r="A46" s="1" t="s">
        <v>36</v>
      </c>
      <c r="B46" s="11"/>
      <c r="C46" s="11">
        <v>1596000</v>
      </c>
      <c r="D46" s="11">
        <v>1596000</v>
      </c>
      <c r="E46" s="11">
        <v>0</v>
      </c>
      <c r="F46" s="83">
        <f>Table21623[[#This Row],[Usage]]</f>
        <v>3000</v>
      </c>
      <c r="G46" s="17">
        <f t="shared" si="2"/>
        <v>40.090000000000003</v>
      </c>
      <c r="H46" s="17">
        <f t="shared" si="3"/>
        <v>0</v>
      </c>
      <c r="I46" s="17">
        <f t="shared" si="4"/>
        <v>0</v>
      </c>
      <c r="J46" s="18">
        <f t="shared" si="5"/>
        <v>0</v>
      </c>
      <c r="K46" s="18">
        <f t="shared" si="6"/>
        <v>0</v>
      </c>
      <c r="L46" s="18">
        <f t="shared" si="0"/>
        <v>40.090000000000003</v>
      </c>
      <c r="M46" s="18">
        <f t="shared" si="7"/>
        <v>0</v>
      </c>
      <c r="N46" s="18">
        <f t="shared" si="1"/>
        <v>40.090000000000003</v>
      </c>
      <c r="O46" s="8"/>
    </row>
    <row r="47" spans="1:15">
      <c r="A47" s="1" t="s">
        <v>37</v>
      </c>
      <c r="B47" s="11"/>
      <c r="C47" s="11">
        <v>1896000</v>
      </c>
      <c r="D47" s="11">
        <v>1896000</v>
      </c>
      <c r="E47" s="11">
        <v>0</v>
      </c>
      <c r="F47" s="83">
        <f>Table21623[[#This Row],[Usage]]</f>
        <v>8000</v>
      </c>
      <c r="G47" s="17">
        <f t="shared" si="2"/>
        <v>40.090000000000003</v>
      </c>
      <c r="H47" s="17">
        <f t="shared" si="3"/>
        <v>0</v>
      </c>
      <c r="I47" s="17">
        <f t="shared" si="4"/>
        <v>0</v>
      </c>
      <c r="J47" s="18">
        <f t="shared" si="5"/>
        <v>0</v>
      </c>
      <c r="K47" s="18">
        <f t="shared" si="6"/>
        <v>0</v>
      </c>
      <c r="L47" s="18">
        <f t="shared" si="0"/>
        <v>40.090000000000003</v>
      </c>
      <c r="M47" s="18">
        <f t="shared" si="7"/>
        <v>0</v>
      </c>
      <c r="N47" s="18">
        <f t="shared" si="1"/>
        <v>40.090000000000003</v>
      </c>
      <c r="O47" s="8"/>
    </row>
    <row r="48" spans="1:15">
      <c r="A48" s="1" t="s">
        <v>38</v>
      </c>
      <c r="B48" s="11"/>
      <c r="C48" s="11">
        <v>1703000</v>
      </c>
      <c r="D48" s="11">
        <v>1703000</v>
      </c>
      <c r="E48" s="11">
        <v>0</v>
      </c>
      <c r="F48" s="83">
        <f>Table21623[[#This Row],[Usage]]</f>
        <v>10000</v>
      </c>
      <c r="G48" s="17">
        <f t="shared" si="2"/>
        <v>40.090000000000003</v>
      </c>
      <c r="H48" s="17">
        <f t="shared" si="3"/>
        <v>0</v>
      </c>
      <c r="I48" s="17">
        <f t="shared" si="4"/>
        <v>0</v>
      </c>
      <c r="J48" s="18">
        <f t="shared" si="5"/>
        <v>0</v>
      </c>
      <c r="K48" s="18">
        <f t="shared" si="6"/>
        <v>0</v>
      </c>
      <c r="L48" s="18">
        <f t="shared" si="0"/>
        <v>40.090000000000003</v>
      </c>
      <c r="M48" s="18">
        <f t="shared" si="7"/>
        <v>0</v>
      </c>
      <c r="N48" s="18">
        <f t="shared" si="1"/>
        <v>40.090000000000003</v>
      </c>
      <c r="O48" s="8"/>
    </row>
    <row r="49" spans="1:15">
      <c r="A49" s="1" t="s">
        <v>39</v>
      </c>
      <c r="B49" s="11" t="s">
        <v>138</v>
      </c>
      <c r="C49" s="11">
        <v>0</v>
      </c>
      <c r="D49" s="11">
        <v>0</v>
      </c>
      <c r="E49" s="11">
        <v>0</v>
      </c>
      <c r="F49" s="83">
        <f>Table21623[[#This Row],[Usage]]</f>
        <v>0</v>
      </c>
      <c r="G49" s="17">
        <f t="shared" si="2"/>
        <v>11.79</v>
      </c>
      <c r="H49" s="17">
        <f t="shared" si="3"/>
        <v>0</v>
      </c>
      <c r="I49" s="17">
        <f t="shared" si="4"/>
        <v>0</v>
      </c>
      <c r="J49" s="18">
        <f t="shared" si="5"/>
        <v>0</v>
      </c>
      <c r="K49" s="18">
        <f t="shared" si="6"/>
        <v>0</v>
      </c>
      <c r="L49" s="18">
        <f t="shared" si="0"/>
        <v>11.79</v>
      </c>
      <c r="M49" s="18">
        <f t="shared" ref="M49:M80" si="8">IF(   $H$5=1,    IF((F49-$H$6)&gt;0,((F49-$H$6)/$N$7)*$E$8,0),   IF(F49&gt;0,(F49/$N$4)*$E$8,0)    )</f>
        <v>0</v>
      </c>
      <c r="N49" s="18">
        <f t="shared" si="1"/>
        <v>11.79</v>
      </c>
      <c r="O49" s="8"/>
    </row>
    <row r="50" spans="1:15">
      <c r="A50" s="1" t="s">
        <v>40</v>
      </c>
      <c r="B50" s="11" t="s">
        <v>138</v>
      </c>
      <c r="C50" s="11">
        <v>0</v>
      </c>
      <c r="D50" s="11">
        <v>0</v>
      </c>
      <c r="E50" s="11">
        <v>0</v>
      </c>
      <c r="F50" s="83">
        <f>Table21623[[#This Row],[Usage]]</f>
        <v>0</v>
      </c>
      <c r="G50" s="17">
        <f t="shared" si="2"/>
        <v>11.79</v>
      </c>
      <c r="H50" s="17">
        <f t="shared" si="3"/>
        <v>0</v>
      </c>
      <c r="I50" s="17">
        <f t="shared" si="4"/>
        <v>0</v>
      </c>
      <c r="J50" s="18">
        <f t="shared" si="5"/>
        <v>0</v>
      </c>
      <c r="K50" s="18">
        <f t="shared" si="6"/>
        <v>0</v>
      </c>
      <c r="L50" s="18">
        <f t="shared" si="0"/>
        <v>11.79</v>
      </c>
      <c r="M50" s="18">
        <f t="shared" si="8"/>
        <v>0</v>
      </c>
      <c r="N50" s="18">
        <f t="shared" si="1"/>
        <v>11.79</v>
      </c>
      <c r="O50" s="8"/>
    </row>
    <row r="51" spans="1:15">
      <c r="A51" s="1" t="s">
        <v>41</v>
      </c>
      <c r="B51" s="11" t="s">
        <v>138</v>
      </c>
      <c r="C51" s="11">
        <v>0</v>
      </c>
      <c r="D51" s="11">
        <v>0</v>
      </c>
      <c r="E51" s="11">
        <v>0</v>
      </c>
      <c r="F51" s="83">
        <f>Table21623[[#This Row],[Usage]]</f>
        <v>0</v>
      </c>
      <c r="G51" s="17">
        <f t="shared" si="2"/>
        <v>11.79</v>
      </c>
      <c r="H51" s="17">
        <f t="shared" si="3"/>
        <v>0</v>
      </c>
      <c r="I51" s="17">
        <f t="shared" si="4"/>
        <v>0</v>
      </c>
      <c r="J51" s="18">
        <f t="shared" si="5"/>
        <v>0</v>
      </c>
      <c r="K51" s="18">
        <f t="shared" si="6"/>
        <v>0</v>
      </c>
      <c r="L51" s="18">
        <f t="shared" si="0"/>
        <v>11.79</v>
      </c>
      <c r="M51" s="18">
        <f t="shared" si="8"/>
        <v>0</v>
      </c>
      <c r="N51" s="18">
        <f t="shared" si="1"/>
        <v>11.79</v>
      </c>
      <c r="O51" s="8"/>
    </row>
    <row r="52" spans="1:15">
      <c r="A52" s="1" t="s">
        <v>42</v>
      </c>
      <c r="B52" s="11"/>
      <c r="C52" s="11">
        <v>3071000</v>
      </c>
      <c r="D52" s="11">
        <v>3071000</v>
      </c>
      <c r="E52" s="11">
        <v>0</v>
      </c>
      <c r="F52" s="83">
        <f>Table21623[[#This Row],[Usage]]</f>
        <v>0</v>
      </c>
      <c r="G52" s="17">
        <f t="shared" si="2"/>
        <v>40.090000000000003</v>
      </c>
      <c r="H52" s="17">
        <f t="shared" si="3"/>
        <v>0</v>
      </c>
      <c r="I52" s="17">
        <f t="shared" si="4"/>
        <v>0</v>
      </c>
      <c r="J52" s="18">
        <f t="shared" si="5"/>
        <v>0</v>
      </c>
      <c r="K52" s="18">
        <f t="shared" si="6"/>
        <v>0</v>
      </c>
      <c r="L52" s="18">
        <f t="shared" si="0"/>
        <v>40.090000000000003</v>
      </c>
      <c r="M52" s="18">
        <f t="shared" si="8"/>
        <v>0</v>
      </c>
      <c r="N52" s="18">
        <f t="shared" si="1"/>
        <v>40.090000000000003</v>
      </c>
      <c r="O52" s="8"/>
    </row>
    <row r="53" spans="1:15">
      <c r="A53" s="1" t="s">
        <v>43</v>
      </c>
      <c r="B53" s="11"/>
      <c r="C53" s="11">
        <v>3255000</v>
      </c>
      <c r="D53" s="11">
        <v>3255000</v>
      </c>
      <c r="E53" s="11">
        <v>0</v>
      </c>
      <c r="F53" s="83">
        <f>Table21623[[#This Row],[Usage]]</f>
        <v>6000</v>
      </c>
      <c r="G53" s="17">
        <f t="shared" si="2"/>
        <v>40.090000000000003</v>
      </c>
      <c r="H53" s="17">
        <f t="shared" si="3"/>
        <v>0</v>
      </c>
      <c r="I53" s="17">
        <f t="shared" si="4"/>
        <v>0</v>
      </c>
      <c r="J53" s="18">
        <f t="shared" si="5"/>
        <v>0</v>
      </c>
      <c r="K53" s="18">
        <f t="shared" si="6"/>
        <v>0</v>
      </c>
      <c r="L53" s="18">
        <f t="shared" si="0"/>
        <v>40.090000000000003</v>
      </c>
      <c r="M53" s="18">
        <f t="shared" si="8"/>
        <v>0</v>
      </c>
      <c r="N53" s="18">
        <f t="shared" si="1"/>
        <v>40.090000000000003</v>
      </c>
      <c r="O53" s="8"/>
    </row>
    <row r="54" spans="1:15">
      <c r="A54" s="1" t="s">
        <v>44</v>
      </c>
      <c r="B54" s="11"/>
      <c r="C54" s="11">
        <v>4061000</v>
      </c>
      <c r="D54" s="11">
        <v>4061000</v>
      </c>
      <c r="E54" s="11">
        <v>0</v>
      </c>
      <c r="F54" s="83">
        <f>Table21623[[#This Row],[Usage]]</f>
        <v>6000</v>
      </c>
      <c r="G54" s="17">
        <f t="shared" si="2"/>
        <v>40.090000000000003</v>
      </c>
      <c r="H54" s="17">
        <f t="shared" si="3"/>
        <v>0</v>
      </c>
      <c r="I54" s="17">
        <f t="shared" si="4"/>
        <v>0</v>
      </c>
      <c r="J54" s="18">
        <f t="shared" si="5"/>
        <v>0</v>
      </c>
      <c r="K54" s="18">
        <f t="shared" si="6"/>
        <v>0</v>
      </c>
      <c r="L54" s="18">
        <f t="shared" si="0"/>
        <v>40.090000000000003</v>
      </c>
      <c r="M54" s="18">
        <f t="shared" si="8"/>
        <v>0</v>
      </c>
      <c r="N54" s="18">
        <f t="shared" si="1"/>
        <v>40.090000000000003</v>
      </c>
      <c r="O54" s="8"/>
    </row>
    <row r="55" spans="1:15">
      <c r="A55" s="1" t="s">
        <v>45</v>
      </c>
      <c r="B55" s="11" t="s">
        <v>138</v>
      </c>
      <c r="C55" s="11">
        <v>0</v>
      </c>
      <c r="D55" s="11">
        <v>0</v>
      </c>
      <c r="E55" s="11">
        <v>0</v>
      </c>
      <c r="F55" s="83">
        <f>Table21623[[#This Row],[Usage]]</f>
        <v>0</v>
      </c>
      <c r="G55" s="17">
        <f t="shared" si="2"/>
        <v>11.79</v>
      </c>
      <c r="H55" s="17">
        <f t="shared" si="3"/>
        <v>0</v>
      </c>
      <c r="I55" s="17">
        <f t="shared" si="4"/>
        <v>0</v>
      </c>
      <c r="J55" s="18">
        <f t="shared" si="5"/>
        <v>0</v>
      </c>
      <c r="K55" s="18">
        <f t="shared" si="6"/>
        <v>0</v>
      </c>
      <c r="L55" s="18">
        <f t="shared" si="0"/>
        <v>11.79</v>
      </c>
      <c r="M55" s="18">
        <f t="shared" si="8"/>
        <v>0</v>
      </c>
      <c r="N55" s="18">
        <f t="shared" si="1"/>
        <v>11.79</v>
      </c>
      <c r="O55" s="8"/>
    </row>
    <row r="56" spans="1:15">
      <c r="A56" s="1" t="s">
        <v>46</v>
      </c>
      <c r="B56" s="11" t="s">
        <v>138</v>
      </c>
      <c r="C56" s="11">
        <v>0</v>
      </c>
      <c r="D56" s="11">
        <v>0</v>
      </c>
      <c r="E56" s="11">
        <v>0</v>
      </c>
      <c r="F56" s="83">
        <f>Table21623[[#This Row],[Usage]]</f>
        <v>0</v>
      </c>
      <c r="G56" s="17">
        <f t="shared" si="2"/>
        <v>11.79</v>
      </c>
      <c r="H56" s="17">
        <f t="shared" si="3"/>
        <v>0</v>
      </c>
      <c r="I56" s="17">
        <f t="shared" si="4"/>
        <v>0</v>
      </c>
      <c r="J56" s="18">
        <f t="shared" si="5"/>
        <v>0</v>
      </c>
      <c r="K56" s="18">
        <f t="shared" si="6"/>
        <v>0</v>
      </c>
      <c r="L56" s="18">
        <f t="shared" si="0"/>
        <v>11.79</v>
      </c>
      <c r="M56" s="18">
        <f t="shared" si="8"/>
        <v>0</v>
      </c>
      <c r="N56" s="18">
        <f t="shared" si="1"/>
        <v>11.79</v>
      </c>
      <c r="O56" s="8"/>
    </row>
    <row r="57" spans="1:15">
      <c r="A57" s="1" t="s">
        <v>47</v>
      </c>
      <c r="B57" s="11" t="s">
        <v>138</v>
      </c>
      <c r="C57" s="11">
        <v>0</v>
      </c>
      <c r="D57" s="11">
        <v>0</v>
      </c>
      <c r="E57" s="11">
        <v>0</v>
      </c>
      <c r="F57" s="83">
        <f>Table21623[[#This Row],[Usage]]</f>
        <v>0</v>
      </c>
      <c r="G57" s="17">
        <f t="shared" si="2"/>
        <v>11.79</v>
      </c>
      <c r="H57" s="17">
        <f t="shared" si="3"/>
        <v>0</v>
      </c>
      <c r="I57" s="17">
        <f t="shared" si="4"/>
        <v>0</v>
      </c>
      <c r="J57" s="18">
        <f t="shared" si="5"/>
        <v>0</v>
      </c>
      <c r="K57" s="18">
        <f t="shared" si="6"/>
        <v>0</v>
      </c>
      <c r="L57" s="18">
        <f t="shared" si="0"/>
        <v>11.79</v>
      </c>
      <c r="M57" s="18">
        <f t="shared" si="8"/>
        <v>0</v>
      </c>
      <c r="N57" s="18">
        <f t="shared" si="1"/>
        <v>11.79</v>
      </c>
      <c r="O57" s="8"/>
    </row>
    <row r="58" spans="1:15">
      <c r="A58" s="1" t="s">
        <v>48</v>
      </c>
      <c r="B58" s="11"/>
      <c r="C58" s="11">
        <v>1123000</v>
      </c>
      <c r="D58" s="11">
        <v>1123000</v>
      </c>
      <c r="E58" s="11">
        <v>0</v>
      </c>
      <c r="F58" s="83">
        <f>Table21623[[#This Row],[Usage]]</f>
        <v>3000</v>
      </c>
      <c r="G58" s="17">
        <f t="shared" si="2"/>
        <v>40.090000000000003</v>
      </c>
      <c r="H58" s="17">
        <f t="shared" si="3"/>
        <v>0</v>
      </c>
      <c r="I58" s="17">
        <f t="shared" si="4"/>
        <v>0</v>
      </c>
      <c r="J58" s="18">
        <f t="shared" si="5"/>
        <v>0</v>
      </c>
      <c r="K58" s="18">
        <f t="shared" si="6"/>
        <v>0</v>
      </c>
      <c r="L58" s="18">
        <f t="shared" si="0"/>
        <v>40.090000000000003</v>
      </c>
      <c r="M58" s="18">
        <f t="shared" si="8"/>
        <v>0</v>
      </c>
      <c r="N58" s="18">
        <f t="shared" si="1"/>
        <v>40.090000000000003</v>
      </c>
      <c r="O58" s="8"/>
    </row>
    <row r="59" spans="1:15">
      <c r="A59" s="1" t="s">
        <v>49</v>
      </c>
      <c r="B59" s="11"/>
      <c r="C59" s="11">
        <v>903000</v>
      </c>
      <c r="D59" s="11">
        <v>903000</v>
      </c>
      <c r="E59" s="11">
        <v>0</v>
      </c>
      <c r="F59" s="83">
        <f>Table21623[[#This Row],[Usage]]</f>
        <v>9000</v>
      </c>
      <c r="G59" s="17">
        <f t="shared" si="2"/>
        <v>40.090000000000003</v>
      </c>
      <c r="H59" s="17">
        <f t="shared" si="3"/>
        <v>0</v>
      </c>
      <c r="I59" s="17">
        <f t="shared" si="4"/>
        <v>0</v>
      </c>
      <c r="J59" s="18">
        <f t="shared" si="5"/>
        <v>0</v>
      </c>
      <c r="K59" s="18">
        <f t="shared" si="6"/>
        <v>0</v>
      </c>
      <c r="L59" s="18">
        <f t="shared" si="0"/>
        <v>40.090000000000003</v>
      </c>
      <c r="M59" s="18">
        <f t="shared" si="8"/>
        <v>0</v>
      </c>
      <c r="N59" s="18">
        <f t="shared" si="1"/>
        <v>40.090000000000003</v>
      </c>
      <c r="O59" s="8"/>
    </row>
    <row r="60" spans="1:15">
      <c r="A60" s="1" t="s">
        <v>50</v>
      </c>
      <c r="B60" s="11"/>
      <c r="C60" s="11">
        <v>3492000</v>
      </c>
      <c r="D60" s="11">
        <v>3492000</v>
      </c>
      <c r="E60" s="11">
        <v>0</v>
      </c>
      <c r="F60" s="83">
        <f>Table21623[[#This Row],[Usage]]</f>
        <v>2000</v>
      </c>
      <c r="G60" s="17">
        <f t="shared" si="2"/>
        <v>40.090000000000003</v>
      </c>
      <c r="H60" s="17">
        <f t="shared" si="3"/>
        <v>0</v>
      </c>
      <c r="I60" s="17">
        <f t="shared" si="4"/>
        <v>0</v>
      </c>
      <c r="J60" s="18">
        <f t="shared" si="5"/>
        <v>0</v>
      </c>
      <c r="K60" s="18">
        <f t="shared" si="6"/>
        <v>0</v>
      </c>
      <c r="L60" s="18">
        <f t="shared" si="0"/>
        <v>40.090000000000003</v>
      </c>
      <c r="M60" s="18">
        <f t="shared" si="8"/>
        <v>0</v>
      </c>
      <c r="N60" s="18">
        <f t="shared" si="1"/>
        <v>40.090000000000003</v>
      </c>
      <c r="O60" s="8"/>
    </row>
    <row r="61" spans="1:15">
      <c r="A61" s="1" t="s">
        <v>51</v>
      </c>
      <c r="B61" s="11" t="s">
        <v>138</v>
      </c>
      <c r="C61" s="11">
        <v>0</v>
      </c>
      <c r="D61" s="11">
        <v>0</v>
      </c>
      <c r="E61" s="11">
        <v>0</v>
      </c>
      <c r="F61" s="83">
        <f>Table21623[[#This Row],[Usage]]</f>
        <v>0</v>
      </c>
      <c r="G61" s="17">
        <f t="shared" si="2"/>
        <v>11.79</v>
      </c>
      <c r="H61" s="17">
        <f t="shared" si="3"/>
        <v>0</v>
      </c>
      <c r="I61" s="17">
        <f t="shared" si="4"/>
        <v>0</v>
      </c>
      <c r="J61" s="18">
        <f t="shared" si="5"/>
        <v>0</v>
      </c>
      <c r="K61" s="18">
        <f t="shared" si="6"/>
        <v>0</v>
      </c>
      <c r="L61" s="18">
        <f t="shared" si="0"/>
        <v>11.79</v>
      </c>
      <c r="M61" s="18">
        <f t="shared" si="8"/>
        <v>0</v>
      </c>
      <c r="N61" s="18">
        <f t="shared" si="1"/>
        <v>11.79</v>
      </c>
      <c r="O61" s="8"/>
    </row>
    <row r="62" spans="1:15">
      <c r="A62" s="1" t="s">
        <v>52</v>
      </c>
      <c r="B62" s="11"/>
      <c r="C62" s="11">
        <v>1710000</v>
      </c>
      <c r="D62" s="11">
        <v>1710000</v>
      </c>
      <c r="E62" s="11">
        <v>0</v>
      </c>
      <c r="F62" s="83">
        <f>Table21623[[#This Row],[Usage]]</f>
        <v>3000</v>
      </c>
      <c r="G62" s="17">
        <f t="shared" si="2"/>
        <v>40.090000000000003</v>
      </c>
      <c r="H62" s="17">
        <f t="shared" si="3"/>
        <v>0</v>
      </c>
      <c r="I62" s="17">
        <f t="shared" si="4"/>
        <v>0</v>
      </c>
      <c r="J62" s="18">
        <f t="shared" si="5"/>
        <v>0</v>
      </c>
      <c r="K62" s="18">
        <f t="shared" si="6"/>
        <v>0</v>
      </c>
      <c r="L62" s="18">
        <f t="shared" si="0"/>
        <v>40.090000000000003</v>
      </c>
      <c r="M62" s="18">
        <f t="shared" si="8"/>
        <v>0</v>
      </c>
      <c r="N62" s="18">
        <f t="shared" si="1"/>
        <v>40.090000000000003</v>
      </c>
      <c r="O62" s="8"/>
    </row>
    <row r="63" spans="1:15">
      <c r="A63" s="1" t="s">
        <v>53</v>
      </c>
      <c r="B63" s="11"/>
      <c r="C63" s="11">
        <v>2330000</v>
      </c>
      <c r="D63" s="11">
        <v>2330000</v>
      </c>
      <c r="E63" s="11">
        <v>0</v>
      </c>
      <c r="F63" s="83">
        <f>Table21623[[#This Row],[Usage]]</f>
        <v>9000</v>
      </c>
      <c r="G63" s="17">
        <f t="shared" si="2"/>
        <v>40.090000000000003</v>
      </c>
      <c r="H63" s="17">
        <f t="shared" si="3"/>
        <v>0</v>
      </c>
      <c r="I63" s="17">
        <f t="shared" si="4"/>
        <v>0</v>
      </c>
      <c r="J63" s="18">
        <f t="shared" si="5"/>
        <v>0</v>
      </c>
      <c r="K63" s="18">
        <f t="shared" si="6"/>
        <v>0</v>
      </c>
      <c r="L63" s="18">
        <f t="shared" si="0"/>
        <v>40.090000000000003</v>
      </c>
      <c r="M63" s="18">
        <f t="shared" si="8"/>
        <v>0</v>
      </c>
      <c r="N63" s="18">
        <f t="shared" si="1"/>
        <v>40.090000000000003</v>
      </c>
      <c r="O63" s="8"/>
    </row>
    <row r="64" spans="1:15">
      <c r="A64" s="1" t="s">
        <v>54</v>
      </c>
      <c r="B64" s="11"/>
      <c r="C64" s="11">
        <v>3340000</v>
      </c>
      <c r="D64" s="11">
        <v>3340000</v>
      </c>
      <c r="E64" s="11">
        <v>0</v>
      </c>
      <c r="F64" s="83">
        <f>Table21623[[#This Row],[Usage]]</f>
        <v>5000</v>
      </c>
      <c r="G64" s="17">
        <f t="shared" si="2"/>
        <v>40.090000000000003</v>
      </c>
      <c r="H64" s="17">
        <f t="shared" si="3"/>
        <v>0</v>
      </c>
      <c r="I64" s="17">
        <f t="shared" si="4"/>
        <v>0</v>
      </c>
      <c r="J64" s="18">
        <f t="shared" si="5"/>
        <v>0</v>
      </c>
      <c r="K64" s="18">
        <f t="shared" si="6"/>
        <v>0</v>
      </c>
      <c r="L64" s="18">
        <f t="shared" si="0"/>
        <v>40.090000000000003</v>
      </c>
      <c r="M64" s="18">
        <f t="shared" si="8"/>
        <v>0</v>
      </c>
      <c r="N64" s="18">
        <f t="shared" si="1"/>
        <v>40.090000000000003</v>
      </c>
      <c r="O64" s="8"/>
    </row>
    <row r="65" spans="1:15">
      <c r="A65" s="1" t="s">
        <v>55</v>
      </c>
      <c r="B65" s="11" t="s">
        <v>138</v>
      </c>
      <c r="C65" s="11">
        <v>0</v>
      </c>
      <c r="D65" s="11">
        <v>0</v>
      </c>
      <c r="E65" s="11">
        <v>0</v>
      </c>
      <c r="F65" s="83">
        <f>Table21623[[#This Row],[Usage]]</f>
        <v>0</v>
      </c>
      <c r="G65" s="17">
        <f t="shared" si="2"/>
        <v>11.79</v>
      </c>
      <c r="H65" s="17">
        <f t="shared" si="3"/>
        <v>0</v>
      </c>
      <c r="I65" s="17">
        <f t="shared" si="4"/>
        <v>0</v>
      </c>
      <c r="J65" s="18">
        <f t="shared" si="5"/>
        <v>0</v>
      </c>
      <c r="K65" s="18">
        <f t="shared" si="6"/>
        <v>0</v>
      </c>
      <c r="L65" s="18">
        <f t="shared" si="0"/>
        <v>11.79</v>
      </c>
      <c r="M65" s="18">
        <f t="shared" si="8"/>
        <v>0</v>
      </c>
      <c r="N65" s="18">
        <f t="shared" si="1"/>
        <v>11.79</v>
      </c>
      <c r="O65" s="8"/>
    </row>
    <row r="66" spans="1:15">
      <c r="A66" s="1" t="s">
        <v>56</v>
      </c>
      <c r="B66" s="11"/>
      <c r="C66" s="11">
        <v>1518000</v>
      </c>
      <c r="D66" s="11">
        <v>1518000</v>
      </c>
      <c r="E66" s="11">
        <v>0</v>
      </c>
      <c r="F66" s="83">
        <f>Table21623[[#This Row],[Usage]]</f>
        <v>6000</v>
      </c>
      <c r="G66" s="17">
        <f t="shared" si="2"/>
        <v>40.090000000000003</v>
      </c>
      <c r="H66" s="17">
        <f t="shared" si="3"/>
        <v>0</v>
      </c>
      <c r="I66" s="17">
        <f t="shared" si="4"/>
        <v>0</v>
      </c>
      <c r="J66" s="18">
        <f t="shared" si="5"/>
        <v>0</v>
      </c>
      <c r="K66" s="18">
        <f t="shared" si="6"/>
        <v>0</v>
      </c>
      <c r="L66" s="18">
        <f t="shared" si="0"/>
        <v>40.090000000000003</v>
      </c>
      <c r="M66" s="18">
        <f t="shared" si="8"/>
        <v>0</v>
      </c>
      <c r="N66" s="18">
        <f t="shared" si="1"/>
        <v>40.090000000000003</v>
      </c>
      <c r="O66" s="8"/>
    </row>
    <row r="67" spans="1:15">
      <c r="A67" s="1" t="s">
        <v>57</v>
      </c>
      <c r="B67" s="11"/>
      <c r="C67" s="11">
        <v>1616000</v>
      </c>
      <c r="D67" s="11">
        <v>1616000</v>
      </c>
      <c r="E67" s="11">
        <v>0</v>
      </c>
      <c r="F67" s="83">
        <f>Table21623[[#This Row],[Usage]]</f>
        <v>1000</v>
      </c>
      <c r="G67" s="17">
        <f t="shared" si="2"/>
        <v>40.090000000000003</v>
      </c>
      <c r="H67" s="17">
        <f t="shared" si="3"/>
        <v>0</v>
      </c>
      <c r="I67" s="17">
        <f t="shared" si="4"/>
        <v>0</v>
      </c>
      <c r="J67" s="18">
        <f t="shared" si="5"/>
        <v>0</v>
      </c>
      <c r="K67" s="18">
        <f t="shared" si="6"/>
        <v>0</v>
      </c>
      <c r="L67" s="18">
        <f t="shared" si="0"/>
        <v>40.090000000000003</v>
      </c>
      <c r="M67" s="18">
        <f t="shared" si="8"/>
        <v>0</v>
      </c>
      <c r="N67" s="18">
        <f t="shared" si="1"/>
        <v>40.090000000000003</v>
      </c>
      <c r="O67" s="8"/>
    </row>
    <row r="68" spans="1:15">
      <c r="A68" s="1" t="s">
        <v>58</v>
      </c>
      <c r="B68" s="11" t="s">
        <v>138</v>
      </c>
      <c r="C68" s="11">
        <v>0</v>
      </c>
      <c r="D68" s="11">
        <v>0</v>
      </c>
      <c r="E68" s="11">
        <v>0</v>
      </c>
      <c r="F68" s="83">
        <f>Table21623[[#This Row],[Usage]]</f>
        <v>0</v>
      </c>
      <c r="G68" s="17">
        <f t="shared" si="2"/>
        <v>11.79</v>
      </c>
      <c r="H68" s="17">
        <f t="shared" si="3"/>
        <v>0</v>
      </c>
      <c r="I68" s="17">
        <f t="shared" si="4"/>
        <v>0</v>
      </c>
      <c r="J68" s="18">
        <f t="shared" si="5"/>
        <v>0</v>
      </c>
      <c r="K68" s="18">
        <f t="shared" si="6"/>
        <v>0</v>
      </c>
      <c r="L68" s="18">
        <f t="shared" si="0"/>
        <v>11.79</v>
      </c>
      <c r="M68" s="18">
        <f t="shared" si="8"/>
        <v>0</v>
      </c>
      <c r="N68" s="18">
        <f t="shared" si="1"/>
        <v>11.79</v>
      </c>
      <c r="O68" s="8"/>
    </row>
    <row r="69" spans="1:15">
      <c r="A69" s="1" t="s">
        <v>59</v>
      </c>
      <c r="B69" s="11" t="s">
        <v>138</v>
      </c>
      <c r="C69" s="11">
        <v>0</v>
      </c>
      <c r="D69" s="11">
        <v>0</v>
      </c>
      <c r="E69" s="11">
        <v>0</v>
      </c>
      <c r="F69" s="83">
        <f>Table21623[[#This Row],[Usage]]</f>
        <v>0</v>
      </c>
      <c r="G69" s="17">
        <f t="shared" si="2"/>
        <v>11.79</v>
      </c>
      <c r="H69" s="17">
        <f t="shared" si="3"/>
        <v>0</v>
      </c>
      <c r="I69" s="17">
        <f t="shared" si="4"/>
        <v>0</v>
      </c>
      <c r="J69" s="18">
        <f t="shared" si="5"/>
        <v>0</v>
      </c>
      <c r="K69" s="18">
        <f t="shared" si="6"/>
        <v>0</v>
      </c>
      <c r="L69" s="18">
        <f t="shared" si="0"/>
        <v>11.79</v>
      </c>
      <c r="M69" s="18">
        <f t="shared" si="8"/>
        <v>0</v>
      </c>
      <c r="N69" s="18">
        <f t="shared" si="1"/>
        <v>11.79</v>
      </c>
      <c r="O69" s="8"/>
    </row>
    <row r="70" spans="1:15">
      <c r="A70" s="1" t="s">
        <v>60</v>
      </c>
      <c r="B70" s="11" t="s">
        <v>138</v>
      </c>
      <c r="C70" s="11">
        <v>0</v>
      </c>
      <c r="D70" s="11">
        <v>0</v>
      </c>
      <c r="E70" s="11">
        <v>0</v>
      </c>
      <c r="F70" s="83">
        <f>Table21623[[#This Row],[Usage]]</f>
        <v>0</v>
      </c>
      <c r="G70" s="17">
        <f t="shared" si="2"/>
        <v>11.79</v>
      </c>
      <c r="H70" s="17">
        <f t="shared" si="3"/>
        <v>0</v>
      </c>
      <c r="I70" s="17">
        <f t="shared" si="4"/>
        <v>0</v>
      </c>
      <c r="J70" s="18">
        <f t="shared" si="5"/>
        <v>0</v>
      </c>
      <c r="K70" s="18">
        <f t="shared" si="6"/>
        <v>0</v>
      </c>
      <c r="L70" s="18">
        <f t="shared" si="0"/>
        <v>11.79</v>
      </c>
      <c r="M70" s="18">
        <f t="shared" si="8"/>
        <v>0</v>
      </c>
      <c r="N70" s="18">
        <f t="shared" si="1"/>
        <v>11.79</v>
      </c>
      <c r="O70" s="8"/>
    </row>
    <row r="71" spans="1:15">
      <c r="A71" s="1" t="s">
        <v>61</v>
      </c>
      <c r="B71" s="11"/>
      <c r="C71" s="11">
        <v>1347000</v>
      </c>
      <c r="D71" s="11">
        <v>1347000</v>
      </c>
      <c r="E71" s="11">
        <v>0</v>
      </c>
      <c r="F71" s="83">
        <f>Table21623[[#This Row],[Usage]]</f>
        <v>5000</v>
      </c>
      <c r="G71" s="17">
        <f t="shared" si="2"/>
        <v>40.090000000000003</v>
      </c>
      <c r="H71" s="17">
        <f t="shared" si="3"/>
        <v>0</v>
      </c>
      <c r="I71" s="17">
        <f t="shared" si="4"/>
        <v>0</v>
      </c>
      <c r="J71" s="18">
        <f t="shared" si="5"/>
        <v>0</v>
      </c>
      <c r="K71" s="18">
        <f t="shared" si="6"/>
        <v>0</v>
      </c>
      <c r="L71" s="18">
        <f t="shared" si="0"/>
        <v>40.090000000000003</v>
      </c>
      <c r="M71" s="18">
        <f t="shared" si="8"/>
        <v>0</v>
      </c>
      <c r="N71" s="18">
        <f t="shared" si="1"/>
        <v>40.090000000000003</v>
      </c>
      <c r="O71" s="8"/>
    </row>
    <row r="72" spans="1:15">
      <c r="A72" s="1" t="s">
        <v>62</v>
      </c>
      <c r="B72" s="11"/>
      <c r="C72" s="11">
        <v>1909000</v>
      </c>
      <c r="D72" s="11">
        <v>1909000</v>
      </c>
      <c r="E72" s="11">
        <v>0</v>
      </c>
      <c r="F72" s="83">
        <f>Table21623[[#This Row],[Usage]]</f>
        <v>4000</v>
      </c>
      <c r="G72" s="17">
        <f t="shared" si="2"/>
        <v>40.090000000000003</v>
      </c>
      <c r="H72" s="17">
        <f t="shared" si="3"/>
        <v>0</v>
      </c>
      <c r="I72" s="17">
        <f t="shared" si="4"/>
        <v>0</v>
      </c>
      <c r="J72" s="18">
        <f t="shared" si="5"/>
        <v>0</v>
      </c>
      <c r="K72" s="18">
        <f t="shared" si="6"/>
        <v>0</v>
      </c>
      <c r="L72" s="18">
        <f t="shared" si="0"/>
        <v>40.090000000000003</v>
      </c>
      <c r="M72" s="18">
        <f t="shared" si="8"/>
        <v>0</v>
      </c>
      <c r="N72" s="18">
        <f t="shared" si="1"/>
        <v>40.090000000000003</v>
      </c>
      <c r="O72" s="8"/>
    </row>
    <row r="73" spans="1:15">
      <c r="A73" s="1" t="s">
        <v>63</v>
      </c>
      <c r="B73" s="11" t="s">
        <v>138</v>
      </c>
      <c r="C73" s="11">
        <v>0</v>
      </c>
      <c r="D73" s="11">
        <v>0</v>
      </c>
      <c r="E73" s="11">
        <v>0</v>
      </c>
      <c r="F73" s="83">
        <f>Table21623[[#This Row],[Usage]]</f>
        <v>0</v>
      </c>
      <c r="G73" s="17">
        <f t="shared" si="2"/>
        <v>11.79</v>
      </c>
      <c r="H73" s="17">
        <f t="shared" si="3"/>
        <v>0</v>
      </c>
      <c r="I73" s="17">
        <f t="shared" si="4"/>
        <v>0</v>
      </c>
      <c r="J73" s="18">
        <f t="shared" si="5"/>
        <v>0</v>
      </c>
      <c r="K73" s="18">
        <f t="shared" si="6"/>
        <v>0</v>
      </c>
      <c r="L73" s="18">
        <f t="shared" si="0"/>
        <v>11.79</v>
      </c>
      <c r="M73" s="18">
        <f t="shared" si="8"/>
        <v>0</v>
      </c>
      <c r="N73" s="18">
        <f t="shared" si="1"/>
        <v>11.79</v>
      </c>
      <c r="O73" s="8"/>
    </row>
    <row r="74" spans="1:15">
      <c r="A74" s="1" t="s">
        <v>64</v>
      </c>
      <c r="B74" s="11"/>
      <c r="C74" s="11">
        <v>4919000</v>
      </c>
      <c r="D74" s="11">
        <v>4919000</v>
      </c>
      <c r="E74" s="11">
        <v>0</v>
      </c>
      <c r="F74" s="83">
        <f>Table21623[[#This Row],[Usage]]</f>
        <v>4000</v>
      </c>
      <c r="G74" s="17">
        <f t="shared" si="2"/>
        <v>40.090000000000003</v>
      </c>
      <c r="H74" s="17">
        <f t="shared" si="3"/>
        <v>0</v>
      </c>
      <c r="I74" s="17">
        <f t="shared" si="4"/>
        <v>0</v>
      </c>
      <c r="J74" s="18">
        <f t="shared" si="5"/>
        <v>0</v>
      </c>
      <c r="K74" s="18">
        <f t="shared" si="6"/>
        <v>0</v>
      </c>
      <c r="L74" s="18">
        <f t="shared" si="0"/>
        <v>40.090000000000003</v>
      </c>
      <c r="M74" s="18">
        <f t="shared" si="8"/>
        <v>0</v>
      </c>
      <c r="N74" s="18">
        <f t="shared" si="1"/>
        <v>40.090000000000003</v>
      </c>
      <c r="O74" s="8"/>
    </row>
    <row r="75" spans="1:15">
      <c r="A75" s="1" t="s">
        <v>65</v>
      </c>
      <c r="B75" s="11"/>
      <c r="C75" s="11">
        <v>6644000</v>
      </c>
      <c r="D75" s="11">
        <v>6644000</v>
      </c>
      <c r="E75" s="11">
        <v>0</v>
      </c>
      <c r="F75" s="83">
        <f>Table21623[[#This Row],[Usage]]</f>
        <v>1000</v>
      </c>
      <c r="G75" s="17">
        <f t="shared" si="2"/>
        <v>40.090000000000003</v>
      </c>
      <c r="H75" s="17">
        <f t="shared" si="3"/>
        <v>0</v>
      </c>
      <c r="I75" s="17">
        <f t="shared" si="4"/>
        <v>0</v>
      </c>
      <c r="J75" s="18">
        <f t="shared" si="5"/>
        <v>0</v>
      </c>
      <c r="K75" s="18">
        <f t="shared" si="6"/>
        <v>0</v>
      </c>
      <c r="L75" s="18">
        <f t="shared" si="0"/>
        <v>40.090000000000003</v>
      </c>
      <c r="M75" s="18">
        <f t="shared" si="8"/>
        <v>0</v>
      </c>
      <c r="N75" s="18">
        <f t="shared" si="1"/>
        <v>40.090000000000003</v>
      </c>
      <c r="O75" s="8"/>
    </row>
    <row r="76" spans="1:15">
      <c r="A76" s="1" t="s">
        <v>66</v>
      </c>
      <c r="B76" s="11"/>
      <c r="C76" s="11">
        <v>9231000</v>
      </c>
      <c r="D76" s="11">
        <v>9231000</v>
      </c>
      <c r="E76" s="11">
        <v>0</v>
      </c>
      <c r="F76" s="83">
        <f>Table21623[[#This Row],[Usage]]</f>
        <v>4000</v>
      </c>
      <c r="G76" s="17">
        <f t="shared" si="2"/>
        <v>40.090000000000003</v>
      </c>
      <c r="H76" s="17">
        <f t="shared" si="3"/>
        <v>0</v>
      </c>
      <c r="I76" s="17">
        <f t="shared" si="4"/>
        <v>0</v>
      </c>
      <c r="J76" s="18">
        <f t="shared" si="5"/>
        <v>0</v>
      </c>
      <c r="K76" s="18">
        <f t="shared" si="6"/>
        <v>0</v>
      </c>
      <c r="L76" s="18">
        <f t="shared" ref="L76:L136" si="9">SUM(G76:K76)</f>
        <v>40.090000000000003</v>
      </c>
      <c r="M76" s="18">
        <f t="shared" si="8"/>
        <v>0</v>
      </c>
      <c r="N76" s="18">
        <f t="shared" ref="N76:N136" si="10">SUM(L76:M76)</f>
        <v>40.090000000000003</v>
      </c>
      <c r="O76" s="8"/>
    </row>
    <row r="77" spans="1:15">
      <c r="A77" s="1" t="s">
        <v>67</v>
      </c>
      <c r="B77" s="11" t="s">
        <v>138</v>
      </c>
      <c r="C77" s="11">
        <v>0</v>
      </c>
      <c r="D77" s="11">
        <v>0</v>
      </c>
      <c r="E77" s="11">
        <v>0</v>
      </c>
      <c r="F77" s="83">
        <f>Table21623[[#This Row],[Usage]]</f>
        <v>0</v>
      </c>
      <c r="G77" s="17">
        <f t="shared" si="2"/>
        <v>11.79</v>
      </c>
      <c r="H77" s="17">
        <f t="shared" si="3"/>
        <v>0</v>
      </c>
      <c r="I77" s="17">
        <f t="shared" si="4"/>
        <v>0</v>
      </c>
      <c r="J77" s="18">
        <f t="shared" si="5"/>
        <v>0</v>
      </c>
      <c r="K77" s="18">
        <f t="shared" si="6"/>
        <v>0</v>
      </c>
      <c r="L77" s="18">
        <f t="shared" si="9"/>
        <v>11.79</v>
      </c>
      <c r="M77" s="18">
        <f t="shared" si="8"/>
        <v>0</v>
      </c>
      <c r="N77" s="18">
        <f t="shared" si="10"/>
        <v>11.79</v>
      </c>
      <c r="O77" s="8"/>
    </row>
    <row r="78" spans="1:15">
      <c r="A78" s="1" t="s">
        <v>68</v>
      </c>
      <c r="B78" s="11"/>
      <c r="C78" s="11">
        <v>3587000</v>
      </c>
      <c r="D78" s="11">
        <v>3587000</v>
      </c>
      <c r="E78" s="11">
        <v>0</v>
      </c>
      <c r="F78" s="83">
        <f>Table21623[[#This Row],[Usage]]</f>
        <v>7000</v>
      </c>
      <c r="G78" s="17">
        <f t="shared" si="2"/>
        <v>40.090000000000003</v>
      </c>
      <c r="H78" s="17">
        <f t="shared" si="3"/>
        <v>0</v>
      </c>
      <c r="I78" s="17">
        <f t="shared" si="4"/>
        <v>0</v>
      </c>
      <c r="J78" s="18">
        <f t="shared" si="5"/>
        <v>0</v>
      </c>
      <c r="K78" s="18">
        <f t="shared" si="6"/>
        <v>0</v>
      </c>
      <c r="L78" s="18">
        <f t="shared" si="9"/>
        <v>40.090000000000003</v>
      </c>
      <c r="M78" s="18">
        <f t="shared" si="8"/>
        <v>0</v>
      </c>
      <c r="N78" s="18">
        <f t="shared" si="10"/>
        <v>40.090000000000003</v>
      </c>
      <c r="O78" s="8"/>
    </row>
    <row r="79" spans="1:15">
      <c r="A79" s="1" t="s">
        <v>69</v>
      </c>
      <c r="B79" s="11"/>
      <c r="C79" s="11">
        <v>2312000</v>
      </c>
      <c r="D79" s="11">
        <v>2312000</v>
      </c>
      <c r="E79" s="11">
        <v>0</v>
      </c>
      <c r="F79" s="83">
        <f>Table21623[[#This Row],[Usage]]</f>
        <v>16000</v>
      </c>
      <c r="G79" s="17">
        <f t="shared" si="2"/>
        <v>40.090000000000003</v>
      </c>
      <c r="H79" s="17">
        <f t="shared" si="3"/>
        <v>13.080000000000002</v>
      </c>
      <c r="I79" s="17">
        <f t="shared" si="4"/>
        <v>0</v>
      </c>
      <c r="J79" s="18">
        <f t="shared" si="5"/>
        <v>0</v>
      </c>
      <c r="K79" s="18">
        <f t="shared" si="6"/>
        <v>0</v>
      </c>
      <c r="L79" s="18">
        <f t="shared" si="9"/>
        <v>53.17</v>
      </c>
      <c r="M79" s="18">
        <f t="shared" si="8"/>
        <v>0</v>
      </c>
      <c r="N79" s="18">
        <f t="shared" si="10"/>
        <v>53.17</v>
      </c>
      <c r="O79" s="8"/>
    </row>
    <row r="80" spans="1:15">
      <c r="A80" s="1" t="s">
        <v>70</v>
      </c>
      <c r="B80" s="11"/>
      <c r="C80" s="11">
        <v>1414000</v>
      </c>
      <c r="D80" s="11">
        <v>1414000</v>
      </c>
      <c r="E80" s="11">
        <v>0</v>
      </c>
      <c r="F80" s="83">
        <f>Table21623[[#This Row],[Usage]]</f>
        <v>14000</v>
      </c>
      <c r="G80" s="17">
        <f t="shared" si="2"/>
        <v>40.090000000000003</v>
      </c>
      <c r="H80" s="17">
        <f t="shared" si="3"/>
        <v>8.7200000000000006</v>
      </c>
      <c r="I80" s="17">
        <f t="shared" si="4"/>
        <v>0</v>
      </c>
      <c r="J80" s="18">
        <f t="shared" si="5"/>
        <v>0</v>
      </c>
      <c r="K80" s="18">
        <f t="shared" si="6"/>
        <v>0</v>
      </c>
      <c r="L80" s="18">
        <f t="shared" si="9"/>
        <v>48.81</v>
      </c>
      <c r="M80" s="18">
        <f t="shared" si="8"/>
        <v>0</v>
      </c>
      <c r="N80" s="18">
        <f t="shared" si="10"/>
        <v>48.81</v>
      </c>
      <c r="O80" s="8"/>
    </row>
    <row r="81" spans="1:15">
      <c r="A81" s="1" t="s">
        <v>71</v>
      </c>
      <c r="B81" s="11" t="s">
        <v>138</v>
      </c>
      <c r="C81" s="11">
        <v>0</v>
      </c>
      <c r="D81" s="11">
        <v>0</v>
      </c>
      <c r="E81" s="11">
        <v>0</v>
      </c>
      <c r="F81" s="83">
        <f>Table21623[[#This Row],[Usage]]</f>
        <v>0</v>
      </c>
      <c r="G81" s="17">
        <f t="shared" ref="G81:G136" si="11">IF(OR($F81&gt;0,$B81=""),40.09,11.79)</f>
        <v>11.79</v>
      </c>
      <c r="H81" s="17">
        <f t="shared" ref="H81:H136" si="12">IF(AND((($F81-10000)&gt;=0),(($F81-10000)&lt;= 10000)),($F81-10000)/1000*2.18,IF(($F81-10000)&gt;=10000,2.18*10,0))</f>
        <v>0</v>
      </c>
      <c r="I81" s="17">
        <f t="shared" ref="I81:I136" si="13">IF(AND((($F81-20000)&gt;=0),(($F81-20000)&lt;=10000)),($F81-20000)/1000*2.53,IF(($F81-20000)&gt;=10000,2.53*10,0))</f>
        <v>0</v>
      </c>
      <c r="J81" s="18">
        <f t="shared" ref="J81:J136" si="14">IF(AND((($F81-30000)&gt;=0),(($F81-30000)&lt;=10000)),($F81-30000)/1000*2.95,IF(($F81-30000)&gt;=10000,2.95*10,0))</f>
        <v>0</v>
      </c>
      <c r="K81" s="18">
        <f t="shared" ref="K81:K136" si="15">IF((($F81-40000)&gt;=0),($F81-40000)/1000*3.42,0)</f>
        <v>0</v>
      </c>
      <c r="L81" s="18">
        <f t="shared" si="9"/>
        <v>11.79</v>
      </c>
      <c r="M81" s="18">
        <f t="shared" ref="M81:M112" si="16">IF(   $H$5=1,    IF((F81-$H$6)&gt;0,((F81-$H$6)/$N$7)*$E$8,0),   IF(F81&gt;0,(F81/$N$4)*$E$8,0)    )</f>
        <v>0</v>
      </c>
      <c r="N81" s="18">
        <f t="shared" si="10"/>
        <v>11.79</v>
      </c>
      <c r="O81" s="8"/>
    </row>
    <row r="82" spans="1:15">
      <c r="A82" s="1" t="s">
        <v>72</v>
      </c>
      <c r="B82" s="11"/>
      <c r="C82" s="11">
        <v>134000</v>
      </c>
      <c r="D82" s="11">
        <v>134000</v>
      </c>
      <c r="E82" s="11">
        <v>0</v>
      </c>
      <c r="F82" s="83">
        <f>Table21623[[#This Row],[Usage]]</f>
        <v>11000</v>
      </c>
      <c r="G82" s="17">
        <f t="shared" si="11"/>
        <v>40.090000000000003</v>
      </c>
      <c r="H82" s="17">
        <f t="shared" si="12"/>
        <v>2.1800000000000002</v>
      </c>
      <c r="I82" s="17">
        <f t="shared" si="13"/>
        <v>0</v>
      </c>
      <c r="J82" s="18">
        <f t="shared" si="14"/>
        <v>0</v>
      </c>
      <c r="K82" s="18">
        <f t="shared" si="15"/>
        <v>0</v>
      </c>
      <c r="L82" s="18">
        <f t="shared" si="9"/>
        <v>42.27</v>
      </c>
      <c r="M82" s="18">
        <f t="shared" si="16"/>
        <v>0</v>
      </c>
      <c r="N82" s="18">
        <f t="shared" si="10"/>
        <v>42.27</v>
      </c>
      <c r="O82" s="8" t="s">
        <v>139</v>
      </c>
    </row>
    <row r="83" spans="1:15">
      <c r="A83" s="1" t="s">
        <v>73</v>
      </c>
      <c r="B83" s="11"/>
      <c r="C83" s="11">
        <v>1943000</v>
      </c>
      <c r="D83" s="11">
        <v>1943000</v>
      </c>
      <c r="E83" s="11">
        <v>0</v>
      </c>
      <c r="F83" s="83">
        <f>Table21623[[#This Row],[Usage]]</f>
        <v>12000</v>
      </c>
      <c r="G83" s="17">
        <f t="shared" si="11"/>
        <v>40.090000000000003</v>
      </c>
      <c r="H83" s="17">
        <f t="shared" si="12"/>
        <v>4.3600000000000003</v>
      </c>
      <c r="I83" s="17">
        <f t="shared" si="13"/>
        <v>0</v>
      </c>
      <c r="J83" s="18">
        <f t="shared" si="14"/>
        <v>0</v>
      </c>
      <c r="K83" s="18">
        <f t="shared" si="15"/>
        <v>0</v>
      </c>
      <c r="L83" s="18">
        <f t="shared" si="9"/>
        <v>44.45</v>
      </c>
      <c r="M83" s="18">
        <f t="shared" si="16"/>
        <v>0</v>
      </c>
      <c r="N83" s="18">
        <f t="shared" si="10"/>
        <v>44.45</v>
      </c>
      <c r="O83" s="8"/>
    </row>
    <row r="84" spans="1:15">
      <c r="A84" s="1" t="s">
        <v>74</v>
      </c>
      <c r="B84" s="11" t="s">
        <v>138</v>
      </c>
      <c r="C84" s="11">
        <v>0</v>
      </c>
      <c r="D84" s="11">
        <v>0</v>
      </c>
      <c r="E84" s="11">
        <v>0</v>
      </c>
      <c r="F84" s="83">
        <f>Table21623[[#This Row],[Usage]]</f>
        <v>0</v>
      </c>
      <c r="G84" s="17">
        <f t="shared" si="11"/>
        <v>11.79</v>
      </c>
      <c r="H84" s="17">
        <f t="shared" si="12"/>
        <v>0</v>
      </c>
      <c r="I84" s="17">
        <f t="shared" si="13"/>
        <v>0</v>
      </c>
      <c r="J84" s="18">
        <f t="shared" si="14"/>
        <v>0</v>
      </c>
      <c r="K84" s="18">
        <f t="shared" si="15"/>
        <v>0</v>
      </c>
      <c r="L84" s="18">
        <f t="shared" si="9"/>
        <v>11.79</v>
      </c>
      <c r="M84" s="18">
        <f t="shared" si="16"/>
        <v>0</v>
      </c>
      <c r="N84" s="18">
        <f t="shared" si="10"/>
        <v>11.79</v>
      </c>
      <c r="O84" s="8"/>
    </row>
    <row r="85" spans="1:15">
      <c r="A85" s="1" t="s">
        <v>75</v>
      </c>
      <c r="B85" s="11"/>
      <c r="C85" s="11">
        <v>727000</v>
      </c>
      <c r="D85" s="11">
        <v>727000</v>
      </c>
      <c r="E85" s="11">
        <v>0</v>
      </c>
      <c r="F85" s="83">
        <f>Table21623[[#This Row],[Usage]]</f>
        <v>4000</v>
      </c>
      <c r="G85" s="17">
        <f t="shared" si="11"/>
        <v>40.090000000000003</v>
      </c>
      <c r="H85" s="17">
        <f t="shared" si="12"/>
        <v>0</v>
      </c>
      <c r="I85" s="17">
        <f t="shared" si="13"/>
        <v>0</v>
      </c>
      <c r="J85" s="18">
        <f t="shared" si="14"/>
        <v>0</v>
      </c>
      <c r="K85" s="18">
        <f t="shared" si="15"/>
        <v>0</v>
      </c>
      <c r="L85" s="18">
        <f t="shared" si="9"/>
        <v>40.090000000000003</v>
      </c>
      <c r="M85" s="18">
        <f t="shared" si="16"/>
        <v>0</v>
      </c>
      <c r="N85" s="18">
        <f t="shared" si="10"/>
        <v>40.090000000000003</v>
      </c>
      <c r="O85" s="8"/>
    </row>
    <row r="86" spans="1:15">
      <c r="A86" s="1" t="s">
        <v>76</v>
      </c>
      <c r="B86" s="11"/>
      <c r="C86" s="11">
        <v>134000</v>
      </c>
      <c r="D86" s="11">
        <v>134000</v>
      </c>
      <c r="E86" s="11">
        <v>0</v>
      </c>
      <c r="F86" s="83">
        <f>Table21623[[#This Row],[Usage]]</f>
        <v>11000</v>
      </c>
      <c r="G86" s="17">
        <f t="shared" si="11"/>
        <v>40.090000000000003</v>
      </c>
      <c r="H86" s="17">
        <f t="shared" si="12"/>
        <v>2.1800000000000002</v>
      </c>
      <c r="I86" s="17">
        <f t="shared" si="13"/>
        <v>0</v>
      </c>
      <c r="J86" s="18">
        <f t="shared" si="14"/>
        <v>0</v>
      </c>
      <c r="K86" s="18">
        <f t="shared" si="15"/>
        <v>0</v>
      </c>
      <c r="L86" s="18">
        <f t="shared" si="9"/>
        <v>42.27</v>
      </c>
      <c r="M86" s="18">
        <f t="shared" si="16"/>
        <v>0</v>
      </c>
      <c r="N86" s="18">
        <f t="shared" si="10"/>
        <v>42.27</v>
      </c>
      <c r="O86" s="8" t="s">
        <v>139</v>
      </c>
    </row>
    <row r="87" spans="1:15">
      <c r="A87" s="1" t="s">
        <v>77</v>
      </c>
      <c r="B87" s="11"/>
      <c r="C87" s="11">
        <v>102000</v>
      </c>
      <c r="D87" s="11">
        <v>102000</v>
      </c>
      <c r="E87" s="11">
        <v>0</v>
      </c>
      <c r="F87" s="83">
        <f>Table21623[[#This Row],[Usage]]</f>
        <v>6000</v>
      </c>
      <c r="G87" s="17">
        <f t="shared" si="11"/>
        <v>40.090000000000003</v>
      </c>
      <c r="H87" s="17">
        <f t="shared" si="12"/>
        <v>0</v>
      </c>
      <c r="I87" s="17">
        <f t="shared" si="13"/>
        <v>0</v>
      </c>
      <c r="J87" s="18">
        <f t="shared" si="14"/>
        <v>0</v>
      </c>
      <c r="K87" s="18">
        <f t="shared" si="15"/>
        <v>0</v>
      </c>
      <c r="L87" s="18">
        <f t="shared" si="9"/>
        <v>40.090000000000003</v>
      </c>
      <c r="M87" s="18">
        <f t="shared" si="16"/>
        <v>0</v>
      </c>
      <c r="N87" s="18">
        <f t="shared" si="10"/>
        <v>40.090000000000003</v>
      </c>
      <c r="O87" s="8"/>
    </row>
    <row r="88" spans="1:15">
      <c r="A88" s="1" t="s">
        <v>78</v>
      </c>
      <c r="B88" s="11"/>
      <c r="C88" s="11">
        <v>1248000</v>
      </c>
      <c r="D88" s="11">
        <v>1248000</v>
      </c>
      <c r="E88" s="11">
        <v>0</v>
      </c>
      <c r="F88" s="83">
        <f>Table21623[[#This Row],[Usage]]</f>
        <v>3000</v>
      </c>
      <c r="G88" s="17">
        <f t="shared" si="11"/>
        <v>40.090000000000003</v>
      </c>
      <c r="H88" s="17">
        <f t="shared" si="12"/>
        <v>0</v>
      </c>
      <c r="I88" s="17">
        <f t="shared" si="13"/>
        <v>0</v>
      </c>
      <c r="J88" s="18">
        <f t="shared" si="14"/>
        <v>0</v>
      </c>
      <c r="K88" s="18">
        <f t="shared" si="15"/>
        <v>0</v>
      </c>
      <c r="L88" s="18">
        <f t="shared" si="9"/>
        <v>40.090000000000003</v>
      </c>
      <c r="M88" s="18">
        <f t="shared" si="16"/>
        <v>0</v>
      </c>
      <c r="N88" s="18">
        <f t="shared" si="10"/>
        <v>40.090000000000003</v>
      </c>
      <c r="O88" s="8"/>
    </row>
    <row r="89" spans="1:15">
      <c r="A89" s="1" t="s">
        <v>79</v>
      </c>
      <c r="B89" s="11"/>
      <c r="C89" s="11">
        <v>3439000</v>
      </c>
      <c r="D89" s="11">
        <v>3439000</v>
      </c>
      <c r="E89" s="11">
        <v>0</v>
      </c>
      <c r="F89" s="83">
        <f>Table21623[[#This Row],[Usage]]</f>
        <v>6000</v>
      </c>
      <c r="G89" s="17">
        <f t="shared" si="11"/>
        <v>40.090000000000003</v>
      </c>
      <c r="H89" s="17">
        <f t="shared" si="12"/>
        <v>0</v>
      </c>
      <c r="I89" s="17">
        <f t="shared" si="13"/>
        <v>0</v>
      </c>
      <c r="J89" s="18">
        <f t="shared" si="14"/>
        <v>0</v>
      </c>
      <c r="K89" s="18">
        <f t="shared" si="15"/>
        <v>0</v>
      </c>
      <c r="L89" s="18">
        <f t="shared" si="9"/>
        <v>40.090000000000003</v>
      </c>
      <c r="M89" s="18">
        <f t="shared" si="16"/>
        <v>0</v>
      </c>
      <c r="N89" s="18">
        <f t="shared" si="10"/>
        <v>40.090000000000003</v>
      </c>
      <c r="O89" s="8"/>
    </row>
    <row r="90" spans="1:15">
      <c r="A90" s="1" t="s">
        <v>80</v>
      </c>
      <c r="B90" s="11"/>
      <c r="C90" s="11">
        <v>3022000</v>
      </c>
      <c r="D90" s="11">
        <v>3022000</v>
      </c>
      <c r="E90" s="11">
        <v>0</v>
      </c>
      <c r="F90" s="83">
        <f>Table21623[[#This Row],[Usage]]</f>
        <v>4000</v>
      </c>
      <c r="G90" s="17">
        <f t="shared" si="11"/>
        <v>40.090000000000003</v>
      </c>
      <c r="H90" s="17">
        <f t="shared" si="12"/>
        <v>0</v>
      </c>
      <c r="I90" s="17">
        <f t="shared" si="13"/>
        <v>0</v>
      </c>
      <c r="J90" s="18">
        <f t="shared" si="14"/>
        <v>0</v>
      </c>
      <c r="K90" s="18">
        <f t="shared" si="15"/>
        <v>0</v>
      </c>
      <c r="L90" s="18">
        <f t="shared" si="9"/>
        <v>40.090000000000003</v>
      </c>
      <c r="M90" s="18">
        <f t="shared" si="16"/>
        <v>0</v>
      </c>
      <c r="N90" s="18">
        <f t="shared" si="10"/>
        <v>40.090000000000003</v>
      </c>
      <c r="O90" s="8"/>
    </row>
    <row r="91" spans="1:15">
      <c r="A91" s="1" t="s">
        <v>81</v>
      </c>
      <c r="B91" s="11" t="s">
        <v>138</v>
      </c>
      <c r="C91" s="11">
        <v>0</v>
      </c>
      <c r="D91" s="11">
        <v>0</v>
      </c>
      <c r="E91" s="11">
        <v>0</v>
      </c>
      <c r="F91" s="83">
        <f>Table21623[[#This Row],[Usage]]</f>
        <v>0</v>
      </c>
      <c r="G91" s="17">
        <f t="shared" si="11"/>
        <v>11.79</v>
      </c>
      <c r="H91" s="17">
        <f t="shared" si="12"/>
        <v>0</v>
      </c>
      <c r="I91" s="17">
        <f t="shared" si="13"/>
        <v>0</v>
      </c>
      <c r="J91" s="18">
        <f t="shared" si="14"/>
        <v>0</v>
      </c>
      <c r="K91" s="18">
        <f t="shared" si="15"/>
        <v>0</v>
      </c>
      <c r="L91" s="18">
        <f t="shared" si="9"/>
        <v>11.79</v>
      </c>
      <c r="M91" s="18">
        <f t="shared" si="16"/>
        <v>0</v>
      </c>
      <c r="N91" s="18">
        <f t="shared" si="10"/>
        <v>11.79</v>
      </c>
      <c r="O91" s="8"/>
    </row>
    <row r="92" spans="1:15">
      <c r="A92" s="1" t="s">
        <v>82</v>
      </c>
      <c r="B92" s="11"/>
      <c r="C92" s="11">
        <v>3248000</v>
      </c>
      <c r="D92" s="11">
        <v>3248000</v>
      </c>
      <c r="E92" s="11">
        <v>0</v>
      </c>
      <c r="F92" s="83">
        <f>Table21623[[#This Row],[Usage]]</f>
        <v>7000</v>
      </c>
      <c r="G92" s="17">
        <f t="shared" si="11"/>
        <v>40.090000000000003</v>
      </c>
      <c r="H92" s="17">
        <f t="shared" si="12"/>
        <v>0</v>
      </c>
      <c r="I92" s="17">
        <f t="shared" si="13"/>
        <v>0</v>
      </c>
      <c r="J92" s="18">
        <f t="shared" si="14"/>
        <v>0</v>
      </c>
      <c r="K92" s="18">
        <f t="shared" si="15"/>
        <v>0</v>
      </c>
      <c r="L92" s="18">
        <f t="shared" si="9"/>
        <v>40.090000000000003</v>
      </c>
      <c r="M92" s="18">
        <f t="shared" si="16"/>
        <v>0</v>
      </c>
      <c r="N92" s="18">
        <f t="shared" si="10"/>
        <v>40.090000000000003</v>
      </c>
      <c r="O92" s="8"/>
    </row>
    <row r="93" spans="1:15">
      <c r="A93" s="1" t="s">
        <v>83</v>
      </c>
      <c r="B93" s="11"/>
      <c r="C93" s="11">
        <v>7562000</v>
      </c>
      <c r="D93" s="11">
        <v>7562000</v>
      </c>
      <c r="E93" s="11">
        <v>0</v>
      </c>
      <c r="F93" s="83">
        <f>Table21623[[#This Row],[Usage]]</f>
        <v>1000</v>
      </c>
      <c r="G93" s="17">
        <f t="shared" si="11"/>
        <v>40.090000000000003</v>
      </c>
      <c r="H93" s="17">
        <f t="shared" si="12"/>
        <v>0</v>
      </c>
      <c r="I93" s="17">
        <f t="shared" si="13"/>
        <v>0</v>
      </c>
      <c r="J93" s="18">
        <f t="shared" si="14"/>
        <v>0</v>
      </c>
      <c r="K93" s="18">
        <f t="shared" si="15"/>
        <v>0</v>
      </c>
      <c r="L93" s="18">
        <f t="shared" si="9"/>
        <v>40.090000000000003</v>
      </c>
      <c r="M93" s="18">
        <f t="shared" si="16"/>
        <v>0</v>
      </c>
      <c r="N93" s="18">
        <f t="shared" si="10"/>
        <v>40.090000000000003</v>
      </c>
      <c r="O93" s="8"/>
    </row>
    <row r="94" spans="1:15">
      <c r="A94" s="1" t="s">
        <v>84</v>
      </c>
      <c r="B94" s="11"/>
      <c r="C94" s="11">
        <v>3085000</v>
      </c>
      <c r="D94" s="11">
        <v>3085000</v>
      </c>
      <c r="E94" s="11">
        <v>0</v>
      </c>
      <c r="F94" s="83">
        <f>Table21623[[#This Row],[Usage]]</f>
        <v>3000</v>
      </c>
      <c r="G94" s="17">
        <f t="shared" si="11"/>
        <v>40.090000000000003</v>
      </c>
      <c r="H94" s="17">
        <f t="shared" si="12"/>
        <v>0</v>
      </c>
      <c r="I94" s="17">
        <f t="shared" si="13"/>
        <v>0</v>
      </c>
      <c r="J94" s="18">
        <f t="shared" si="14"/>
        <v>0</v>
      </c>
      <c r="K94" s="18">
        <f t="shared" si="15"/>
        <v>0</v>
      </c>
      <c r="L94" s="18">
        <f t="shared" si="9"/>
        <v>40.090000000000003</v>
      </c>
      <c r="M94" s="18">
        <f t="shared" si="16"/>
        <v>0</v>
      </c>
      <c r="N94" s="18">
        <f t="shared" si="10"/>
        <v>40.090000000000003</v>
      </c>
      <c r="O94" s="8"/>
    </row>
    <row r="95" spans="1:15">
      <c r="A95" s="1" t="s">
        <v>85</v>
      </c>
      <c r="B95" s="11"/>
      <c r="C95" s="11">
        <v>2017000</v>
      </c>
      <c r="D95" s="11">
        <v>2017000</v>
      </c>
      <c r="E95" s="11">
        <v>0</v>
      </c>
      <c r="F95" s="83">
        <f>Table21623[[#This Row],[Usage]]</f>
        <v>3000</v>
      </c>
      <c r="G95" s="17">
        <f t="shared" si="11"/>
        <v>40.090000000000003</v>
      </c>
      <c r="H95" s="17">
        <f t="shared" si="12"/>
        <v>0</v>
      </c>
      <c r="I95" s="17">
        <f t="shared" si="13"/>
        <v>0</v>
      </c>
      <c r="J95" s="18">
        <f t="shared" si="14"/>
        <v>0</v>
      </c>
      <c r="K95" s="18">
        <f t="shared" si="15"/>
        <v>0</v>
      </c>
      <c r="L95" s="18">
        <f t="shared" si="9"/>
        <v>40.090000000000003</v>
      </c>
      <c r="M95" s="18">
        <f t="shared" si="16"/>
        <v>0</v>
      </c>
      <c r="N95" s="18">
        <f t="shared" si="10"/>
        <v>40.090000000000003</v>
      </c>
      <c r="O95" s="8"/>
    </row>
    <row r="96" spans="1:15">
      <c r="A96" s="1" t="s">
        <v>86</v>
      </c>
      <c r="B96" s="11"/>
      <c r="C96" s="11">
        <v>1852000</v>
      </c>
      <c r="D96" s="11">
        <v>1852000</v>
      </c>
      <c r="E96" s="11">
        <v>0</v>
      </c>
      <c r="F96" s="83">
        <f>Table21623[[#This Row],[Usage]]</f>
        <v>5000</v>
      </c>
      <c r="G96" s="17">
        <f t="shared" si="11"/>
        <v>40.090000000000003</v>
      </c>
      <c r="H96" s="17">
        <f t="shared" si="12"/>
        <v>0</v>
      </c>
      <c r="I96" s="17">
        <f t="shared" si="13"/>
        <v>0</v>
      </c>
      <c r="J96" s="18">
        <f t="shared" si="14"/>
        <v>0</v>
      </c>
      <c r="K96" s="18">
        <f t="shared" si="15"/>
        <v>0</v>
      </c>
      <c r="L96" s="18">
        <f t="shared" si="9"/>
        <v>40.090000000000003</v>
      </c>
      <c r="M96" s="18">
        <f t="shared" si="16"/>
        <v>0</v>
      </c>
      <c r="N96" s="18">
        <f t="shared" si="10"/>
        <v>40.090000000000003</v>
      </c>
      <c r="O96" s="8"/>
    </row>
    <row r="97" spans="1:15">
      <c r="A97" s="1" t="s">
        <v>87</v>
      </c>
      <c r="B97" s="11" t="s">
        <v>138</v>
      </c>
      <c r="C97" s="11">
        <v>0</v>
      </c>
      <c r="D97" s="11">
        <v>0</v>
      </c>
      <c r="E97" s="11">
        <v>0</v>
      </c>
      <c r="F97" s="83">
        <f>Table21623[[#This Row],[Usage]]</f>
        <v>0</v>
      </c>
      <c r="G97" s="17">
        <f t="shared" si="11"/>
        <v>11.79</v>
      </c>
      <c r="H97" s="17">
        <f t="shared" si="12"/>
        <v>0</v>
      </c>
      <c r="I97" s="17">
        <f t="shared" si="13"/>
        <v>0</v>
      </c>
      <c r="J97" s="18">
        <f t="shared" si="14"/>
        <v>0</v>
      </c>
      <c r="K97" s="18">
        <f t="shared" si="15"/>
        <v>0</v>
      </c>
      <c r="L97" s="18">
        <f t="shared" si="9"/>
        <v>11.79</v>
      </c>
      <c r="M97" s="18">
        <f t="shared" si="16"/>
        <v>0</v>
      </c>
      <c r="N97" s="18">
        <f t="shared" si="10"/>
        <v>11.79</v>
      </c>
      <c r="O97" s="8"/>
    </row>
    <row r="98" spans="1:15">
      <c r="A98" s="1" t="s">
        <v>88</v>
      </c>
      <c r="B98" s="11"/>
      <c r="C98" s="11">
        <v>1231000</v>
      </c>
      <c r="D98" s="11">
        <v>1231000</v>
      </c>
      <c r="E98" s="11">
        <v>0</v>
      </c>
      <c r="F98" s="83">
        <f>Table21623[[#This Row],[Usage]]</f>
        <v>0</v>
      </c>
      <c r="G98" s="17">
        <f t="shared" si="11"/>
        <v>40.090000000000003</v>
      </c>
      <c r="H98" s="17">
        <f t="shared" si="12"/>
        <v>0</v>
      </c>
      <c r="I98" s="17">
        <f t="shared" si="13"/>
        <v>0</v>
      </c>
      <c r="J98" s="18">
        <f t="shared" si="14"/>
        <v>0</v>
      </c>
      <c r="K98" s="18">
        <f t="shared" si="15"/>
        <v>0</v>
      </c>
      <c r="L98" s="18">
        <f t="shared" si="9"/>
        <v>40.090000000000003</v>
      </c>
      <c r="M98" s="18">
        <f t="shared" si="16"/>
        <v>0</v>
      </c>
      <c r="N98" s="18">
        <f t="shared" si="10"/>
        <v>40.090000000000003</v>
      </c>
      <c r="O98" s="8"/>
    </row>
    <row r="99" spans="1:15">
      <c r="A99" s="1" t="s">
        <v>89</v>
      </c>
      <c r="B99" s="11"/>
      <c r="C99" s="11">
        <v>2262000</v>
      </c>
      <c r="D99" s="11">
        <v>2262000</v>
      </c>
      <c r="E99" s="11">
        <v>0</v>
      </c>
      <c r="F99" s="83">
        <f>Table21623[[#This Row],[Usage]]</f>
        <v>4000</v>
      </c>
      <c r="G99" s="17">
        <f t="shared" si="11"/>
        <v>40.090000000000003</v>
      </c>
      <c r="H99" s="17">
        <f t="shared" si="12"/>
        <v>0</v>
      </c>
      <c r="I99" s="17">
        <f t="shared" si="13"/>
        <v>0</v>
      </c>
      <c r="J99" s="18">
        <f t="shared" si="14"/>
        <v>0</v>
      </c>
      <c r="K99" s="18">
        <f t="shared" si="15"/>
        <v>0</v>
      </c>
      <c r="L99" s="18">
        <f t="shared" si="9"/>
        <v>40.090000000000003</v>
      </c>
      <c r="M99" s="18">
        <f t="shared" si="16"/>
        <v>0</v>
      </c>
      <c r="N99" s="18">
        <f t="shared" si="10"/>
        <v>40.090000000000003</v>
      </c>
      <c r="O99" s="8"/>
    </row>
    <row r="100" spans="1:15">
      <c r="A100" s="1" t="s">
        <v>90</v>
      </c>
      <c r="B100" s="11"/>
      <c r="C100" s="11">
        <v>1240000</v>
      </c>
      <c r="D100" s="11">
        <v>1240000</v>
      </c>
      <c r="E100" s="11">
        <v>0</v>
      </c>
      <c r="F100" s="83">
        <f>Table21623[[#This Row],[Usage]]</f>
        <v>3000</v>
      </c>
      <c r="G100" s="17">
        <f t="shared" si="11"/>
        <v>40.090000000000003</v>
      </c>
      <c r="H100" s="17">
        <f t="shared" si="12"/>
        <v>0</v>
      </c>
      <c r="I100" s="17">
        <f t="shared" si="13"/>
        <v>0</v>
      </c>
      <c r="J100" s="18">
        <f t="shared" si="14"/>
        <v>0</v>
      </c>
      <c r="K100" s="18">
        <f t="shared" si="15"/>
        <v>0</v>
      </c>
      <c r="L100" s="18">
        <f t="shared" si="9"/>
        <v>40.090000000000003</v>
      </c>
      <c r="M100" s="18">
        <f t="shared" si="16"/>
        <v>0</v>
      </c>
      <c r="N100" s="18">
        <f t="shared" si="10"/>
        <v>40.090000000000003</v>
      </c>
      <c r="O100" s="8"/>
    </row>
    <row r="101" spans="1:15">
      <c r="A101" s="1" t="s">
        <v>91</v>
      </c>
      <c r="B101" s="11"/>
      <c r="C101" s="11">
        <v>254000</v>
      </c>
      <c r="D101" s="11">
        <v>254000</v>
      </c>
      <c r="E101" s="11">
        <v>0</v>
      </c>
      <c r="F101" s="83">
        <f>Table21623[[#This Row],[Usage]]</f>
        <v>3000</v>
      </c>
      <c r="G101" s="17">
        <f t="shared" si="11"/>
        <v>40.090000000000003</v>
      </c>
      <c r="H101" s="17">
        <f t="shared" si="12"/>
        <v>0</v>
      </c>
      <c r="I101" s="17">
        <f t="shared" si="13"/>
        <v>0</v>
      </c>
      <c r="J101" s="18">
        <f t="shared" si="14"/>
        <v>0</v>
      </c>
      <c r="K101" s="18">
        <f t="shared" si="15"/>
        <v>0</v>
      </c>
      <c r="L101" s="18">
        <f t="shared" si="9"/>
        <v>40.090000000000003</v>
      </c>
      <c r="M101" s="18">
        <f t="shared" si="16"/>
        <v>0</v>
      </c>
      <c r="N101" s="18">
        <f t="shared" si="10"/>
        <v>40.090000000000003</v>
      </c>
      <c r="O101" s="8"/>
    </row>
    <row r="102" spans="1:15">
      <c r="A102" s="1" t="s">
        <v>92</v>
      </c>
      <c r="B102" s="11"/>
      <c r="C102" s="11">
        <v>2518000</v>
      </c>
      <c r="D102" s="11">
        <v>2518000</v>
      </c>
      <c r="E102" s="11">
        <v>0</v>
      </c>
      <c r="F102" s="83">
        <f>Table21623[[#This Row],[Usage]]</f>
        <v>5000</v>
      </c>
      <c r="G102" s="17">
        <f t="shared" si="11"/>
        <v>40.090000000000003</v>
      </c>
      <c r="H102" s="17">
        <f t="shared" si="12"/>
        <v>0</v>
      </c>
      <c r="I102" s="17">
        <f t="shared" si="13"/>
        <v>0</v>
      </c>
      <c r="J102" s="18">
        <f t="shared" si="14"/>
        <v>0</v>
      </c>
      <c r="K102" s="18">
        <f t="shared" si="15"/>
        <v>0</v>
      </c>
      <c r="L102" s="18">
        <f t="shared" si="9"/>
        <v>40.090000000000003</v>
      </c>
      <c r="M102" s="18">
        <f t="shared" si="16"/>
        <v>0</v>
      </c>
      <c r="N102" s="18">
        <f t="shared" si="10"/>
        <v>40.090000000000003</v>
      </c>
      <c r="O102" s="8"/>
    </row>
    <row r="103" spans="1:15">
      <c r="A103" s="1" t="s">
        <v>93</v>
      </c>
      <c r="B103" s="11" t="s">
        <v>138</v>
      </c>
      <c r="C103" s="11">
        <v>0</v>
      </c>
      <c r="D103" s="11">
        <v>0</v>
      </c>
      <c r="E103" s="11">
        <v>0</v>
      </c>
      <c r="F103" s="83">
        <f>Table21623[[#This Row],[Usage]]</f>
        <v>0</v>
      </c>
      <c r="G103" s="17">
        <f t="shared" si="11"/>
        <v>11.79</v>
      </c>
      <c r="H103" s="17">
        <f t="shared" si="12"/>
        <v>0</v>
      </c>
      <c r="I103" s="17">
        <f t="shared" si="13"/>
        <v>0</v>
      </c>
      <c r="J103" s="18">
        <f t="shared" si="14"/>
        <v>0</v>
      </c>
      <c r="K103" s="18">
        <f t="shared" si="15"/>
        <v>0</v>
      </c>
      <c r="L103" s="18">
        <f t="shared" si="9"/>
        <v>11.79</v>
      </c>
      <c r="M103" s="18">
        <f t="shared" si="16"/>
        <v>0</v>
      </c>
      <c r="N103" s="18">
        <f t="shared" si="10"/>
        <v>11.79</v>
      </c>
      <c r="O103" s="8"/>
    </row>
    <row r="104" spans="1:15">
      <c r="A104" s="1" t="s">
        <v>94</v>
      </c>
      <c r="B104" s="11" t="s">
        <v>138</v>
      </c>
      <c r="C104" s="11">
        <v>0</v>
      </c>
      <c r="D104" s="11">
        <v>0</v>
      </c>
      <c r="E104" s="11">
        <v>0</v>
      </c>
      <c r="F104" s="83">
        <f>Table21623[[#This Row],[Usage]]</f>
        <v>0</v>
      </c>
      <c r="G104" s="17">
        <f t="shared" si="11"/>
        <v>11.79</v>
      </c>
      <c r="H104" s="17">
        <f t="shared" si="12"/>
        <v>0</v>
      </c>
      <c r="I104" s="17">
        <f t="shared" si="13"/>
        <v>0</v>
      </c>
      <c r="J104" s="18">
        <f t="shared" si="14"/>
        <v>0</v>
      </c>
      <c r="K104" s="18">
        <f t="shared" si="15"/>
        <v>0</v>
      </c>
      <c r="L104" s="18">
        <f t="shared" si="9"/>
        <v>11.79</v>
      </c>
      <c r="M104" s="18">
        <f t="shared" si="16"/>
        <v>0</v>
      </c>
      <c r="N104" s="18">
        <f t="shared" si="10"/>
        <v>11.79</v>
      </c>
      <c r="O104" s="8"/>
    </row>
    <row r="105" spans="1:15">
      <c r="A105" s="1" t="s">
        <v>95</v>
      </c>
      <c r="B105" s="11" t="s">
        <v>138</v>
      </c>
      <c r="C105" s="11">
        <v>0</v>
      </c>
      <c r="D105" s="11">
        <v>0</v>
      </c>
      <c r="E105" s="11">
        <v>0</v>
      </c>
      <c r="F105" s="83">
        <f>Table21623[[#This Row],[Usage]]</f>
        <v>0</v>
      </c>
      <c r="G105" s="17">
        <f t="shared" si="11"/>
        <v>11.79</v>
      </c>
      <c r="H105" s="17">
        <f t="shared" si="12"/>
        <v>0</v>
      </c>
      <c r="I105" s="17">
        <f t="shared" si="13"/>
        <v>0</v>
      </c>
      <c r="J105" s="18">
        <f t="shared" si="14"/>
        <v>0</v>
      </c>
      <c r="K105" s="18">
        <f t="shared" si="15"/>
        <v>0</v>
      </c>
      <c r="L105" s="18">
        <f t="shared" si="9"/>
        <v>11.79</v>
      </c>
      <c r="M105" s="18">
        <f t="shared" si="16"/>
        <v>0</v>
      </c>
      <c r="N105" s="18">
        <f t="shared" si="10"/>
        <v>11.79</v>
      </c>
      <c r="O105" s="8"/>
    </row>
    <row r="106" spans="1:15">
      <c r="A106" s="1" t="s">
        <v>96</v>
      </c>
      <c r="B106" s="11"/>
      <c r="C106" s="11">
        <v>1842000</v>
      </c>
      <c r="D106" s="11">
        <v>1842000</v>
      </c>
      <c r="E106" s="11">
        <v>0</v>
      </c>
      <c r="F106" s="83">
        <f>Table21623[[#This Row],[Usage]]</f>
        <v>5000</v>
      </c>
      <c r="G106" s="17">
        <f t="shared" si="11"/>
        <v>40.090000000000003</v>
      </c>
      <c r="H106" s="17">
        <f t="shared" si="12"/>
        <v>0</v>
      </c>
      <c r="I106" s="17">
        <f t="shared" si="13"/>
        <v>0</v>
      </c>
      <c r="J106" s="18">
        <f t="shared" si="14"/>
        <v>0</v>
      </c>
      <c r="K106" s="18">
        <f t="shared" si="15"/>
        <v>0</v>
      </c>
      <c r="L106" s="18">
        <f t="shared" si="9"/>
        <v>40.090000000000003</v>
      </c>
      <c r="M106" s="18">
        <f t="shared" si="16"/>
        <v>0</v>
      </c>
      <c r="N106" s="18">
        <f t="shared" si="10"/>
        <v>40.090000000000003</v>
      </c>
      <c r="O106" s="8"/>
    </row>
    <row r="107" spans="1:15">
      <c r="A107" s="1" t="s">
        <v>97</v>
      </c>
      <c r="B107" s="11" t="s">
        <v>138</v>
      </c>
      <c r="C107" s="11">
        <v>0</v>
      </c>
      <c r="D107" s="11">
        <v>0</v>
      </c>
      <c r="E107" s="11">
        <v>0</v>
      </c>
      <c r="F107" s="83">
        <f>Table21623[[#This Row],[Usage]]</f>
        <v>0</v>
      </c>
      <c r="G107" s="17">
        <f t="shared" si="11"/>
        <v>11.79</v>
      </c>
      <c r="H107" s="17">
        <f t="shared" si="12"/>
        <v>0</v>
      </c>
      <c r="I107" s="17">
        <f t="shared" si="13"/>
        <v>0</v>
      </c>
      <c r="J107" s="18">
        <f t="shared" si="14"/>
        <v>0</v>
      </c>
      <c r="K107" s="18">
        <f t="shared" si="15"/>
        <v>0</v>
      </c>
      <c r="L107" s="18">
        <f t="shared" si="9"/>
        <v>11.79</v>
      </c>
      <c r="M107" s="18">
        <f t="shared" si="16"/>
        <v>0</v>
      </c>
      <c r="N107" s="18">
        <f t="shared" si="10"/>
        <v>11.79</v>
      </c>
      <c r="O107" s="8"/>
    </row>
    <row r="108" spans="1:15">
      <c r="A108" s="1" t="s">
        <v>98</v>
      </c>
      <c r="B108" s="11" t="s">
        <v>138</v>
      </c>
      <c r="C108" s="11">
        <v>0</v>
      </c>
      <c r="D108" s="11">
        <v>0</v>
      </c>
      <c r="E108" s="11">
        <v>0</v>
      </c>
      <c r="F108" s="83">
        <f>Table21623[[#This Row],[Usage]]</f>
        <v>0</v>
      </c>
      <c r="G108" s="17">
        <f t="shared" si="11"/>
        <v>11.79</v>
      </c>
      <c r="H108" s="17">
        <f t="shared" si="12"/>
        <v>0</v>
      </c>
      <c r="I108" s="17">
        <f t="shared" si="13"/>
        <v>0</v>
      </c>
      <c r="J108" s="18">
        <f t="shared" si="14"/>
        <v>0</v>
      </c>
      <c r="K108" s="18">
        <f t="shared" si="15"/>
        <v>0</v>
      </c>
      <c r="L108" s="18">
        <f t="shared" si="9"/>
        <v>11.79</v>
      </c>
      <c r="M108" s="18">
        <f t="shared" si="16"/>
        <v>0</v>
      </c>
      <c r="N108" s="18">
        <f t="shared" si="10"/>
        <v>11.79</v>
      </c>
      <c r="O108" s="8"/>
    </row>
    <row r="109" spans="1:15">
      <c r="A109" s="1" t="s">
        <v>99</v>
      </c>
      <c r="B109" s="11"/>
      <c r="C109" s="11">
        <v>1662000</v>
      </c>
      <c r="D109" s="11">
        <v>1662000</v>
      </c>
      <c r="E109" s="11">
        <v>0</v>
      </c>
      <c r="F109" s="83">
        <f>Table21623[[#This Row],[Usage]]</f>
        <v>5000</v>
      </c>
      <c r="G109" s="17">
        <f t="shared" si="11"/>
        <v>40.090000000000003</v>
      </c>
      <c r="H109" s="17">
        <f t="shared" si="12"/>
        <v>0</v>
      </c>
      <c r="I109" s="17">
        <f t="shared" si="13"/>
        <v>0</v>
      </c>
      <c r="J109" s="18">
        <f t="shared" si="14"/>
        <v>0</v>
      </c>
      <c r="K109" s="18">
        <f t="shared" si="15"/>
        <v>0</v>
      </c>
      <c r="L109" s="18">
        <f t="shared" si="9"/>
        <v>40.090000000000003</v>
      </c>
      <c r="M109" s="18">
        <f t="shared" si="16"/>
        <v>0</v>
      </c>
      <c r="N109" s="18">
        <f t="shared" si="10"/>
        <v>40.090000000000003</v>
      </c>
      <c r="O109" s="8"/>
    </row>
    <row r="110" spans="1:15">
      <c r="A110" s="1" t="s">
        <v>100</v>
      </c>
      <c r="B110" s="11"/>
      <c r="C110" s="11">
        <v>515000</v>
      </c>
      <c r="D110" s="11">
        <v>515000</v>
      </c>
      <c r="E110" s="11">
        <v>0</v>
      </c>
      <c r="F110" s="83">
        <f>Table21623[[#This Row],[Usage]]</f>
        <v>5000</v>
      </c>
      <c r="G110" s="17">
        <f t="shared" si="11"/>
        <v>40.090000000000003</v>
      </c>
      <c r="H110" s="17">
        <f t="shared" si="12"/>
        <v>0</v>
      </c>
      <c r="I110" s="17">
        <f t="shared" si="13"/>
        <v>0</v>
      </c>
      <c r="J110" s="18">
        <f t="shared" si="14"/>
        <v>0</v>
      </c>
      <c r="K110" s="18">
        <f t="shared" si="15"/>
        <v>0</v>
      </c>
      <c r="L110" s="18">
        <f t="shared" si="9"/>
        <v>40.090000000000003</v>
      </c>
      <c r="M110" s="18">
        <f t="shared" si="16"/>
        <v>0</v>
      </c>
      <c r="N110" s="18">
        <f t="shared" si="10"/>
        <v>40.090000000000003</v>
      </c>
      <c r="O110" s="8"/>
    </row>
    <row r="111" spans="1:15">
      <c r="A111" s="1" t="s">
        <v>101</v>
      </c>
      <c r="B111" s="11"/>
      <c r="C111" s="11">
        <v>4548000</v>
      </c>
      <c r="D111" s="11">
        <v>4548000</v>
      </c>
      <c r="E111" s="11">
        <v>0</v>
      </c>
      <c r="F111" s="83">
        <f>Table21623[[#This Row],[Usage]]</f>
        <v>3000</v>
      </c>
      <c r="G111" s="17">
        <f t="shared" si="11"/>
        <v>40.090000000000003</v>
      </c>
      <c r="H111" s="17">
        <f t="shared" si="12"/>
        <v>0</v>
      </c>
      <c r="I111" s="17">
        <f t="shared" si="13"/>
        <v>0</v>
      </c>
      <c r="J111" s="18">
        <f t="shared" si="14"/>
        <v>0</v>
      </c>
      <c r="K111" s="18">
        <f t="shared" si="15"/>
        <v>0</v>
      </c>
      <c r="L111" s="18">
        <f t="shared" si="9"/>
        <v>40.090000000000003</v>
      </c>
      <c r="M111" s="18">
        <f t="shared" si="16"/>
        <v>0</v>
      </c>
      <c r="N111" s="18">
        <f t="shared" si="10"/>
        <v>40.090000000000003</v>
      </c>
      <c r="O111" s="8"/>
    </row>
    <row r="112" spans="1:15">
      <c r="A112" s="1" t="s">
        <v>102</v>
      </c>
      <c r="B112" s="11" t="s">
        <v>138</v>
      </c>
      <c r="C112" s="11">
        <v>0</v>
      </c>
      <c r="D112" s="11">
        <v>0</v>
      </c>
      <c r="E112" s="11">
        <v>0</v>
      </c>
      <c r="F112" s="83">
        <f>Table21623[[#This Row],[Usage]]</f>
        <v>0</v>
      </c>
      <c r="G112" s="17">
        <f t="shared" si="11"/>
        <v>11.79</v>
      </c>
      <c r="H112" s="17">
        <f t="shared" si="12"/>
        <v>0</v>
      </c>
      <c r="I112" s="17">
        <f t="shared" si="13"/>
        <v>0</v>
      </c>
      <c r="J112" s="18">
        <f t="shared" si="14"/>
        <v>0</v>
      </c>
      <c r="K112" s="18">
        <f t="shared" si="15"/>
        <v>0</v>
      </c>
      <c r="L112" s="18">
        <f t="shared" si="9"/>
        <v>11.79</v>
      </c>
      <c r="M112" s="18">
        <f t="shared" si="16"/>
        <v>0</v>
      </c>
      <c r="N112" s="18">
        <f t="shared" si="10"/>
        <v>11.79</v>
      </c>
      <c r="O112" s="8"/>
    </row>
    <row r="113" spans="1:15">
      <c r="A113" s="1" t="s">
        <v>103</v>
      </c>
      <c r="B113" s="11"/>
      <c r="C113" s="11">
        <v>1201000</v>
      </c>
      <c r="D113" s="11">
        <v>1201000</v>
      </c>
      <c r="E113" s="11">
        <v>0</v>
      </c>
      <c r="F113" s="83">
        <f>Table21623[[#This Row],[Usage]]</f>
        <v>7000</v>
      </c>
      <c r="G113" s="17">
        <f t="shared" si="11"/>
        <v>40.090000000000003</v>
      </c>
      <c r="H113" s="17">
        <f t="shared" si="12"/>
        <v>0</v>
      </c>
      <c r="I113" s="17">
        <f t="shared" si="13"/>
        <v>0</v>
      </c>
      <c r="J113" s="18">
        <f t="shared" si="14"/>
        <v>0</v>
      </c>
      <c r="K113" s="18">
        <f t="shared" si="15"/>
        <v>0</v>
      </c>
      <c r="L113" s="18">
        <f t="shared" si="9"/>
        <v>40.090000000000003</v>
      </c>
      <c r="M113" s="18">
        <f t="shared" ref="M113:M136" si="17">IF(   $H$5=1,    IF((F113-$H$6)&gt;0,((F113-$H$6)/$N$7)*$E$8,0),   IF(F113&gt;0,(F113/$N$4)*$E$8,0)    )</f>
        <v>0</v>
      </c>
      <c r="N113" s="18">
        <f t="shared" si="10"/>
        <v>40.090000000000003</v>
      </c>
      <c r="O113" s="8"/>
    </row>
    <row r="114" spans="1:15">
      <c r="A114" s="1" t="s">
        <v>104</v>
      </c>
      <c r="B114" s="11" t="s">
        <v>138</v>
      </c>
      <c r="C114" s="11">
        <v>0</v>
      </c>
      <c r="D114" s="11">
        <v>0</v>
      </c>
      <c r="E114" s="11">
        <v>0</v>
      </c>
      <c r="F114" s="83">
        <f>Table21623[[#This Row],[Usage]]</f>
        <v>0</v>
      </c>
      <c r="G114" s="17">
        <f t="shared" si="11"/>
        <v>11.79</v>
      </c>
      <c r="H114" s="17">
        <f t="shared" si="12"/>
        <v>0</v>
      </c>
      <c r="I114" s="17">
        <f t="shared" si="13"/>
        <v>0</v>
      </c>
      <c r="J114" s="18">
        <f t="shared" si="14"/>
        <v>0</v>
      </c>
      <c r="K114" s="18">
        <f t="shared" si="15"/>
        <v>0</v>
      </c>
      <c r="L114" s="18">
        <f t="shared" si="9"/>
        <v>11.79</v>
      </c>
      <c r="M114" s="18">
        <f t="shared" si="17"/>
        <v>0</v>
      </c>
      <c r="N114" s="18">
        <f t="shared" si="10"/>
        <v>11.79</v>
      </c>
      <c r="O114" s="8"/>
    </row>
    <row r="115" spans="1:15">
      <c r="A115" s="1" t="s">
        <v>105</v>
      </c>
      <c r="B115" s="11"/>
      <c r="C115" s="11">
        <v>1467000</v>
      </c>
      <c r="D115" s="11">
        <v>1467000</v>
      </c>
      <c r="E115" s="11">
        <v>0</v>
      </c>
      <c r="F115" s="83">
        <f>Table21623[[#This Row],[Usage]]</f>
        <v>3000</v>
      </c>
      <c r="G115" s="17">
        <f t="shared" si="11"/>
        <v>40.090000000000003</v>
      </c>
      <c r="H115" s="17">
        <f t="shared" si="12"/>
        <v>0</v>
      </c>
      <c r="I115" s="17">
        <f t="shared" si="13"/>
        <v>0</v>
      </c>
      <c r="J115" s="18">
        <f t="shared" si="14"/>
        <v>0</v>
      </c>
      <c r="K115" s="18">
        <f t="shared" si="15"/>
        <v>0</v>
      </c>
      <c r="L115" s="18">
        <f t="shared" si="9"/>
        <v>40.090000000000003</v>
      </c>
      <c r="M115" s="18">
        <f t="shared" si="17"/>
        <v>0</v>
      </c>
      <c r="N115" s="18">
        <f t="shared" si="10"/>
        <v>40.090000000000003</v>
      </c>
      <c r="O115" s="8"/>
    </row>
    <row r="116" spans="1:15">
      <c r="A116" s="1" t="s">
        <v>106</v>
      </c>
      <c r="B116" s="11"/>
      <c r="C116" s="11">
        <v>1791000</v>
      </c>
      <c r="D116" s="11">
        <v>1791000</v>
      </c>
      <c r="E116" s="11">
        <v>0</v>
      </c>
      <c r="F116" s="83">
        <f>Table21623[[#This Row],[Usage]]</f>
        <v>1000</v>
      </c>
      <c r="G116" s="17">
        <f t="shared" si="11"/>
        <v>40.090000000000003</v>
      </c>
      <c r="H116" s="17">
        <f t="shared" si="12"/>
        <v>0</v>
      </c>
      <c r="I116" s="17">
        <f t="shared" si="13"/>
        <v>0</v>
      </c>
      <c r="J116" s="18">
        <f t="shared" si="14"/>
        <v>0</v>
      </c>
      <c r="K116" s="18">
        <f t="shared" si="15"/>
        <v>0</v>
      </c>
      <c r="L116" s="18">
        <f t="shared" si="9"/>
        <v>40.090000000000003</v>
      </c>
      <c r="M116" s="18">
        <f t="shared" si="17"/>
        <v>0</v>
      </c>
      <c r="N116" s="18">
        <f t="shared" si="10"/>
        <v>40.090000000000003</v>
      </c>
      <c r="O116" s="8"/>
    </row>
    <row r="117" spans="1:15">
      <c r="A117" s="1" t="s">
        <v>107</v>
      </c>
      <c r="B117" s="11"/>
      <c r="C117" s="11">
        <v>322000</v>
      </c>
      <c r="D117" s="11">
        <v>322000</v>
      </c>
      <c r="E117" s="11">
        <v>0</v>
      </c>
      <c r="F117" s="83">
        <f>Table21623[[#This Row],[Usage]]</f>
        <v>3000</v>
      </c>
      <c r="G117" s="17">
        <f t="shared" si="11"/>
        <v>40.090000000000003</v>
      </c>
      <c r="H117" s="17">
        <f t="shared" si="12"/>
        <v>0</v>
      </c>
      <c r="I117" s="17">
        <f t="shared" si="13"/>
        <v>0</v>
      </c>
      <c r="J117" s="18">
        <f t="shared" si="14"/>
        <v>0</v>
      </c>
      <c r="K117" s="18">
        <f t="shared" si="15"/>
        <v>0</v>
      </c>
      <c r="L117" s="18">
        <f t="shared" si="9"/>
        <v>40.090000000000003</v>
      </c>
      <c r="M117" s="18">
        <f t="shared" si="17"/>
        <v>0</v>
      </c>
      <c r="N117" s="18">
        <f t="shared" si="10"/>
        <v>40.090000000000003</v>
      </c>
      <c r="O117" s="8"/>
    </row>
    <row r="118" spans="1:15">
      <c r="A118" s="1" t="s">
        <v>108</v>
      </c>
      <c r="B118" s="11"/>
      <c r="C118" s="11">
        <v>2588000</v>
      </c>
      <c r="D118" s="11">
        <v>2588000</v>
      </c>
      <c r="E118" s="11">
        <v>0</v>
      </c>
      <c r="F118" s="83">
        <f>Table21623[[#This Row],[Usage]]</f>
        <v>7000</v>
      </c>
      <c r="G118" s="17">
        <f t="shared" si="11"/>
        <v>40.090000000000003</v>
      </c>
      <c r="H118" s="17">
        <f t="shared" si="12"/>
        <v>0</v>
      </c>
      <c r="I118" s="17">
        <f t="shared" si="13"/>
        <v>0</v>
      </c>
      <c r="J118" s="18">
        <f t="shared" si="14"/>
        <v>0</v>
      </c>
      <c r="K118" s="18">
        <f t="shared" si="15"/>
        <v>0</v>
      </c>
      <c r="L118" s="18">
        <f t="shared" si="9"/>
        <v>40.090000000000003</v>
      </c>
      <c r="M118" s="18">
        <f t="shared" si="17"/>
        <v>0</v>
      </c>
      <c r="N118" s="18">
        <f t="shared" si="10"/>
        <v>40.090000000000003</v>
      </c>
      <c r="O118" s="8"/>
    </row>
    <row r="119" spans="1:15">
      <c r="A119" s="1" t="s">
        <v>109</v>
      </c>
      <c r="B119" s="11" t="s">
        <v>138</v>
      </c>
      <c r="C119" s="11">
        <v>0</v>
      </c>
      <c r="D119" s="11">
        <v>0</v>
      </c>
      <c r="E119" s="11">
        <v>0</v>
      </c>
      <c r="F119" s="83">
        <f>Table21623[[#This Row],[Usage]]</f>
        <v>0</v>
      </c>
      <c r="G119" s="17">
        <f t="shared" si="11"/>
        <v>11.79</v>
      </c>
      <c r="H119" s="17">
        <f t="shared" si="12"/>
        <v>0</v>
      </c>
      <c r="I119" s="17">
        <f t="shared" si="13"/>
        <v>0</v>
      </c>
      <c r="J119" s="18">
        <f t="shared" si="14"/>
        <v>0</v>
      </c>
      <c r="K119" s="18">
        <f t="shared" si="15"/>
        <v>0</v>
      </c>
      <c r="L119" s="18">
        <f t="shared" si="9"/>
        <v>11.79</v>
      </c>
      <c r="M119" s="18">
        <f t="shared" si="17"/>
        <v>0</v>
      </c>
      <c r="N119" s="18">
        <f t="shared" si="10"/>
        <v>11.79</v>
      </c>
      <c r="O119" s="8"/>
    </row>
    <row r="120" spans="1:15">
      <c r="A120" s="1" t="s">
        <v>110</v>
      </c>
      <c r="B120" s="11"/>
      <c r="C120" s="11">
        <v>3793000</v>
      </c>
      <c r="D120" s="11">
        <v>3793000</v>
      </c>
      <c r="E120" s="11">
        <v>0</v>
      </c>
      <c r="F120" s="83">
        <f>Table21623[[#This Row],[Usage]]</f>
        <v>14000</v>
      </c>
      <c r="G120" s="17">
        <f t="shared" si="11"/>
        <v>40.090000000000003</v>
      </c>
      <c r="H120" s="17">
        <f t="shared" si="12"/>
        <v>8.7200000000000006</v>
      </c>
      <c r="I120" s="17">
        <f t="shared" si="13"/>
        <v>0</v>
      </c>
      <c r="J120" s="18">
        <f t="shared" si="14"/>
        <v>0</v>
      </c>
      <c r="K120" s="18">
        <f t="shared" si="15"/>
        <v>0</v>
      </c>
      <c r="L120" s="18">
        <f t="shared" si="9"/>
        <v>48.81</v>
      </c>
      <c r="M120" s="18">
        <f t="shared" si="17"/>
        <v>0</v>
      </c>
      <c r="N120" s="18">
        <f t="shared" si="10"/>
        <v>48.81</v>
      </c>
      <c r="O120" s="8"/>
    </row>
    <row r="121" spans="1:15">
      <c r="A121" s="1" t="s">
        <v>111</v>
      </c>
      <c r="B121" s="11"/>
      <c r="C121" s="11">
        <v>3508000</v>
      </c>
      <c r="D121" s="11">
        <v>3508000</v>
      </c>
      <c r="E121" s="11">
        <v>0</v>
      </c>
      <c r="F121" s="83">
        <f>Table21623[[#This Row],[Usage]]</f>
        <v>5000</v>
      </c>
      <c r="G121" s="17">
        <f t="shared" si="11"/>
        <v>40.090000000000003</v>
      </c>
      <c r="H121" s="17">
        <f t="shared" si="12"/>
        <v>0</v>
      </c>
      <c r="I121" s="17">
        <f t="shared" si="13"/>
        <v>0</v>
      </c>
      <c r="J121" s="18">
        <f t="shared" si="14"/>
        <v>0</v>
      </c>
      <c r="K121" s="18">
        <f t="shared" si="15"/>
        <v>0</v>
      </c>
      <c r="L121" s="18">
        <f t="shared" si="9"/>
        <v>40.090000000000003</v>
      </c>
      <c r="M121" s="18">
        <f t="shared" si="17"/>
        <v>0</v>
      </c>
      <c r="N121" s="18">
        <f t="shared" si="10"/>
        <v>40.090000000000003</v>
      </c>
      <c r="O121" s="8"/>
    </row>
    <row r="122" spans="1:15">
      <c r="A122" s="1" t="s">
        <v>112</v>
      </c>
      <c r="B122" s="11"/>
      <c r="C122" s="11">
        <v>341000</v>
      </c>
      <c r="D122" s="11">
        <v>341000</v>
      </c>
      <c r="E122" s="11">
        <v>0</v>
      </c>
      <c r="F122" s="83">
        <f>Table21623[[#This Row],[Usage]]</f>
        <v>3000</v>
      </c>
      <c r="G122" s="17">
        <f t="shared" si="11"/>
        <v>40.090000000000003</v>
      </c>
      <c r="H122" s="17">
        <f t="shared" si="12"/>
        <v>0</v>
      </c>
      <c r="I122" s="17">
        <f t="shared" si="13"/>
        <v>0</v>
      </c>
      <c r="J122" s="18">
        <f t="shared" si="14"/>
        <v>0</v>
      </c>
      <c r="K122" s="18">
        <f t="shared" si="15"/>
        <v>0</v>
      </c>
      <c r="L122" s="18">
        <f t="shared" si="9"/>
        <v>40.090000000000003</v>
      </c>
      <c r="M122" s="18">
        <f t="shared" si="17"/>
        <v>0</v>
      </c>
      <c r="N122" s="18">
        <f t="shared" si="10"/>
        <v>40.090000000000003</v>
      </c>
      <c r="O122" s="8"/>
    </row>
    <row r="123" spans="1:15">
      <c r="A123" s="1" t="s">
        <v>113</v>
      </c>
      <c r="B123" s="11"/>
      <c r="C123" s="11">
        <v>1443000</v>
      </c>
      <c r="D123" s="11">
        <v>1443000</v>
      </c>
      <c r="E123" s="11">
        <v>0</v>
      </c>
      <c r="F123" s="83">
        <f>Table21623[[#This Row],[Usage]]</f>
        <v>6000</v>
      </c>
      <c r="G123" s="17">
        <f t="shared" si="11"/>
        <v>40.090000000000003</v>
      </c>
      <c r="H123" s="17">
        <f t="shared" si="12"/>
        <v>0</v>
      </c>
      <c r="I123" s="17">
        <f t="shared" si="13"/>
        <v>0</v>
      </c>
      <c r="J123" s="18">
        <f t="shared" si="14"/>
        <v>0</v>
      </c>
      <c r="K123" s="18">
        <f t="shared" si="15"/>
        <v>0</v>
      </c>
      <c r="L123" s="18">
        <f t="shared" si="9"/>
        <v>40.090000000000003</v>
      </c>
      <c r="M123" s="18">
        <f t="shared" si="17"/>
        <v>0</v>
      </c>
      <c r="N123" s="18">
        <f t="shared" si="10"/>
        <v>40.090000000000003</v>
      </c>
      <c r="O123" s="8"/>
    </row>
    <row r="124" spans="1:15">
      <c r="A124" s="1" t="s">
        <v>114</v>
      </c>
      <c r="B124" s="11"/>
      <c r="C124" s="11">
        <v>2578000</v>
      </c>
      <c r="D124" s="11">
        <v>2578000</v>
      </c>
      <c r="E124" s="11">
        <v>0</v>
      </c>
      <c r="F124" s="83">
        <f>Table21623[[#This Row],[Usage]]</f>
        <v>3000</v>
      </c>
      <c r="G124" s="17">
        <f t="shared" si="11"/>
        <v>40.090000000000003</v>
      </c>
      <c r="H124" s="17">
        <f t="shared" si="12"/>
        <v>0</v>
      </c>
      <c r="I124" s="17">
        <f t="shared" si="13"/>
        <v>0</v>
      </c>
      <c r="J124" s="18">
        <f t="shared" si="14"/>
        <v>0</v>
      </c>
      <c r="K124" s="18">
        <f t="shared" si="15"/>
        <v>0</v>
      </c>
      <c r="L124" s="18">
        <f t="shared" si="9"/>
        <v>40.090000000000003</v>
      </c>
      <c r="M124" s="18">
        <f t="shared" si="17"/>
        <v>0</v>
      </c>
      <c r="N124" s="18">
        <f t="shared" si="10"/>
        <v>40.090000000000003</v>
      </c>
      <c r="O124" s="8"/>
    </row>
    <row r="125" spans="1:15">
      <c r="A125" s="1" t="s">
        <v>115</v>
      </c>
      <c r="B125" s="11"/>
      <c r="C125" s="11">
        <v>2468000</v>
      </c>
      <c r="D125" s="11">
        <v>2468000</v>
      </c>
      <c r="E125" s="11">
        <v>0</v>
      </c>
      <c r="F125" s="83">
        <f>Table21623[[#This Row],[Usage]]</f>
        <v>11000</v>
      </c>
      <c r="G125" s="17">
        <f t="shared" si="11"/>
        <v>40.090000000000003</v>
      </c>
      <c r="H125" s="17">
        <f t="shared" si="12"/>
        <v>2.1800000000000002</v>
      </c>
      <c r="I125" s="17">
        <f t="shared" si="13"/>
        <v>0</v>
      </c>
      <c r="J125" s="18">
        <f t="shared" si="14"/>
        <v>0</v>
      </c>
      <c r="K125" s="18">
        <f t="shared" si="15"/>
        <v>0</v>
      </c>
      <c r="L125" s="18">
        <f t="shared" si="9"/>
        <v>42.27</v>
      </c>
      <c r="M125" s="18">
        <f t="shared" si="17"/>
        <v>0</v>
      </c>
      <c r="N125" s="18">
        <f t="shared" si="10"/>
        <v>42.27</v>
      </c>
      <c r="O125" s="8"/>
    </row>
    <row r="126" spans="1:15">
      <c r="A126" s="1" t="s">
        <v>116</v>
      </c>
      <c r="B126" s="11"/>
      <c r="C126" s="11">
        <v>4257000</v>
      </c>
      <c r="D126" s="11">
        <v>4257000</v>
      </c>
      <c r="E126" s="11">
        <v>0</v>
      </c>
      <c r="F126" s="83">
        <f>Table21623[[#This Row],[Usage]]</f>
        <v>2000</v>
      </c>
      <c r="G126" s="17">
        <f t="shared" si="11"/>
        <v>40.090000000000003</v>
      </c>
      <c r="H126" s="17">
        <f t="shared" si="12"/>
        <v>0</v>
      </c>
      <c r="I126" s="17">
        <f t="shared" si="13"/>
        <v>0</v>
      </c>
      <c r="J126" s="18">
        <f t="shared" si="14"/>
        <v>0</v>
      </c>
      <c r="K126" s="18">
        <f t="shared" si="15"/>
        <v>0</v>
      </c>
      <c r="L126" s="18">
        <f t="shared" si="9"/>
        <v>40.090000000000003</v>
      </c>
      <c r="M126" s="18">
        <f t="shared" si="17"/>
        <v>0</v>
      </c>
      <c r="N126" s="18">
        <f t="shared" si="10"/>
        <v>40.090000000000003</v>
      </c>
      <c r="O126" s="8"/>
    </row>
    <row r="127" spans="1:15">
      <c r="A127" s="1" t="s">
        <v>117</v>
      </c>
      <c r="B127" s="11"/>
      <c r="C127" s="11">
        <v>1890000</v>
      </c>
      <c r="D127" s="11">
        <v>1890000</v>
      </c>
      <c r="E127" s="11">
        <v>0</v>
      </c>
      <c r="F127" s="83">
        <f>Table21623[[#This Row],[Usage]]</f>
        <v>7000</v>
      </c>
      <c r="G127" s="17">
        <f t="shared" si="11"/>
        <v>40.090000000000003</v>
      </c>
      <c r="H127" s="17">
        <f t="shared" si="12"/>
        <v>0</v>
      </c>
      <c r="I127" s="17">
        <f t="shared" si="13"/>
        <v>0</v>
      </c>
      <c r="J127" s="18">
        <f t="shared" si="14"/>
        <v>0</v>
      </c>
      <c r="K127" s="18">
        <f t="shared" si="15"/>
        <v>0</v>
      </c>
      <c r="L127" s="18">
        <f t="shared" si="9"/>
        <v>40.090000000000003</v>
      </c>
      <c r="M127" s="18">
        <f t="shared" si="17"/>
        <v>0</v>
      </c>
      <c r="N127" s="18">
        <f t="shared" si="10"/>
        <v>40.090000000000003</v>
      </c>
      <c r="O127" s="8"/>
    </row>
    <row r="128" spans="1:15">
      <c r="A128" s="1" t="s">
        <v>118</v>
      </c>
      <c r="B128" s="11"/>
      <c r="C128" s="11">
        <v>1179000</v>
      </c>
      <c r="D128" s="11">
        <v>1179000</v>
      </c>
      <c r="E128" s="11">
        <v>0</v>
      </c>
      <c r="F128" s="83">
        <f>Table21623[[#This Row],[Usage]]</f>
        <v>8000</v>
      </c>
      <c r="G128" s="17">
        <f t="shared" si="11"/>
        <v>40.090000000000003</v>
      </c>
      <c r="H128" s="17">
        <f t="shared" si="12"/>
        <v>0</v>
      </c>
      <c r="I128" s="17">
        <f t="shared" si="13"/>
        <v>0</v>
      </c>
      <c r="J128" s="18">
        <f t="shared" si="14"/>
        <v>0</v>
      </c>
      <c r="K128" s="18">
        <f t="shared" si="15"/>
        <v>0</v>
      </c>
      <c r="L128" s="18">
        <f t="shared" si="9"/>
        <v>40.090000000000003</v>
      </c>
      <c r="M128" s="18">
        <f t="shared" si="17"/>
        <v>0</v>
      </c>
      <c r="N128" s="18">
        <f t="shared" si="10"/>
        <v>40.090000000000003</v>
      </c>
      <c r="O128" s="8" t="s">
        <v>174</v>
      </c>
    </row>
    <row r="129" spans="1:15">
      <c r="A129" s="1" t="s">
        <v>119</v>
      </c>
      <c r="B129" s="11"/>
      <c r="C129" s="11">
        <v>6840000</v>
      </c>
      <c r="D129" s="11">
        <v>6840000</v>
      </c>
      <c r="E129" s="11">
        <v>0</v>
      </c>
      <c r="F129" s="83">
        <f>Table21623[[#This Row],[Usage]]</f>
        <v>4000</v>
      </c>
      <c r="G129" s="17">
        <f t="shared" si="11"/>
        <v>40.090000000000003</v>
      </c>
      <c r="H129" s="17">
        <f t="shared" si="12"/>
        <v>0</v>
      </c>
      <c r="I129" s="17">
        <f t="shared" si="13"/>
        <v>0</v>
      </c>
      <c r="J129" s="18">
        <f t="shared" si="14"/>
        <v>0</v>
      </c>
      <c r="K129" s="18">
        <f t="shared" si="15"/>
        <v>0</v>
      </c>
      <c r="L129" s="18">
        <f t="shared" si="9"/>
        <v>40.090000000000003</v>
      </c>
      <c r="M129" s="18">
        <f t="shared" si="17"/>
        <v>0</v>
      </c>
      <c r="N129" s="18">
        <f t="shared" si="10"/>
        <v>40.090000000000003</v>
      </c>
      <c r="O129" s="8"/>
    </row>
    <row r="130" spans="1:15">
      <c r="A130" s="1" t="s">
        <v>120</v>
      </c>
      <c r="B130" s="11"/>
      <c r="C130" s="11">
        <v>3693000</v>
      </c>
      <c r="D130" s="11">
        <v>3693000</v>
      </c>
      <c r="E130" s="11">
        <v>0</v>
      </c>
      <c r="F130" s="83">
        <f>Table21623[[#This Row],[Usage]]</f>
        <v>3000</v>
      </c>
      <c r="G130" s="17">
        <f t="shared" si="11"/>
        <v>40.090000000000003</v>
      </c>
      <c r="H130" s="17">
        <f t="shared" si="12"/>
        <v>0</v>
      </c>
      <c r="I130" s="17">
        <f t="shared" si="13"/>
        <v>0</v>
      </c>
      <c r="J130" s="18">
        <f t="shared" si="14"/>
        <v>0</v>
      </c>
      <c r="K130" s="18">
        <f t="shared" si="15"/>
        <v>0</v>
      </c>
      <c r="L130" s="18">
        <f t="shared" si="9"/>
        <v>40.090000000000003</v>
      </c>
      <c r="M130" s="18">
        <f t="shared" si="17"/>
        <v>0</v>
      </c>
      <c r="N130" s="18">
        <f t="shared" si="10"/>
        <v>40.090000000000003</v>
      </c>
      <c r="O130" s="8"/>
    </row>
    <row r="131" spans="1:15">
      <c r="A131" s="1" t="s">
        <v>121</v>
      </c>
      <c r="B131" s="11" t="s">
        <v>138</v>
      </c>
      <c r="C131" s="11">
        <v>0</v>
      </c>
      <c r="D131" s="11">
        <v>0</v>
      </c>
      <c r="E131" s="11">
        <v>0</v>
      </c>
      <c r="F131" s="83">
        <f>Table21623[[#This Row],[Usage]]</f>
        <v>0</v>
      </c>
      <c r="G131" s="17">
        <f t="shared" si="11"/>
        <v>11.79</v>
      </c>
      <c r="H131" s="17">
        <f t="shared" si="12"/>
        <v>0</v>
      </c>
      <c r="I131" s="17">
        <f t="shared" si="13"/>
        <v>0</v>
      </c>
      <c r="J131" s="18">
        <f t="shared" si="14"/>
        <v>0</v>
      </c>
      <c r="K131" s="18">
        <f t="shared" si="15"/>
        <v>0</v>
      </c>
      <c r="L131" s="18">
        <f t="shared" si="9"/>
        <v>11.79</v>
      </c>
      <c r="M131" s="18">
        <f t="shared" si="17"/>
        <v>0</v>
      </c>
      <c r="N131" s="18">
        <f t="shared" si="10"/>
        <v>11.79</v>
      </c>
      <c r="O131" s="8"/>
    </row>
    <row r="132" spans="1:15">
      <c r="A132" s="1" t="s">
        <v>122</v>
      </c>
      <c r="B132" s="11"/>
      <c r="C132" s="11">
        <v>1297000</v>
      </c>
      <c r="D132" s="11">
        <v>1297000</v>
      </c>
      <c r="E132" s="11">
        <v>0</v>
      </c>
      <c r="F132" s="83">
        <f>Table21623[[#This Row],[Usage]]</f>
        <v>12000</v>
      </c>
      <c r="G132" s="17">
        <f t="shared" si="11"/>
        <v>40.090000000000003</v>
      </c>
      <c r="H132" s="17">
        <f t="shared" si="12"/>
        <v>4.3600000000000003</v>
      </c>
      <c r="I132" s="17">
        <f t="shared" si="13"/>
        <v>0</v>
      </c>
      <c r="J132" s="18">
        <f t="shared" si="14"/>
        <v>0</v>
      </c>
      <c r="K132" s="18">
        <f t="shared" si="15"/>
        <v>0</v>
      </c>
      <c r="L132" s="18">
        <f t="shared" si="9"/>
        <v>44.45</v>
      </c>
      <c r="M132" s="18">
        <f t="shared" si="17"/>
        <v>0</v>
      </c>
      <c r="N132" s="18">
        <f t="shared" si="10"/>
        <v>44.45</v>
      </c>
      <c r="O132" s="8"/>
    </row>
    <row r="133" spans="1:15">
      <c r="A133" s="1" t="s">
        <v>123</v>
      </c>
      <c r="B133" s="11" t="s">
        <v>138</v>
      </c>
      <c r="C133" s="11">
        <v>0</v>
      </c>
      <c r="D133" s="11">
        <v>0</v>
      </c>
      <c r="E133" s="11">
        <v>0</v>
      </c>
      <c r="F133" s="83">
        <f>Table21623[[#This Row],[Usage]]</f>
        <v>0</v>
      </c>
      <c r="G133" s="17">
        <f t="shared" si="11"/>
        <v>11.79</v>
      </c>
      <c r="H133" s="17">
        <f t="shared" si="12"/>
        <v>0</v>
      </c>
      <c r="I133" s="17">
        <f t="shared" si="13"/>
        <v>0</v>
      </c>
      <c r="J133" s="18">
        <f t="shared" si="14"/>
        <v>0</v>
      </c>
      <c r="K133" s="18">
        <f t="shared" si="15"/>
        <v>0</v>
      </c>
      <c r="L133" s="18">
        <f t="shared" si="9"/>
        <v>11.79</v>
      </c>
      <c r="M133" s="18">
        <f t="shared" si="17"/>
        <v>0</v>
      </c>
      <c r="N133" s="18">
        <f t="shared" si="10"/>
        <v>11.79</v>
      </c>
      <c r="O133" s="8"/>
    </row>
    <row r="134" spans="1:15">
      <c r="A134" s="1" t="s">
        <v>124</v>
      </c>
      <c r="B134" s="11" t="s">
        <v>138</v>
      </c>
      <c r="C134" s="11">
        <v>0</v>
      </c>
      <c r="D134" s="11">
        <v>0</v>
      </c>
      <c r="E134" s="11">
        <v>0</v>
      </c>
      <c r="F134" s="83">
        <f>Table21623[[#This Row],[Usage]]</f>
        <v>0</v>
      </c>
      <c r="G134" s="17">
        <f t="shared" si="11"/>
        <v>11.79</v>
      </c>
      <c r="H134" s="17">
        <f t="shared" si="12"/>
        <v>0</v>
      </c>
      <c r="I134" s="17">
        <f t="shared" si="13"/>
        <v>0</v>
      </c>
      <c r="J134" s="18">
        <f t="shared" si="14"/>
        <v>0</v>
      </c>
      <c r="K134" s="18">
        <f t="shared" si="15"/>
        <v>0</v>
      </c>
      <c r="L134" s="18">
        <f t="shared" si="9"/>
        <v>11.79</v>
      </c>
      <c r="M134" s="18">
        <f t="shared" si="17"/>
        <v>0</v>
      </c>
      <c r="N134" s="18">
        <f t="shared" si="10"/>
        <v>11.79</v>
      </c>
      <c r="O134" s="8"/>
    </row>
    <row r="135" spans="1:15">
      <c r="A135" s="1" t="s">
        <v>125</v>
      </c>
      <c r="B135" s="11" t="s">
        <v>138</v>
      </c>
      <c r="C135" s="11">
        <v>0</v>
      </c>
      <c r="D135" s="11">
        <v>0</v>
      </c>
      <c r="E135" s="11">
        <v>0</v>
      </c>
      <c r="F135" s="83">
        <f>Table21623[[#This Row],[Usage]]</f>
        <v>0</v>
      </c>
      <c r="G135" s="17">
        <f t="shared" si="11"/>
        <v>11.79</v>
      </c>
      <c r="H135" s="17">
        <f t="shared" si="12"/>
        <v>0</v>
      </c>
      <c r="I135" s="17">
        <f t="shared" si="13"/>
        <v>0</v>
      </c>
      <c r="J135" s="18">
        <f t="shared" si="14"/>
        <v>0</v>
      </c>
      <c r="K135" s="18">
        <f t="shared" si="15"/>
        <v>0</v>
      </c>
      <c r="L135" s="18">
        <f t="shared" si="9"/>
        <v>11.79</v>
      </c>
      <c r="M135" s="18">
        <f t="shared" si="17"/>
        <v>0</v>
      </c>
      <c r="N135" s="18">
        <f t="shared" si="10"/>
        <v>11.79</v>
      </c>
      <c r="O135" s="8"/>
    </row>
    <row r="136" spans="1:15">
      <c r="A136" s="1" t="s">
        <v>126</v>
      </c>
      <c r="B136" s="11"/>
      <c r="C136" s="11">
        <v>1003000</v>
      </c>
      <c r="D136" s="11">
        <v>1003000</v>
      </c>
      <c r="E136" s="11">
        <v>0</v>
      </c>
      <c r="F136" s="83">
        <f>Table21623[[#This Row],[Usage]]</f>
        <v>13000</v>
      </c>
      <c r="G136" s="17">
        <f t="shared" si="11"/>
        <v>40.090000000000003</v>
      </c>
      <c r="H136" s="17">
        <f t="shared" si="12"/>
        <v>6.5400000000000009</v>
      </c>
      <c r="I136" s="17">
        <f t="shared" si="13"/>
        <v>0</v>
      </c>
      <c r="J136" s="18">
        <f t="shared" si="14"/>
        <v>0</v>
      </c>
      <c r="K136" s="18">
        <f t="shared" si="15"/>
        <v>0</v>
      </c>
      <c r="L136" s="18">
        <f t="shared" si="9"/>
        <v>46.63</v>
      </c>
      <c r="M136" s="18">
        <f t="shared" si="17"/>
        <v>0</v>
      </c>
      <c r="N136" s="18">
        <f t="shared" si="10"/>
        <v>46.63</v>
      </c>
      <c r="O136" s="8"/>
    </row>
    <row r="137" spans="1:15">
      <c r="B137" s="11"/>
      <c r="C137" s="11"/>
      <c r="D137" s="83">
        <f>SUM(Table24[December])</f>
        <v>236682000</v>
      </c>
      <c r="E137" s="11"/>
      <c r="F137" s="11"/>
      <c r="G137" s="85"/>
      <c r="H137" s="85"/>
      <c r="I137" s="85"/>
      <c r="J137" s="85"/>
      <c r="K137" s="85"/>
      <c r="L137" s="85"/>
      <c r="M137" s="85"/>
      <c r="N137" s="85"/>
    </row>
    <row r="138" spans="1:15">
      <c r="J138" s="1" t="s">
        <v>136</v>
      </c>
      <c r="M138" s="27">
        <f>SUM(M11:M136)</f>
        <v>0</v>
      </c>
      <c r="N138" s="5">
        <f>SUM(N11:N136)</f>
        <v>4972.3200000000061</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18">SUM(F11:F136)</f>
        <v>937000</v>
      </c>
      <c r="G140" s="75">
        <f t="shared" si="18"/>
        <v>4196.7500000000045</v>
      </c>
      <c r="H140" s="75">
        <f t="shared" si="18"/>
        <v>358.01000000000016</v>
      </c>
      <c r="I140" s="75">
        <f t="shared" si="18"/>
        <v>101.19999999999999</v>
      </c>
      <c r="J140" s="75">
        <f t="shared" si="18"/>
        <v>118</v>
      </c>
      <c r="K140" s="75">
        <f t="shared" si="18"/>
        <v>198.36</v>
      </c>
      <c r="L140" s="75">
        <f t="shared" si="18"/>
        <v>4972.3200000000061</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0</v>
      </c>
      <c r="G143" s="25">
        <f>SUM(G18:G130)-G145</f>
        <v>3287.3800000000028</v>
      </c>
      <c r="H143" s="80">
        <f>SUM(H18:H130)-H145</f>
        <v>100.28000000000002</v>
      </c>
      <c r="I143" s="25">
        <f>SUM(I18:I130)-I145</f>
        <v>0</v>
      </c>
      <c r="J143" s="25">
        <f>SUM(J18:J130)-J145</f>
        <v>0</v>
      </c>
      <c r="K143" s="25">
        <f>SUM(K18:K130)-K145</f>
        <v>0</v>
      </c>
      <c r="L143" s="25">
        <f>SUM(F143:K143)</f>
        <v>3387.660000000003</v>
      </c>
      <c r="M143" s="1"/>
    </row>
    <row r="144" spans="1:15" customFormat="1">
      <c r="A144" t="s">
        <v>255</v>
      </c>
      <c r="D144">
        <v>8</v>
      </c>
      <c r="E144" s="25">
        <f>SUM(M11:M15)+M17+SUM(M131:M136)</f>
        <v>0</v>
      </c>
      <c r="G144" s="34">
        <f>SUM(G11:G15)+G17+G132+G136</f>
        <v>320.72000000000003</v>
      </c>
      <c r="H144" s="34">
        <f>SUM(H11:H15)+H17+H132+H136</f>
        <v>104.64000000000001</v>
      </c>
      <c r="I144" s="34">
        <f>SUM(I11:I15)+I17+I132+I136</f>
        <v>101.19999999999999</v>
      </c>
      <c r="J144" s="34">
        <f>SUM(J11:J15)+J17+J132+J136</f>
        <v>118</v>
      </c>
      <c r="K144" s="34">
        <f>SUM(K11:K15)+K17+K132+K136</f>
        <v>198.36</v>
      </c>
      <c r="L144" s="25">
        <f t="shared" ref="L144:L147" si="19">SUM(F144:K144)</f>
        <v>842.92</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19"/>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19"/>
        <v>47.16</v>
      </c>
      <c r="M146" s="1"/>
    </row>
    <row r="147" spans="1:13" customFormat="1">
      <c r="A147" t="s">
        <v>253</v>
      </c>
      <c r="D147">
        <v>1</v>
      </c>
      <c r="E147" s="25">
        <f>M16</f>
        <v>0</v>
      </c>
      <c r="G147" s="25">
        <f>G16</f>
        <v>176</v>
      </c>
      <c r="H147" s="25">
        <f>H16</f>
        <v>153.09</v>
      </c>
      <c r="I147" s="25">
        <f>I16</f>
        <v>0</v>
      </c>
      <c r="J147" s="25">
        <f>J16</f>
        <v>0</v>
      </c>
      <c r="K147" s="25">
        <f>K16</f>
        <v>0</v>
      </c>
      <c r="L147" s="25">
        <f t="shared" si="19"/>
        <v>329.09000000000003</v>
      </c>
      <c r="M147" s="1"/>
    </row>
    <row r="148" spans="1:13" customFormat="1" ht="15.75" thickBot="1">
      <c r="B148" t="s">
        <v>257</v>
      </c>
      <c r="D148" s="73">
        <f>SUM(D143:D147)</f>
        <v>126</v>
      </c>
      <c r="E148" s="74">
        <f>SUM(E143:E147)</f>
        <v>0</v>
      </c>
      <c r="F148" s="73"/>
      <c r="G148" s="74">
        <f t="shared" ref="G148:L148" si="20">SUM(G143:G147)</f>
        <v>4196.7500000000036</v>
      </c>
      <c r="H148" s="74">
        <f t="shared" si="20"/>
        <v>358.01</v>
      </c>
      <c r="I148" s="74">
        <f t="shared" si="20"/>
        <v>101.19999999999999</v>
      </c>
      <c r="J148" s="74">
        <f t="shared" si="20"/>
        <v>118</v>
      </c>
      <c r="K148" s="74">
        <f t="shared" si="20"/>
        <v>198.36</v>
      </c>
      <c r="L148" s="74">
        <f t="shared" si="20"/>
        <v>4972.3200000000024</v>
      </c>
      <c r="M148" s="1"/>
    </row>
    <row r="149" spans="1:13" customFormat="1" ht="15.75" thickTop="1">
      <c r="D149" s="78"/>
      <c r="E149" s="78"/>
      <c r="F149" s="78"/>
      <c r="G149" s="79"/>
      <c r="H149" s="79"/>
      <c r="I149" s="79"/>
      <c r="J149" s="79"/>
      <c r="K149" s="79"/>
      <c r="L149" s="79"/>
      <c r="M149" s="1"/>
    </row>
    <row r="150" spans="1:13" customFormat="1">
      <c r="A150" t="s">
        <v>262</v>
      </c>
      <c r="D150" s="75"/>
      <c r="E150" s="81">
        <v>0</v>
      </c>
      <c r="F150" s="75"/>
      <c r="G150" s="81">
        <f>F140-G151-G152-(SUM(H153:K153))</f>
        <v>454000</v>
      </c>
      <c r="H150" s="81">
        <f>H143/2.18*1000</f>
        <v>46000.000000000007</v>
      </c>
      <c r="I150" s="81">
        <f>I143/2.53*1000</f>
        <v>0</v>
      </c>
      <c r="J150" s="81">
        <f>J143/2.95*1000</f>
        <v>0</v>
      </c>
      <c r="K150" s="81">
        <f>K143/3.42*1000</f>
        <v>0</v>
      </c>
      <c r="L150" s="81">
        <f>SUM(G150:K150)</f>
        <v>500000</v>
      </c>
      <c r="M150" s="1"/>
    </row>
    <row r="151" spans="1:13" customFormat="1">
      <c r="A151" t="s">
        <v>263</v>
      </c>
      <c r="D151" s="75"/>
      <c r="E151" s="81">
        <v>0</v>
      </c>
      <c r="F151" s="75"/>
      <c r="G151" s="81">
        <f>(SUM(F11:F15)+F17+SUM(F131:F136)-H151-I151-J151-K151)</f>
        <v>70000</v>
      </c>
      <c r="H151" s="81">
        <f>H144/2.18*1000</f>
        <v>48000</v>
      </c>
      <c r="I151" s="81">
        <f>I144/2.53*1000</f>
        <v>40000</v>
      </c>
      <c r="J151" s="81">
        <f>J144/2.95*1000</f>
        <v>40000</v>
      </c>
      <c r="K151" s="81">
        <f>K144/3.42*1000</f>
        <v>58000.000000000007</v>
      </c>
      <c r="L151" s="81">
        <f>SUM(G151:K151)</f>
        <v>256000</v>
      </c>
      <c r="M151" s="1"/>
    </row>
    <row r="152" spans="1:13" customFormat="1">
      <c r="A152" t="s">
        <v>264</v>
      </c>
      <c r="D152" s="75"/>
      <c r="E152" s="81">
        <v>0</v>
      </c>
      <c r="F152" s="75"/>
      <c r="G152" s="81">
        <f>IF(F16&gt;100000,100000,F16)</f>
        <v>100000</v>
      </c>
      <c r="H152" s="81">
        <f>H147/1.89*1000</f>
        <v>81000</v>
      </c>
      <c r="I152" s="81" t="s">
        <v>259</v>
      </c>
      <c r="J152" s="81" t="s">
        <v>259</v>
      </c>
      <c r="K152" s="81" t="s">
        <v>259</v>
      </c>
      <c r="L152" s="81">
        <f>SUM(G152:K152)</f>
        <v>181000</v>
      </c>
      <c r="M152" s="1"/>
    </row>
    <row r="153" spans="1:13" customFormat="1" ht="15.75" thickBot="1">
      <c r="B153" t="s">
        <v>265</v>
      </c>
      <c r="D153" s="77"/>
      <c r="E153" s="82">
        <f>SUM(E150:E152)</f>
        <v>0</v>
      </c>
      <c r="F153" s="77"/>
      <c r="G153" s="82">
        <f>G150+G151+G152</f>
        <v>624000</v>
      </c>
      <c r="H153" s="82">
        <f>SUM(H150:H152)</f>
        <v>175000</v>
      </c>
      <c r="I153" s="82">
        <f>SUM(I150:I152)</f>
        <v>40000</v>
      </c>
      <c r="J153" s="82">
        <f>SUM(J150:J152)</f>
        <v>40000</v>
      </c>
      <c r="K153" s="82">
        <f>SUM(K150:K152)</f>
        <v>58000.000000000007</v>
      </c>
      <c r="L153" s="82">
        <f>SUM(L150:L152)</f>
        <v>937000</v>
      </c>
      <c r="M153" s="1"/>
    </row>
    <row r="154" spans="1:13" ht="15.75" thickTop="1">
      <c r="E154" s="1" t="s">
        <v>274</v>
      </c>
    </row>
    <row r="155" spans="1:13">
      <c r="E155" s="75" t="s">
        <v>275</v>
      </c>
    </row>
    <row r="156" spans="1:13">
      <c r="E156" s="75" t="s">
        <v>273</v>
      </c>
    </row>
    <row r="157" spans="1:13">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17.xml><?xml version="1.0" encoding="utf-8"?>
<worksheet xmlns="http://schemas.openxmlformats.org/spreadsheetml/2006/main" xmlns:r="http://schemas.openxmlformats.org/officeDocument/2006/relationships">
  <sheetPr>
    <pageSetUpPr fitToPage="1"/>
  </sheetPr>
  <dimension ref="A1:O157"/>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23">
        <v>40940</v>
      </c>
      <c r="D4" s="1" t="s">
        <v>146</v>
      </c>
      <c r="G4" s="1" t="s">
        <v>156</v>
      </c>
      <c r="K4" s="1" t="s">
        <v>149</v>
      </c>
      <c r="N4" s="1">
        <f>SUM(F11:F136)</f>
        <v>0</v>
      </c>
    </row>
    <row r="5" spans="1:15">
      <c r="A5" s="1" t="s">
        <v>165</v>
      </c>
      <c r="B5" s="24" t="s">
        <v>179</v>
      </c>
      <c r="D5" s="1" t="s">
        <v>144</v>
      </c>
      <c r="G5" s="1" t="s">
        <v>155</v>
      </c>
      <c r="H5" s="1">
        <v>0</v>
      </c>
      <c r="K5" s="1" t="s">
        <v>154</v>
      </c>
      <c r="N5" s="1">
        <f>N4-F16</f>
        <v>0</v>
      </c>
    </row>
    <row r="6" spans="1:15">
      <c r="B6" s="4"/>
      <c r="D6" s="1" t="s">
        <v>145</v>
      </c>
      <c r="G6" s="1" t="s">
        <v>158</v>
      </c>
      <c r="H6" s="1">
        <v>35000</v>
      </c>
      <c r="K6" s="1" t="s">
        <v>160</v>
      </c>
      <c r="N6" s="1">
        <f>SUMIF(F11:F15,"&gt;" &amp; $H$6)+SUMIF(F17:F136,"&gt;" &amp; $H$6)+SUMIF(F16,"&gt;" &amp; $H$7)</f>
        <v>0</v>
      </c>
    </row>
    <row r="7" spans="1:15">
      <c r="B7" s="4"/>
      <c r="D7" s="1" t="s">
        <v>150</v>
      </c>
      <c r="E7" s="12">
        <f>E6-E5</f>
        <v>0</v>
      </c>
      <c r="G7" s="1" t="s">
        <v>159</v>
      </c>
      <c r="H7" s="12">
        <v>100000</v>
      </c>
      <c r="K7" s="1" t="s">
        <v>161</v>
      </c>
      <c r="N7" s="1">
        <f>(SUMIF(F11:F15,"&gt;" &amp; $H$6)-(COUNTIF(F11:F15,"&gt;" &amp; $H$6)*$H$6))+(SUMIF(F17:F136,"&gt;" &amp; $H$6)-(COUNTIF(F17:F136,"&gt;" &amp; $H$6)*$H$6))+(SUMIF(F16,"&gt;" &amp; $H$7)-(COUNTIF(F16,"&gt;" &amp; $H$7)*$H$7))</f>
        <v>0</v>
      </c>
    </row>
    <row r="8" spans="1:15">
      <c r="D8" s="1" t="s">
        <v>147</v>
      </c>
      <c r="E8" s="25">
        <v>0</v>
      </c>
      <c r="H8" s="6"/>
    </row>
    <row r="10" spans="1:15">
      <c r="A10" s="7" t="s">
        <v>0</v>
      </c>
      <c r="B10" s="10" t="s">
        <v>137</v>
      </c>
      <c r="C10" s="13" t="s">
        <v>180</v>
      </c>
      <c r="D10" s="26" t="s">
        <v>196</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7771000</v>
      </c>
      <c r="D11" s="11">
        <v>7771000</v>
      </c>
      <c r="E11" s="11">
        <v>0</v>
      </c>
      <c r="F11" s="11">
        <f t="shared" ref="F11:F74" si="0">($D11-$C11)+$E11</f>
        <v>0</v>
      </c>
      <c r="G11" s="17">
        <f>IF(OR($F11&gt;0,$B11=""),40.09,11.79)</f>
        <v>40.090000000000003</v>
      </c>
      <c r="H11" s="17">
        <f>IF(AND((($F11-10000)&gt;=0),(($F11-10000)&lt;= 10000)),($F11-10000)/1000*2.18,IF(($F11-10000)&gt;=10000,2.18*10,0))</f>
        <v>0</v>
      </c>
      <c r="I11" s="17">
        <f>IF(AND((($F11-20000)&gt;=0),(($F11-20000)&lt;=10000)),($F11-20000)/1000*2.53,IF(($F11-20000)&gt;=10000,2.53*10,0))</f>
        <v>0</v>
      </c>
      <c r="J11" s="18">
        <f>IF(AND((($F11-30000)&gt;=0),(($F11-30000)&lt;=10000)),($F11-30000)/1000*2.95,IF(($F11-30000)&gt;=10000,2.95*10,0))</f>
        <v>0</v>
      </c>
      <c r="K11" s="18">
        <f>IF((($F11-40000)&gt;=0),($F11-40000)/1000*3.42,0)</f>
        <v>0</v>
      </c>
      <c r="L11" s="18">
        <f>SUM(G11:K11)</f>
        <v>40.090000000000003</v>
      </c>
      <c r="M11" s="18">
        <f>IF(   $H$5=1,    IF((F11-$H$6)&gt;0,((F11-$H$6)/$N$7)*$E$8,0),   IF(F11&gt;0,(F11/$N$4)*$E$8,0)    )</f>
        <v>0</v>
      </c>
      <c r="N11" s="18">
        <f>SUM(L11:M11)</f>
        <v>40.090000000000003</v>
      </c>
      <c r="O11" s="8"/>
    </row>
    <row r="12" spans="1:15">
      <c r="A12" s="1" t="s">
        <v>2</v>
      </c>
      <c r="B12" s="11"/>
      <c r="C12" s="11">
        <v>6677000</v>
      </c>
      <c r="D12" s="11">
        <v>6677000</v>
      </c>
      <c r="E12" s="11">
        <v>0</v>
      </c>
      <c r="F12" s="11">
        <f t="shared" si="0"/>
        <v>0</v>
      </c>
      <c r="G12" s="17">
        <f>IF(OR($F12&gt;0,$B12=""),40.09,11.79)</f>
        <v>40.090000000000003</v>
      </c>
      <c r="H12" s="17">
        <f>IF(AND((($F12-10000)&gt;=0),(($F12-10000)&lt;= 10000)),($F12-10000)/1000*2.18,IF(($F12-10000)&gt;=10000,2.18*10,0))</f>
        <v>0</v>
      </c>
      <c r="I12" s="17">
        <f>IF(AND((($F12-20000)&gt;=0),(($F12-20000)&lt;=10000)),($F12-20000)/1000*2.53,IF(($F12-20000)&gt;=10000,2.53*10,0))</f>
        <v>0</v>
      </c>
      <c r="J12" s="18">
        <f>IF(AND((($F12-30000)&gt;=0),(($F12-30000)&lt;=10000)),($F12-30000)/1000*2.95,IF(($F12-30000)&gt;=10000,2.95*10,0))</f>
        <v>0</v>
      </c>
      <c r="K12" s="18">
        <f>IF((($F12-40000)&gt;=0),($F12-40000)/1000*3.42,0)</f>
        <v>0</v>
      </c>
      <c r="L12" s="18">
        <f t="shared" ref="L12:L75" si="1">SUM(G12:K12)</f>
        <v>40.090000000000003</v>
      </c>
      <c r="M12" s="18">
        <f>IF(   $H$5=1,    IF((F12-$H$6)&gt;0,((F12-$H$6)/$N$7)*$E$8,0),   IF(F12&gt;0,(F12/$N$4)*$E$8,0)    )</f>
        <v>0</v>
      </c>
      <c r="N12" s="18">
        <f t="shared" ref="N12:N75" si="2">SUM(L12:M12)</f>
        <v>40.090000000000003</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3358000</v>
      </c>
      <c r="D14" s="11">
        <v>3358000</v>
      </c>
      <c r="E14" s="11">
        <v>0</v>
      </c>
      <c r="F14" s="11">
        <f t="shared" si="0"/>
        <v>0</v>
      </c>
      <c r="G14" s="17">
        <f>IF(OR($F14&gt;0,$B14=""),40.09,11.79)</f>
        <v>40.090000000000003</v>
      </c>
      <c r="H14" s="17">
        <f>IF(AND((($F14-10000)&gt;=0),(($F14-10000)&lt;= 10000)),($F14-10000)/1000*2.18,IF(($F14-10000)&gt;=10000,2.18*10,0))</f>
        <v>0</v>
      </c>
      <c r="I14" s="17">
        <f>IF(AND((($F14-20000)&gt;=0),(($F14-20000)&lt;=10000)),($F14-20000)/1000*2.53,IF(($F14-20000)&gt;=10000,2.53*10,0))</f>
        <v>0</v>
      </c>
      <c r="J14" s="18">
        <f>IF(AND((($F14-30000)&gt;=0),(($F14-30000)&lt;=10000)),($F14-30000)/1000*2.95,IF(($F14-30000)&gt;=10000,2.95*10,0))</f>
        <v>0</v>
      </c>
      <c r="K14" s="18">
        <f>IF((($F14-40000)&gt;=0),($F14-40000)/1000*3.42,0)</f>
        <v>0</v>
      </c>
      <c r="L14" s="18">
        <f t="shared" si="1"/>
        <v>40.090000000000003</v>
      </c>
      <c r="M14" s="18">
        <f>IF(   $H$5=1,    IF((F14-$H$6)&gt;0,((F14-$H$6)/$N$7)*$E$8,0),   IF(F14&gt;0,(F14/$N$4)*$E$8,0)    )</f>
        <v>0</v>
      </c>
      <c r="N14" s="18">
        <f t="shared" si="2"/>
        <v>40.090000000000003</v>
      </c>
      <c r="O14" s="8"/>
    </row>
    <row r="15" spans="1:15">
      <c r="A15" s="1" t="s">
        <v>5</v>
      </c>
      <c r="B15" s="11"/>
      <c r="C15" s="11">
        <v>2280000</v>
      </c>
      <c r="D15" s="11">
        <v>2280000</v>
      </c>
      <c r="E15" s="11">
        <v>0</v>
      </c>
      <c r="F15" s="11">
        <f t="shared" si="0"/>
        <v>0</v>
      </c>
      <c r="G15" s="17">
        <f>IF(OR($F15&gt;0,$B15=""),40.09,11.79)</f>
        <v>40.090000000000003</v>
      </c>
      <c r="H15" s="17">
        <f>IF(AND((($F15-10000)&gt;=0),(($F15-10000)&lt;= 10000)),($F15-10000)/1000*2.18,IF(($F15-10000)&gt;=10000,2.18*10,0))</f>
        <v>0</v>
      </c>
      <c r="I15" s="17">
        <f>IF(AND((($F15-20000)&gt;=0),(($F15-20000)&lt;=10000)),($F15-20000)/1000*2.53,IF(($F15-20000)&gt;=10000,2.53*10,0))</f>
        <v>0</v>
      </c>
      <c r="J15" s="18">
        <f>IF(AND((($F15-30000)&gt;=0),(($F15-30000)&lt;=10000)),($F15-30000)/1000*2.95,IF(($F15-30000)&gt;=10000,2.95*10,0))</f>
        <v>0</v>
      </c>
      <c r="K15" s="18">
        <f>IF((($F15-40000)&gt;=0),($F15-40000)/1000*3.42,0)</f>
        <v>0</v>
      </c>
      <c r="L15" s="18">
        <f t="shared" si="1"/>
        <v>40.090000000000003</v>
      </c>
      <c r="M15" s="18">
        <f>IF(   $H$5=1,    IF((F15-$H$6)&gt;0,((F15-$H$6)/$N$7)*$E$8,0),   IF(F15&gt;0,(F15/$N$4)*$E$8,0)    )</f>
        <v>0</v>
      </c>
      <c r="N15" s="18">
        <f t="shared" si="2"/>
        <v>40.090000000000003</v>
      </c>
      <c r="O15" s="8"/>
    </row>
    <row r="16" spans="1:15">
      <c r="A16" s="1" t="s">
        <v>6</v>
      </c>
      <c r="B16" s="11"/>
      <c r="C16" s="11">
        <v>25128000</v>
      </c>
      <c r="D16" s="11">
        <v>25128000</v>
      </c>
      <c r="E16" s="11">
        <v>0</v>
      </c>
      <c r="F16" s="11">
        <f t="shared" si="0"/>
        <v>0</v>
      </c>
      <c r="G16" s="17">
        <v>176</v>
      </c>
      <c r="H16" s="17">
        <f>IF(($F16-100000)&gt;=0,($F16-100000)/1000*1.89,0)</f>
        <v>0</v>
      </c>
      <c r="I16" s="17"/>
      <c r="J16" s="18"/>
      <c r="K16" s="18"/>
      <c r="L16" s="18">
        <f t="shared" si="1"/>
        <v>176</v>
      </c>
      <c r="M16" s="18">
        <f>IF(   $H$5=1,     IF((F16-$H$7)&gt;0,((F16-$H$7)/$N$7)*$E$8,0),   IF(F16&gt;0,(F16/$N$4)*$E$8,0)    )</f>
        <v>0</v>
      </c>
      <c r="N16" s="18">
        <f t="shared" si="2"/>
        <v>176</v>
      </c>
      <c r="O16" s="8" t="s">
        <v>133</v>
      </c>
    </row>
    <row r="17" spans="1:15">
      <c r="A17" s="1" t="s">
        <v>7</v>
      </c>
      <c r="B17" s="11"/>
      <c r="C17" s="11">
        <v>550000</v>
      </c>
      <c r="D17" s="11">
        <v>550000</v>
      </c>
      <c r="E17" s="11">
        <v>0</v>
      </c>
      <c r="F17" s="11">
        <f t="shared" si="0"/>
        <v>0</v>
      </c>
      <c r="G17" s="17">
        <f t="shared" ref="G17:G80" si="3">IF(OR($F17&gt;0,$B17=""),40.09,11.79)</f>
        <v>40.090000000000003</v>
      </c>
      <c r="H17" s="17">
        <f t="shared" ref="H17:H80" si="4">IF(AND((($F17-10000)&gt;=0),(($F17-10000)&lt;= 10000)),($F17-10000)/1000*2.18,IF(($F17-10000)&gt;=10000,2.18*10,0))</f>
        <v>0</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40.090000000000003</v>
      </c>
      <c r="M17" s="18">
        <f t="shared" ref="M17:M48" si="8">IF(   $H$5=1,    IF((F17-$H$6)&gt;0,((F17-$H$6)/$N$7)*$E$8,0),   IF(F17&gt;0,(F17/$N$4)*$E$8,0)    )</f>
        <v>0</v>
      </c>
      <c r="N17" s="18">
        <f t="shared" si="2"/>
        <v>40.090000000000003</v>
      </c>
      <c r="O17" s="8"/>
    </row>
    <row r="18" spans="1:15">
      <c r="A18" s="1" t="s">
        <v>8</v>
      </c>
      <c r="B18" s="11"/>
      <c r="C18" s="11">
        <v>2218000</v>
      </c>
      <c r="D18" s="11">
        <v>2218000</v>
      </c>
      <c r="E18" s="11">
        <v>0</v>
      </c>
      <c r="F18" s="11">
        <f t="shared" si="0"/>
        <v>0</v>
      </c>
      <c r="G18" s="17">
        <f t="shared" si="3"/>
        <v>40.090000000000003</v>
      </c>
      <c r="H18" s="17">
        <f t="shared" si="4"/>
        <v>0</v>
      </c>
      <c r="I18" s="17">
        <f t="shared" si="5"/>
        <v>0</v>
      </c>
      <c r="J18" s="18">
        <f t="shared" si="6"/>
        <v>0</v>
      </c>
      <c r="K18" s="18">
        <f t="shared" si="7"/>
        <v>0</v>
      </c>
      <c r="L18" s="18">
        <f t="shared" si="1"/>
        <v>40.090000000000003</v>
      </c>
      <c r="M18" s="18">
        <f t="shared" si="8"/>
        <v>0</v>
      </c>
      <c r="N18" s="18">
        <f t="shared" si="2"/>
        <v>40.090000000000003</v>
      </c>
      <c r="O18" s="8" t="s">
        <v>174</v>
      </c>
    </row>
    <row r="19" spans="1:15">
      <c r="A19" s="1" t="s">
        <v>9</v>
      </c>
      <c r="B19" s="11"/>
      <c r="C19" s="11">
        <v>227000</v>
      </c>
      <c r="D19" s="11">
        <v>227000</v>
      </c>
      <c r="E19" s="11">
        <v>0</v>
      </c>
      <c r="F19" s="11">
        <f t="shared" si="0"/>
        <v>0</v>
      </c>
      <c r="G19" s="17">
        <f t="shared" si="3"/>
        <v>40.090000000000003</v>
      </c>
      <c r="H19" s="17">
        <f t="shared" si="4"/>
        <v>0</v>
      </c>
      <c r="I19" s="17">
        <f t="shared" si="5"/>
        <v>0</v>
      </c>
      <c r="J19" s="18">
        <f t="shared" si="6"/>
        <v>0</v>
      </c>
      <c r="K19" s="18">
        <f t="shared" si="7"/>
        <v>0</v>
      </c>
      <c r="L19" s="18">
        <f t="shared" si="1"/>
        <v>40.090000000000003</v>
      </c>
      <c r="M19" s="18">
        <f t="shared" si="8"/>
        <v>0</v>
      </c>
      <c r="N19" s="18">
        <f t="shared" si="2"/>
        <v>40.090000000000003</v>
      </c>
      <c r="O19" s="8"/>
    </row>
    <row r="20" spans="1:15">
      <c r="A20" s="1" t="s">
        <v>10</v>
      </c>
      <c r="B20" s="11"/>
      <c r="C20" s="11">
        <v>1529000</v>
      </c>
      <c r="D20" s="11">
        <v>1529000</v>
      </c>
      <c r="E20" s="11">
        <v>0</v>
      </c>
      <c r="F20" s="11">
        <f t="shared" si="0"/>
        <v>0</v>
      </c>
      <c r="G20" s="17">
        <f t="shared" si="3"/>
        <v>40.090000000000003</v>
      </c>
      <c r="H20" s="17">
        <f t="shared" si="4"/>
        <v>0</v>
      </c>
      <c r="I20" s="17">
        <f t="shared" si="5"/>
        <v>0</v>
      </c>
      <c r="J20" s="18">
        <f t="shared" si="6"/>
        <v>0</v>
      </c>
      <c r="K20" s="18">
        <f t="shared" si="7"/>
        <v>0</v>
      </c>
      <c r="L20" s="18">
        <f t="shared" si="1"/>
        <v>40.090000000000003</v>
      </c>
      <c r="M20" s="18">
        <f t="shared" si="8"/>
        <v>0</v>
      </c>
      <c r="N20" s="18">
        <f t="shared" si="2"/>
        <v>40.090000000000003</v>
      </c>
      <c r="O20" s="8"/>
    </row>
    <row r="21" spans="1:15">
      <c r="A21" s="1" t="s">
        <v>11</v>
      </c>
      <c r="B21" s="11"/>
      <c r="C21" s="11">
        <v>1980000</v>
      </c>
      <c r="D21" s="11">
        <v>1980000</v>
      </c>
      <c r="E21" s="11">
        <v>0</v>
      </c>
      <c r="F21" s="11">
        <f t="shared" si="0"/>
        <v>0</v>
      </c>
      <c r="G21" s="17">
        <f t="shared" si="3"/>
        <v>40.090000000000003</v>
      </c>
      <c r="H21" s="17">
        <f t="shared" si="4"/>
        <v>0</v>
      </c>
      <c r="I21" s="17">
        <f t="shared" si="5"/>
        <v>0</v>
      </c>
      <c r="J21" s="18">
        <f t="shared" si="6"/>
        <v>0</v>
      </c>
      <c r="K21" s="18">
        <f t="shared" si="7"/>
        <v>0</v>
      </c>
      <c r="L21" s="18">
        <f t="shared" si="1"/>
        <v>40.090000000000003</v>
      </c>
      <c r="M21" s="18">
        <f t="shared" si="8"/>
        <v>0</v>
      </c>
      <c r="N21" s="18">
        <f t="shared" si="2"/>
        <v>40.090000000000003</v>
      </c>
      <c r="O21" s="8"/>
    </row>
    <row r="22" spans="1:15">
      <c r="A22" s="1" t="s">
        <v>12</v>
      </c>
      <c r="B22" s="11"/>
      <c r="C22" s="11">
        <v>2238000</v>
      </c>
      <c r="D22" s="11">
        <v>2238000</v>
      </c>
      <c r="E22" s="11">
        <v>0</v>
      </c>
      <c r="F22" s="11">
        <f t="shared" si="0"/>
        <v>0</v>
      </c>
      <c r="G22" s="17">
        <f t="shared" si="3"/>
        <v>40.090000000000003</v>
      </c>
      <c r="H22" s="17">
        <f t="shared" si="4"/>
        <v>0</v>
      </c>
      <c r="I22" s="17">
        <f t="shared" si="5"/>
        <v>0</v>
      </c>
      <c r="J22" s="18">
        <f t="shared" si="6"/>
        <v>0</v>
      </c>
      <c r="K22" s="18">
        <f t="shared" si="7"/>
        <v>0</v>
      </c>
      <c r="L22" s="18">
        <f t="shared" si="1"/>
        <v>40.090000000000003</v>
      </c>
      <c r="M22" s="18">
        <f t="shared" si="8"/>
        <v>0</v>
      </c>
      <c r="N22" s="18">
        <f t="shared" si="2"/>
        <v>40.090000000000003</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6412000</v>
      </c>
      <c r="D24" s="11">
        <v>6412000</v>
      </c>
      <c r="E24" s="11">
        <v>0</v>
      </c>
      <c r="F24" s="11">
        <f t="shared" si="0"/>
        <v>0</v>
      </c>
      <c r="G24" s="17">
        <f t="shared" si="3"/>
        <v>40.090000000000003</v>
      </c>
      <c r="H24" s="17">
        <f t="shared" si="4"/>
        <v>0</v>
      </c>
      <c r="I24" s="17">
        <f t="shared" si="5"/>
        <v>0</v>
      </c>
      <c r="J24" s="18">
        <f t="shared" si="6"/>
        <v>0</v>
      </c>
      <c r="K24" s="18">
        <f t="shared" si="7"/>
        <v>0</v>
      </c>
      <c r="L24" s="18">
        <f t="shared" si="1"/>
        <v>40.090000000000003</v>
      </c>
      <c r="M24" s="18">
        <f t="shared" si="8"/>
        <v>0</v>
      </c>
      <c r="N24" s="18">
        <f t="shared" si="2"/>
        <v>40.090000000000003</v>
      </c>
      <c r="O24" s="8"/>
    </row>
    <row r="25" spans="1:15">
      <c r="A25" s="1" t="s">
        <v>15</v>
      </c>
      <c r="B25" s="11"/>
      <c r="C25" s="11">
        <v>2666000</v>
      </c>
      <c r="D25" s="11">
        <v>2666000</v>
      </c>
      <c r="E25" s="11">
        <v>0</v>
      </c>
      <c r="F25" s="11">
        <f t="shared" si="0"/>
        <v>0</v>
      </c>
      <c r="G25" s="17">
        <f t="shared" si="3"/>
        <v>40.090000000000003</v>
      </c>
      <c r="H25" s="17">
        <f t="shared" si="4"/>
        <v>0</v>
      </c>
      <c r="I25" s="17">
        <f t="shared" si="5"/>
        <v>0</v>
      </c>
      <c r="J25" s="18">
        <f t="shared" si="6"/>
        <v>0</v>
      </c>
      <c r="K25" s="18">
        <f>IF((($F25-40000)&gt;=0),($F25-40000)/1000*3.42,0)</f>
        <v>0</v>
      </c>
      <c r="L25" s="18">
        <f t="shared" si="1"/>
        <v>40.090000000000003</v>
      </c>
      <c r="M25" s="18">
        <f t="shared" si="8"/>
        <v>0</v>
      </c>
      <c r="N25" s="18">
        <f t="shared" si="2"/>
        <v>40.090000000000003</v>
      </c>
      <c r="O25" s="8"/>
    </row>
    <row r="26" spans="1:15">
      <c r="A26" s="1" t="s">
        <v>16</v>
      </c>
      <c r="B26" s="11"/>
      <c r="C26" s="11">
        <v>1585000</v>
      </c>
      <c r="D26" s="11">
        <v>1585000</v>
      </c>
      <c r="E26" s="11">
        <v>0</v>
      </c>
      <c r="F26" s="11">
        <f t="shared" si="0"/>
        <v>0</v>
      </c>
      <c r="G26" s="17">
        <f t="shared" si="3"/>
        <v>40.090000000000003</v>
      </c>
      <c r="H26" s="17">
        <f t="shared" si="4"/>
        <v>0</v>
      </c>
      <c r="I26" s="17">
        <f t="shared" si="5"/>
        <v>0</v>
      </c>
      <c r="J26" s="18">
        <f t="shared" si="6"/>
        <v>0</v>
      </c>
      <c r="K26" s="18">
        <f t="shared" si="7"/>
        <v>0</v>
      </c>
      <c r="L26" s="18">
        <f t="shared" si="1"/>
        <v>40.090000000000003</v>
      </c>
      <c r="M26" s="18">
        <f t="shared" si="8"/>
        <v>0</v>
      </c>
      <c r="N26" s="18">
        <f t="shared" si="2"/>
        <v>40.090000000000003</v>
      </c>
      <c r="O26" s="8"/>
    </row>
    <row r="27" spans="1:15">
      <c r="A27" s="1" t="s">
        <v>17</v>
      </c>
      <c r="B27" s="11"/>
      <c r="C27" s="11">
        <v>1176000</v>
      </c>
      <c r="D27" s="11">
        <v>1176000</v>
      </c>
      <c r="E27" s="11">
        <v>0</v>
      </c>
      <c r="F27" s="11">
        <f t="shared" si="0"/>
        <v>0</v>
      </c>
      <c r="G27" s="17">
        <f t="shared" si="3"/>
        <v>40.090000000000003</v>
      </c>
      <c r="H27" s="17">
        <f t="shared" si="4"/>
        <v>0</v>
      </c>
      <c r="I27" s="17">
        <f t="shared" si="5"/>
        <v>0</v>
      </c>
      <c r="J27" s="18">
        <f t="shared" si="6"/>
        <v>0</v>
      </c>
      <c r="K27" s="18">
        <f t="shared" si="7"/>
        <v>0</v>
      </c>
      <c r="L27" s="18">
        <f t="shared" si="1"/>
        <v>40.090000000000003</v>
      </c>
      <c r="M27" s="18">
        <f t="shared" si="8"/>
        <v>0</v>
      </c>
      <c r="N27" s="18">
        <f t="shared" si="2"/>
        <v>40.090000000000003</v>
      </c>
      <c r="O27" s="8"/>
    </row>
    <row r="28" spans="1:15">
      <c r="A28" s="1" t="s">
        <v>18</v>
      </c>
      <c r="B28" s="11"/>
      <c r="C28" s="11">
        <v>4038000</v>
      </c>
      <c r="D28" s="11">
        <v>4038000</v>
      </c>
      <c r="E28" s="11">
        <v>0</v>
      </c>
      <c r="F28" s="11">
        <f t="shared" si="0"/>
        <v>0</v>
      </c>
      <c r="G28" s="17">
        <f t="shared" si="3"/>
        <v>40.090000000000003</v>
      </c>
      <c r="H28" s="17">
        <f t="shared" si="4"/>
        <v>0</v>
      </c>
      <c r="I28" s="17">
        <f t="shared" si="5"/>
        <v>0</v>
      </c>
      <c r="J28" s="18">
        <f t="shared" si="6"/>
        <v>0</v>
      </c>
      <c r="K28" s="18">
        <f t="shared" si="7"/>
        <v>0</v>
      </c>
      <c r="L28" s="18">
        <f t="shared" si="1"/>
        <v>40.090000000000003</v>
      </c>
      <c r="M28" s="18">
        <f t="shared" si="8"/>
        <v>0</v>
      </c>
      <c r="N28" s="18">
        <f t="shared" si="2"/>
        <v>40.090000000000003</v>
      </c>
      <c r="O28" s="8"/>
    </row>
    <row r="29" spans="1:15">
      <c r="A29" s="1" t="s">
        <v>19</v>
      </c>
      <c r="B29" s="11"/>
      <c r="C29" s="11">
        <v>1169000</v>
      </c>
      <c r="D29" s="11">
        <v>1169000</v>
      </c>
      <c r="E29" s="11">
        <v>0</v>
      </c>
      <c r="F29" s="11">
        <f t="shared" si="0"/>
        <v>0</v>
      </c>
      <c r="G29" s="17">
        <f t="shared" si="3"/>
        <v>40.090000000000003</v>
      </c>
      <c r="H29" s="17">
        <f t="shared" si="4"/>
        <v>0</v>
      </c>
      <c r="I29" s="17">
        <f t="shared" si="5"/>
        <v>0</v>
      </c>
      <c r="J29" s="18">
        <f t="shared" si="6"/>
        <v>0</v>
      </c>
      <c r="K29" s="18">
        <f t="shared" si="7"/>
        <v>0</v>
      </c>
      <c r="L29" s="18">
        <f t="shared" si="1"/>
        <v>40.090000000000003</v>
      </c>
      <c r="M29" s="18">
        <f t="shared" si="8"/>
        <v>0</v>
      </c>
      <c r="N29" s="18">
        <f t="shared" si="2"/>
        <v>40.090000000000003</v>
      </c>
      <c r="O29" s="8"/>
    </row>
    <row r="30" spans="1:15">
      <c r="A30" s="1" t="s">
        <v>20</v>
      </c>
      <c r="B30" s="11"/>
      <c r="C30" s="11">
        <v>2219000</v>
      </c>
      <c r="D30" s="11">
        <v>2219000</v>
      </c>
      <c r="E30" s="11">
        <v>0</v>
      </c>
      <c r="F30" s="11">
        <f t="shared" si="0"/>
        <v>0</v>
      </c>
      <c r="G30" s="17">
        <f t="shared" si="3"/>
        <v>40.090000000000003</v>
      </c>
      <c r="H30" s="17">
        <f t="shared" si="4"/>
        <v>0</v>
      </c>
      <c r="I30" s="17">
        <f t="shared" si="5"/>
        <v>0</v>
      </c>
      <c r="J30" s="18">
        <f t="shared" si="6"/>
        <v>0</v>
      </c>
      <c r="K30" s="18">
        <f t="shared" si="7"/>
        <v>0</v>
      </c>
      <c r="L30" s="18">
        <f t="shared" si="1"/>
        <v>40.090000000000003</v>
      </c>
      <c r="M30" s="18">
        <f t="shared" si="8"/>
        <v>0</v>
      </c>
      <c r="N30" s="18">
        <f t="shared" si="2"/>
        <v>40.090000000000003</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635000</v>
      </c>
      <c r="D32" s="11">
        <v>635000</v>
      </c>
      <c r="E32" s="11">
        <v>0</v>
      </c>
      <c r="F32" s="11">
        <f t="shared" si="0"/>
        <v>0</v>
      </c>
      <c r="G32" s="17">
        <f t="shared" si="3"/>
        <v>40.090000000000003</v>
      </c>
      <c r="H32" s="17">
        <f t="shared" si="4"/>
        <v>0</v>
      </c>
      <c r="I32" s="17">
        <f t="shared" si="5"/>
        <v>0</v>
      </c>
      <c r="J32" s="18">
        <f t="shared" si="6"/>
        <v>0</v>
      </c>
      <c r="K32" s="18">
        <f t="shared" si="7"/>
        <v>0</v>
      </c>
      <c r="L32" s="18">
        <f t="shared" si="1"/>
        <v>40.090000000000003</v>
      </c>
      <c r="M32" s="18">
        <f t="shared" si="8"/>
        <v>0</v>
      </c>
      <c r="N32" s="18">
        <f t="shared" si="2"/>
        <v>40.090000000000003</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2401000</v>
      </c>
      <c r="D35" s="11">
        <v>2401000</v>
      </c>
      <c r="E35" s="11">
        <v>0</v>
      </c>
      <c r="F35" s="11">
        <f t="shared" si="0"/>
        <v>0</v>
      </c>
      <c r="G35" s="17">
        <f t="shared" si="3"/>
        <v>40.090000000000003</v>
      </c>
      <c r="H35" s="17">
        <f t="shared" si="4"/>
        <v>0</v>
      </c>
      <c r="I35" s="17">
        <f t="shared" si="5"/>
        <v>0</v>
      </c>
      <c r="J35" s="18">
        <f t="shared" si="6"/>
        <v>0</v>
      </c>
      <c r="K35" s="18">
        <f t="shared" si="7"/>
        <v>0</v>
      </c>
      <c r="L35" s="18">
        <f t="shared" si="1"/>
        <v>40.090000000000003</v>
      </c>
      <c r="M35" s="18">
        <f t="shared" si="8"/>
        <v>0</v>
      </c>
      <c r="N35" s="18">
        <f t="shared" si="2"/>
        <v>40.090000000000003</v>
      </c>
      <c r="O35" s="8"/>
    </row>
    <row r="36" spans="1:15">
      <c r="A36" s="1" t="s">
        <v>26</v>
      </c>
      <c r="B36" s="11"/>
      <c r="C36" s="11">
        <v>371000</v>
      </c>
      <c r="D36" s="11">
        <v>371000</v>
      </c>
      <c r="E36" s="11">
        <v>0</v>
      </c>
      <c r="F36" s="11">
        <f t="shared" si="0"/>
        <v>0</v>
      </c>
      <c r="G36" s="17">
        <f t="shared" si="3"/>
        <v>40.090000000000003</v>
      </c>
      <c r="H36" s="17">
        <f t="shared" si="4"/>
        <v>0</v>
      </c>
      <c r="I36" s="17">
        <f t="shared" si="5"/>
        <v>0</v>
      </c>
      <c r="J36" s="18">
        <f t="shared" si="6"/>
        <v>0</v>
      </c>
      <c r="K36" s="18">
        <f t="shared" si="7"/>
        <v>0</v>
      </c>
      <c r="L36" s="18">
        <f t="shared" si="1"/>
        <v>40.090000000000003</v>
      </c>
      <c r="M36" s="18">
        <f t="shared" si="8"/>
        <v>0</v>
      </c>
      <c r="N36" s="18">
        <f t="shared" si="2"/>
        <v>40.090000000000003</v>
      </c>
      <c r="O36" s="8"/>
    </row>
    <row r="37" spans="1:15">
      <c r="A37" s="1" t="s">
        <v>27</v>
      </c>
      <c r="B37" s="11"/>
      <c r="C37" s="11">
        <v>2135000</v>
      </c>
      <c r="D37" s="11">
        <v>2135000</v>
      </c>
      <c r="E37" s="11">
        <v>0</v>
      </c>
      <c r="F37" s="11">
        <f t="shared" si="0"/>
        <v>0</v>
      </c>
      <c r="G37" s="17">
        <f t="shared" si="3"/>
        <v>40.090000000000003</v>
      </c>
      <c r="H37" s="17">
        <f t="shared" si="4"/>
        <v>0</v>
      </c>
      <c r="I37" s="17">
        <f t="shared" si="5"/>
        <v>0</v>
      </c>
      <c r="J37" s="18">
        <f t="shared" si="6"/>
        <v>0</v>
      </c>
      <c r="K37" s="18">
        <f t="shared" si="7"/>
        <v>0</v>
      </c>
      <c r="L37" s="18">
        <f t="shared" si="1"/>
        <v>40.090000000000003</v>
      </c>
      <c r="M37" s="18">
        <f t="shared" si="8"/>
        <v>0</v>
      </c>
      <c r="N37" s="18">
        <f t="shared" si="2"/>
        <v>40.090000000000003</v>
      </c>
      <c r="O37" s="8"/>
    </row>
    <row r="38" spans="1:15">
      <c r="A38" s="1" t="s">
        <v>28</v>
      </c>
      <c r="B38" s="11"/>
      <c r="C38" s="11">
        <v>1354000</v>
      </c>
      <c r="D38" s="11">
        <v>1354000</v>
      </c>
      <c r="E38" s="11">
        <v>0</v>
      </c>
      <c r="F38" s="11">
        <f t="shared" si="0"/>
        <v>0</v>
      </c>
      <c r="G38" s="17">
        <f t="shared" si="3"/>
        <v>40.090000000000003</v>
      </c>
      <c r="H38" s="17">
        <f t="shared" si="4"/>
        <v>0</v>
      </c>
      <c r="I38" s="17">
        <f t="shared" si="5"/>
        <v>0</v>
      </c>
      <c r="J38" s="18">
        <f t="shared" si="6"/>
        <v>0</v>
      </c>
      <c r="K38" s="18">
        <f t="shared" si="7"/>
        <v>0</v>
      </c>
      <c r="L38" s="18">
        <f t="shared" si="1"/>
        <v>40.090000000000003</v>
      </c>
      <c r="M38" s="18">
        <f t="shared" si="8"/>
        <v>0</v>
      </c>
      <c r="N38" s="18">
        <f t="shared" si="2"/>
        <v>40.090000000000003</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519000</v>
      </c>
      <c r="D41" s="11">
        <v>519000</v>
      </c>
      <c r="E41" s="11">
        <v>0</v>
      </c>
      <c r="F41" s="11">
        <f t="shared" si="0"/>
        <v>0</v>
      </c>
      <c r="G41" s="17">
        <f t="shared" si="3"/>
        <v>40.090000000000003</v>
      </c>
      <c r="H41" s="17">
        <f t="shared" si="4"/>
        <v>0</v>
      </c>
      <c r="I41" s="17">
        <f t="shared" si="5"/>
        <v>0</v>
      </c>
      <c r="J41" s="18">
        <f t="shared" si="6"/>
        <v>0</v>
      </c>
      <c r="K41" s="18">
        <f t="shared" si="7"/>
        <v>0</v>
      </c>
      <c r="L41" s="18">
        <f t="shared" si="1"/>
        <v>40.090000000000003</v>
      </c>
      <c r="M41" s="18">
        <f t="shared" si="8"/>
        <v>0</v>
      </c>
      <c r="N41" s="18">
        <f t="shared" si="2"/>
        <v>40.090000000000003</v>
      </c>
      <c r="O41" s="8"/>
    </row>
    <row r="42" spans="1:15">
      <c r="A42" s="1" t="s">
        <v>32</v>
      </c>
      <c r="B42" s="11"/>
      <c r="C42" s="11">
        <v>3880000</v>
      </c>
      <c r="D42" s="11">
        <v>3880000</v>
      </c>
      <c r="E42" s="11">
        <v>0</v>
      </c>
      <c r="F42" s="11">
        <f t="shared" si="0"/>
        <v>0</v>
      </c>
      <c r="G42" s="17">
        <f t="shared" si="3"/>
        <v>40.090000000000003</v>
      </c>
      <c r="H42" s="17">
        <f t="shared" si="4"/>
        <v>0</v>
      </c>
      <c r="I42" s="17">
        <f t="shared" si="5"/>
        <v>0</v>
      </c>
      <c r="J42" s="18">
        <f t="shared" si="6"/>
        <v>0</v>
      </c>
      <c r="K42" s="18">
        <f t="shared" si="7"/>
        <v>0</v>
      </c>
      <c r="L42" s="18">
        <f t="shared" si="1"/>
        <v>40.090000000000003</v>
      </c>
      <c r="M42" s="18">
        <f t="shared" si="8"/>
        <v>0</v>
      </c>
      <c r="N42" s="18">
        <f t="shared" si="2"/>
        <v>40.090000000000003</v>
      </c>
      <c r="O42" s="8"/>
    </row>
    <row r="43" spans="1:15">
      <c r="A43" s="1" t="s">
        <v>33</v>
      </c>
      <c r="B43" s="11"/>
      <c r="C43" s="11">
        <v>1187000</v>
      </c>
      <c r="D43" s="11">
        <v>1187000</v>
      </c>
      <c r="E43" s="11">
        <v>0</v>
      </c>
      <c r="F43" s="11">
        <f t="shared" si="0"/>
        <v>0</v>
      </c>
      <c r="G43" s="17">
        <f t="shared" si="3"/>
        <v>40.090000000000003</v>
      </c>
      <c r="H43" s="17">
        <f t="shared" si="4"/>
        <v>0</v>
      </c>
      <c r="I43" s="17">
        <f t="shared" si="5"/>
        <v>0</v>
      </c>
      <c r="J43" s="18">
        <f t="shared" si="6"/>
        <v>0</v>
      </c>
      <c r="K43" s="18">
        <f t="shared" si="7"/>
        <v>0</v>
      </c>
      <c r="L43" s="18">
        <f t="shared" si="1"/>
        <v>40.090000000000003</v>
      </c>
      <c r="M43" s="18">
        <f t="shared" si="8"/>
        <v>0</v>
      </c>
      <c r="N43" s="18">
        <f t="shared" si="2"/>
        <v>40.090000000000003</v>
      </c>
      <c r="O43" s="8"/>
    </row>
    <row r="44" spans="1:15">
      <c r="A44" s="1" t="s">
        <v>34</v>
      </c>
      <c r="B44" s="11"/>
      <c r="C44" s="11">
        <v>224000</v>
      </c>
      <c r="D44" s="11">
        <v>224000</v>
      </c>
      <c r="E44" s="11">
        <v>0</v>
      </c>
      <c r="F44" s="11">
        <f t="shared" si="0"/>
        <v>0</v>
      </c>
      <c r="G44" s="17">
        <f t="shared" si="3"/>
        <v>40.090000000000003</v>
      </c>
      <c r="H44" s="17">
        <f t="shared" si="4"/>
        <v>0</v>
      </c>
      <c r="I44" s="17">
        <f t="shared" si="5"/>
        <v>0</v>
      </c>
      <c r="J44" s="18">
        <f t="shared" si="6"/>
        <v>0</v>
      </c>
      <c r="K44" s="18">
        <f t="shared" si="7"/>
        <v>0</v>
      </c>
      <c r="L44" s="18">
        <f t="shared" si="1"/>
        <v>40.090000000000003</v>
      </c>
      <c r="M44" s="18">
        <f t="shared" si="8"/>
        <v>0</v>
      </c>
      <c r="N44" s="18">
        <f t="shared" si="2"/>
        <v>40.090000000000003</v>
      </c>
      <c r="O44" s="8" t="s">
        <v>178</v>
      </c>
    </row>
    <row r="45" spans="1:15">
      <c r="A45" s="1" t="s">
        <v>35</v>
      </c>
      <c r="B45" s="11"/>
      <c r="C45" s="11">
        <v>1534000</v>
      </c>
      <c r="D45" s="11">
        <v>1534000</v>
      </c>
      <c r="E45" s="11">
        <v>0</v>
      </c>
      <c r="F45" s="11">
        <f t="shared" si="0"/>
        <v>0</v>
      </c>
      <c r="G45" s="17">
        <f t="shared" si="3"/>
        <v>40.090000000000003</v>
      </c>
      <c r="H45" s="17">
        <f t="shared" si="4"/>
        <v>0</v>
      </c>
      <c r="I45" s="17">
        <f t="shared" si="5"/>
        <v>0</v>
      </c>
      <c r="J45" s="18">
        <f t="shared" si="6"/>
        <v>0</v>
      </c>
      <c r="K45" s="18">
        <f t="shared" si="7"/>
        <v>0</v>
      </c>
      <c r="L45" s="18">
        <f t="shared" si="1"/>
        <v>40.090000000000003</v>
      </c>
      <c r="M45" s="18">
        <f t="shared" si="8"/>
        <v>0</v>
      </c>
      <c r="N45" s="18">
        <f t="shared" si="2"/>
        <v>40.090000000000003</v>
      </c>
      <c r="O45" s="8"/>
    </row>
    <row r="46" spans="1:15">
      <c r="A46" s="1" t="s">
        <v>36</v>
      </c>
      <c r="B46" s="11"/>
      <c r="C46" s="11">
        <v>1596000</v>
      </c>
      <c r="D46" s="11">
        <v>1596000</v>
      </c>
      <c r="E46" s="11">
        <v>0</v>
      </c>
      <c r="F46" s="11">
        <f t="shared" si="0"/>
        <v>0</v>
      </c>
      <c r="G46" s="17">
        <f t="shared" si="3"/>
        <v>40.090000000000003</v>
      </c>
      <c r="H46" s="17">
        <f t="shared" si="4"/>
        <v>0</v>
      </c>
      <c r="I46" s="17">
        <f t="shared" si="5"/>
        <v>0</v>
      </c>
      <c r="J46" s="18">
        <f t="shared" si="6"/>
        <v>0</v>
      </c>
      <c r="K46" s="18">
        <f t="shared" si="7"/>
        <v>0</v>
      </c>
      <c r="L46" s="18">
        <f t="shared" si="1"/>
        <v>40.090000000000003</v>
      </c>
      <c r="M46" s="18">
        <f t="shared" si="8"/>
        <v>0</v>
      </c>
      <c r="N46" s="18">
        <f t="shared" si="2"/>
        <v>40.090000000000003</v>
      </c>
      <c r="O46" s="8"/>
    </row>
    <row r="47" spans="1:15">
      <c r="A47" s="1" t="s">
        <v>37</v>
      </c>
      <c r="B47" s="11"/>
      <c r="C47" s="11">
        <v>1896000</v>
      </c>
      <c r="D47" s="11">
        <v>1896000</v>
      </c>
      <c r="E47" s="11">
        <v>0</v>
      </c>
      <c r="F47" s="11">
        <f t="shared" si="0"/>
        <v>0</v>
      </c>
      <c r="G47" s="17">
        <f t="shared" si="3"/>
        <v>40.090000000000003</v>
      </c>
      <c r="H47" s="17">
        <f t="shared" si="4"/>
        <v>0</v>
      </c>
      <c r="I47" s="17">
        <f t="shared" si="5"/>
        <v>0</v>
      </c>
      <c r="J47" s="18">
        <f t="shared" si="6"/>
        <v>0</v>
      </c>
      <c r="K47" s="18">
        <f t="shared" si="7"/>
        <v>0</v>
      </c>
      <c r="L47" s="18">
        <f t="shared" si="1"/>
        <v>40.090000000000003</v>
      </c>
      <c r="M47" s="18">
        <f t="shared" si="8"/>
        <v>0</v>
      </c>
      <c r="N47" s="18">
        <f t="shared" si="2"/>
        <v>40.090000000000003</v>
      </c>
      <c r="O47" s="8"/>
    </row>
    <row r="48" spans="1:15">
      <c r="A48" s="1" t="s">
        <v>38</v>
      </c>
      <c r="B48" s="11"/>
      <c r="C48" s="11">
        <v>1703000</v>
      </c>
      <c r="D48" s="11">
        <v>1703000</v>
      </c>
      <c r="E48" s="11">
        <v>0</v>
      </c>
      <c r="F48" s="11">
        <f t="shared" si="0"/>
        <v>0</v>
      </c>
      <c r="G48" s="17">
        <f t="shared" si="3"/>
        <v>40.090000000000003</v>
      </c>
      <c r="H48" s="17">
        <f t="shared" si="4"/>
        <v>0</v>
      </c>
      <c r="I48" s="17">
        <f t="shared" si="5"/>
        <v>0</v>
      </c>
      <c r="J48" s="18">
        <f t="shared" si="6"/>
        <v>0</v>
      </c>
      <c r="K48" s="18">
        <f t="shared" si="7"/>
        <v>0</v>
      </c>
      <c r="L48" s="18">
        <f t="shared" si="1"/>
        <v>40.090000000000003</v>
      </c>
      <c r="M48" s="18">
        <f t="shared" si="8"/>
        <v>0</v>
      </c>
      <c r="N48" s="18">
        <f t="shared" si="2"/>
        <v>40.090000000000003</v>
      </c>
      <c r="O48" s="8"/>
    </row>
    <row r="49" spans="1:15">
      <c r="A49" s="1" t="s">
        <v>39</v>
      </c>
      <c r="B49" s="11" t="s">
        <v>138</v>
      </c>
      <c r="C49" s="11">
        <v>0</v>
      </c>
      <c r="D49" s="11">
        <v>0</v>
      </c>
      <c r="E49" s="11">
        <v>0</v>
      </c>
      <c r="F49" s="11">
        <f t="shared" si="0"/>
        <v>0</v>
      </c>
      <c r="G49" s="17">
        <f t="shared" si="3"/>
        <v>11.79</v>
      </c>
      <c r="H49" s="17">
        <f t="shared" si="4"/>
        <v>0</v>
      </c>
      <c r="I49" s="17">
        <f t="shared" si="5"/>
        <v>0</v>
      </c>
      <c r="J49" s="18">
        <f t="shared" si="6"/>
        <v>0</v>
      </c>
      <c r="K49" s="18">
        <f t="shared" si="7"/>
        <v>0</v>
      </c>
      <c r="L49" s="18">
        <f t="shared" si="1"/>
        <v>11.79</v>
      </c>
      <c r="M49" s="18">
        <f t="shared" ref="M49:M80" si="9">IF(   $H$5=1,    IF((F49-$H$6)&gt;0,((F49-$H$6)/$N$7)*$E$8,0),   IF(F49&gt;0,(F49/$N$4)*$E$8,0)    )</f>
        <v>0</v>
      </c>
      <c r="N49" s="18">
        <f t="shared" si="2"/>
        <v>11.79</v>
      </c>
      <c r="O49" s="8"/>
    </row>
    <row r="50" spans="1:15">
      <c r="A50" s="1" t="s">
        <v>40</v>
      </c>
      <c r="B50" s="11" t="s">
        <v>138</v>
      </c>
      <c r="C50" s="11">
        <v>0</v>
      </c>
      <c r="D50" s="11">
        <v>0</v>
      </c>
      <c r="E50" s="11">
        <v>0</v>
      </c>
      <c r="F50" s="11">
        <f t="shared" si="0"/>
        <v>0</v>
      </c>
      <c r="G50" s="17">
        <f t="shared" si="3"/>
        <v>11.79</v>
      </c>
      <c r="H50" s="17">
        <f t="shared" si="4"/>
        <v>0</v>
      </c>
      <c r="I50" s="17">
        <f t="shared" si="5"/>
        <v>0</v>
      </c>
      <c r="J50" s="18">
        <f t="shared" si="6"/>
        <v>0</v>
      </c>
      <c r="K50" s="18">
        <f t="shared" si="7"/>
        <v>0</v>
      </c>
      <c r="L50" s="18">
        <f t="shared" si="1"/>
        <v>11.79</v>
      </c>
      <c r="M50" s="18">
        <f t="shared" si="9"/>
        <v>0</v>
      </c>
      <c r="N50" s="18">
        <f t="shared" si="2"/>
        <v>11.79</v>
      </c>
      <c r="O50" s="8"/>
    </row>
    <row r="51" spans="1:15">
      <c r="A51" s="1" t="s">
        <v>41</v>
      </c>
      <c r="B51" s="11" t="s">
        <v>138</v>
      </c>
      <c r="C51" s="11">
        <v>0</v>
      </c>
      <c r="D51" s="11">
        <v>0</v>
      </c>
      <c r="E51" s="11">
        <v>0</v>
      </c>
      <c r="F51" s="11">
        <f t="shared" si="0"/>
        <v>0</v>
      </c>
      <c r="G51" s="17">
        <f t="shared" si="3"/>
        <v>11.79</v>
      </c>
      <c r="H51" s="17">
        <f t="shared" si="4"/>
        <v>0</v>
      </c>
      <c r="I51" s="17">
        <f t="shared" si="5"/>
        <v>0</v>
      </c>
      <c r="J51" s="18">
        <f t="shared" si="6"/>
        <v>0</v>
      </c>
      <c r="K51" s="18">
        <f t="shared" si="7"/>
        <v>0</v>
      </c>
      <c r="L51" s="18">
        <f t="shared" si="1"/>
        <v>11.79</v>
      </c>
      <c r="M51" s="18">
        <f t="shared" si="9"/>
        <v>0</v>
      </c>
      <c r="N51" s="18">
        <f t="shared" si="2"/>
        <v>11.79</v>
      </c>
      <c r="O51" s="8"/>
    </row>
    <row r="52" spans="1:15">
      <c r="A52" s="1" t="s">
        <v>42</v>
      </c>
      <c r="B52" s="11"/>
      <c r="C52" s="11">
        <v>3071000</v>
      </c>
      <c r="D52" s="11">
        <v>3071000</v>
      </c>
      <c r="E52" s="11">
        <v>0</v>
      </c>
      <c r="F52" s="11">
        <f t="shared" si="0"/>
        <v>0</v>
      </c>
      <c r="G52" s="17">
        <f t="shared" si="3"/>
        <v>40.090000000000003</v>
      </c>
      <c r="H52" s="17">
        <f t="shared" si="4"/>
        <v>0</v>
      </c>
      <c r="I52" s="17">
        <f t="shared" si="5"/>
        <v>0</v>
      </c>
      <c r="J52" s="18">
        <f t="shared" si="6"/>
        <v>0</v>
      </c>
      <c r="K52" s="18">
        <f t="shared" si="7"/>
        <v>0</v>
      </c>
      <c r="L52" s="18">
        <f t="shared" si="1"/>
        <v>40.090000000000003</v>
      </c>
      <c r="M52" s="18">
        <f t="shared" si="9"/>
        <v>0</v>
      </c>
      <c r="N52" s="18">
        <f t="shared" si="2"/>
        <v>40.090000000000003</v>
      </c>
      <c r="O52" s="8"/>
    </row>
    <row r="53" spans="1:15">
      <c r="A53" s="1" t="s">
        <v>43</v>
      </c>
      <c r="B53" s="11"/>
      <c r="C53" s="11">
        <v>3255000</v>
      </c>
      <c r="D53" s="11">
        <v>3255000</v>
      </c>
      <c r="E53" s="11">
        <v>0</v>
      </c>
      <c r="F53" s="11">
        <f t="shared" si="0"/>
        <v>0</v>
      </c>
      <c r="G53" s="17">
        <f t="shared" si="3"/>
        <v>40.090000000000003</v>
      </c>
      <c r="H53" s="17">
        <f t="shared" si="4"/>
        <v>0</v>
      </c>
      <c r="I53" s="17">
        <f t="shared" si="5"/>
        <v>0</v>
      </c>
      <c r="J53" s="18">
        <f t="shared" si="6"/>
        <v>0</v>
      </c>
      <c r="K53" s="18">
        <f t="shared" si="7"/>
        <v>0</v>
      </c>
      <c r="L53" s="18">
        <f t="shared" si="1"/>
        <v>40.090000000000003</v>
      </c>
      <c r="M53" s="18">
        <f t="shared" si="9"/>
        <v>0</v>
      </c>
      <c r="N53" s="18">
        <f t="shared" si="2"/>
        <v>40.090000000000003</v>
      </c>
      <c r="O53" s="8"/>
    </row>
    <row r="54" spans="1:15">
      <c r="A54" s="1" t="s">
        <v>44</v>
      </c>
      <c r="B54" s="11"/>
      <c r="C54" s="11">
        <v>4061000</v>
      </c>
      <c r="D54" s="11">
        <v>4061000</v>
      </c>
      <c r="E54" s="11">
        <v>0</v>
      </c>
      <c r="F54" s="11">
        <f t="shared" si="0"/>
        <v>0</v>
      </c>
      <c r="G54" s="17">
        <f t="shared" si="3"/>
        <v>40.090000000000003</v>
      </c>
      <c r="H54" s="17">
        <f t="shared" si="4"/>
        <v>0</v>
      </c>
      <c r="I54" s="17">
        <f t="shared" si="5"/>
        <v>0</v>
      </c>
      <c r="J54" s="18">
        <f t="shared" si="6"/>
        <v>0</v>
      </c>
      <c r="K54" s="18">
        <f t="shared" si="7"/>
        <v>0</v>
      </c>
      <c r="L54" s="18">
        <f t="shared" si="1"/>
        <v>40.090000000000003</v>
      </c>
      <c r="M54" s="18">
        <f t="shared" si="9"/>
        <v>0</v>
      </c>
      <c r="N54" s="18">
        <f t="shared" si="2"/>
        <v>40.090000000000003</v>
      </c>
      <c r="O54" s="8"/>
    </row>
    <row r="55" spans="1:15">
      <c r="A55" s="1" t="s">
        <v>45</v>
      </c>
      <c r="B55" s="11" t="s">
        <v>138</v>
      </c>
      <c r="C55" s="11">
        <v>0</v>
      </c>
      <c r="D55" s="11">
        <v>0</v>
      </c>
      <c r="E55" s="11">
        <v>0</v>
      </c>
      <c r="F55" s="11">
        <f t="shared" si="0"/>
        <v>0</v>
      </c>
      <c r="G55" s="17">
        <f t="shared" si="3"/>
        <v>11.79</v>
      </c>
      <c r="H55" s="17">
        <f t="shared" si="4"/>
        <v>0</v>
      </c>
      <c r="I55" s="17">
        <f t="shared" si="5"/>
        <v>0</v>
      </c>
      <c r="J55" s="18">
        <f t="shared" si="6"/>
        <v>0</v>
      </c>
      <c r="K55" s="18">
        <f t="shared" si="7"/>
        <v>0</v>
      </c>
      <c r="L55" s="18">
        <f t="shared" si="1"/>
        <v>11.79</v>
      </c>
      <c r="M55" s="18">
        <f t="shared" si="9"/>
        <v>0</v>
      </c>
      <c r="N55" s="18">
        <f t="shared" si="2"/>
        <v>11.79</v>
      </c>
      <c r="O55" s="8"/>
    </row>
    <row r="56" spans="1:15">
      <c r="A56" s="1" t="s">
        <v>46</v>
      </c>
      <c r="B56" s="11" t="s">
        <v>138</v>
      </c>
      <c r="C56" s="11">
        <v>0</v>
      </c>
      <c r="D56" s="11">
        <v>0</v>
      </c>
      <c r="E56" s="11">
        <v>0</v>
      </c>
      <c r="F56" s="11">
        <f t="shared" si="0"/>
        <v>0</v>
      </c>
      <c r="G56" s="17">
        <f t="shared" si="3"/>
        <v>11.79</v>
      </c>
      <c r="H56" s="17">
        <f t="shared" si="4"/>
        <v>0</v>
      </c>
      <c r="I56" s="17">
        <f t="shared" si="5"/>
        <v>0</v>
      </c>
      <c r="J56" s="18">
        <f t="shared" si="6"/>
        <v>0</v>
      </c>
      <c r="K56" s="18">
        <f t="shared" si="7"/>
        <v>0</v>
      </c>
      <c r="L56" s="18">
        <f t="shared" si="1"/>
        <v>11.79</v>
      </c>
      <c r="M56" s="18">
        <f t="shared" si="9"/>
        <v>0</v>
      </c>
      <c r="N56" s="18">
        <f t="shared" si="2"/>
        <v>11.79</v>
      </c>
      <c r="O56" s="8"/>
    </row>
    <row r="57" spans="1:15">
      <c r="A57" s="1" t="s">
        <v>47</v>
      </c>
      <c r="B57" s="11" t="s">
        <v>138</v>
      </c>
      <c r="C57" s="11">
        <v>0</v>
      </c>
      <c r="D57" s="11">
        <v>0</v>
      </c>
      <c r="E57" s="11">
        <v>0</v>
      </c>
      <c r="F57" s="11">
        <f t="shared" si="0"/>
        <v>0</v>
      </c>
      <c r="G57" s="17">
        <f t="shared" si="3"/>
        <v>11.79</v>
      </c>
      <c r="H57" s="17">
        <f t="shared" si="4"/>
        <v>0</v>
      </c>
      <c r="I57" s="17">
        <f t="shared" si="5"/>
        <v>0</v>
      </c>
      <c r="J57" s="18">
        <f t="shared" si="6"/>
        <v>0</v>
      </c>
      <c r="K57" s="18">
        <f t="shared" si="7"/>
        <v>0</v>
      </c>
      <c r="L57" s="18">
        <f t="shared" si="1"/>
        <v>11.79</v>
      </c>
      <c r="M57" s="18">
        <f t="shared" si="9"/>
        <v>0</v>
      </c>
      <c r="N57" s="18">
        <f t="shared" si="2"/>
        <v>11.79</v>
      </c>
      <c r="O57" s="8"/>
    </row>
    <row r="58" spans="1:15">
      <c r="A58" s="1" t="s">
        <v>48</v>
      </c>
      <c r="B58" s="11"/>
      <c r="C58" s="11">
        <v>1123000</v>
      </c>
      <c r="D58" s="11">
        <v>1123000</v>
      </c>
      <c r="E58" s="11">
        <v>0</v>
      </c>
      <c r="F58" s="11">
        <f t="shared" si="0"/>
        <v>0</v>
      </c>
      <c r="G58" s="17">
        <f t="shared" si="3"/>
        <v>40.090000000000003</v>
      </c>
      <c r="H58" s="17">
        <f t="shared" si="4"/>
        <v>0</v>
      </c>
      <c r="I58" s="17">
        <f t="shared" si="5"/>
        <v>0</v>
      </c>
      <c r="J58" s="18">
        <f t="shared" si="6"/>
        <v>0</v>
      </c>
      <c r="K58" s="18">
        <f t="shared" si="7"/>
        <v>0</v>
      </c>
      <c r="L58" s="18">
        <f t="shared" si="1"/>
        <v>40.090000000000003</v>
      </c>
      <c r="M58" s="18">
        <f t="shared" si="9"/>
        <v>0</v>
      </c>
      <c r="N58" s="18">
        <f t="shared" si="2"/>
        <v>40.090000000000003</v>
      </c>
      <c r="O58" s="8"/>
    </row>
    <row r="59" spans="1:15">
      <c r="A59" s="1" t="s">
        <v>49</v>
      </c>
      <c r="B59" s="11"/>
      <c r="C59" s="11">
        <v>903000</v>
      </c>
      <c r="D59" s="11">
        <v>903000</v>
      </c>
      <c r="E59" s="11">
        <v>0</v>
      </c>
      <c r="F59" s="11">
        <f t="shared" si="0"/>
        <v>0</v>
      </c>
      <c r="G59" s="17">
        <f t="shared" si="3"/>
        <v>40.090000000000003</v>
      </c>
      <c r="H59" s="17">
        <f t="shared" si="4"/>
        <v>0</v>
      </c>
      <c r="I59" s="17">
        <f t="shared" si="5"/>
        <v>0</v>
      </c>
      <c r="J59" s="18">
        <f t="shared" si="6"/>
        <v>0</v>
      </c>
      <c r="K59" s="18">
        <f t="shared" si="7"/>
        <v>0</v>
      </c>
      <c r="L59" s="18">
        <f t="shared" si="1"/>
        <v>40.090000000000003</v>
      </c>
      <c r="M59" s="18">
        <f t="shared" si="9"/>
        <v>0</v>
      </c>
      <c r="N59" s="18">
        <f t="shared" si="2"/>
        <v>40.090000000000003</v>
      </c>
      <c r="O59" s="8"/>
    </row>
    <row r="60" spans="1:15">
      <c r="A60" s="1" t="s">
        <v>50</v>
      </c>
      <c r="B60" s="11"/>
      <c r="C60" s="11">
        <v>3492000</v>
      </c>
      <c r="D60" s="11">
        <v>3492000</v>
      </c>
      <c r="E60" s="11">
        <v>0</v>
      </c>
      <c r="F60" s="11">
        <f t="shared" si="0"/>
        <v>0</v>
      </c>
      <c r="G60" s="17">
        <f t="shared" si="3"/>
        <v>40.090000000000003</v>
      </c>
      <c r="H60" s="17">
        <f t="shared" si="4"/>
        <v>0</v>
      </c>
      <c r="I60" s="17">
        <f t="shared" si="5"/>
        <v>0</v>
      </c>
      <c r="J60" s="18">
        <f t="shared" si="6"/>
        <v>0</v>
      </c>
      <c r="K60" s="18">
        <f t="shared" si="7"/>
        <v>0</v>
      </c>
      <c r="L60" s="18">
        <f t="shared" si="1"/>
        <v>40.090000000000003</v>
      </c>
      <c r="M60" s="18">
        <f t="shared" si="9"/>
        <v>0</v>
      </c>
      <c r="N60" s="18">
        <f t="shared" si="2"/>
        <v>40.090000000000003</v>
      </c>
      <c r="O60" s="8"/>
    </row>
    <row r="61" spans="1:15">
      <c r="A61" s="1" t="s">
        <v>51</v>
      </c>
      <c r="B61" s="11" t="s">
        <v>138</v>
      </c>
      <c r="C61" s="11">
        <v>0</v>
      </c>
      <c r="D61" s="11">
        <v>0</v>
      </c>
      <c r="E61" s="11">
        <v>0</v>
      </c>
      <c r="F61" s="11">
        <f t="shared" si="0"/>
        <v>0</v>
      </c>
      <c r="G61" s="17">
        <f t="shared" si="3"/>
        <v>11.79</v>
      </c>
      <c r="H61" s="17">
        <f t="shared" si="4"/>
        <v>0</v>
      </c>
      <c r="I61" s="17">
        <f t="shared" si="5"/>
        <v>0</v>
      </c>
      <c r="J61" s="18">
        <f t="shared" si="6"/>
        <v>0</v>
      </c>
      <c r="K61" s="18">
        <f t="shared" si="7"/>
        <v>0</v>
      </c>
      <c r="L61" s="18">
        <f t="shared" si="1"/>
        <v>11.79</v>
      </c>
      <c r="M61" s="18">
        <f t="shared" si="9"/>
        <v>0</v>
      </c>
      <c r="N61" s="18">
        <f t="shared" si="2"/>
        <v>11.79</v>
      </c>
      <c r="O61" s="8"/>
    </row>
    <row r="62" spans="1:15">
      <c r="A62" s="1" t="s">
        <v>52</v>
      </c>
      <c r="B62" s="11"/>
      <c r="C62" s="11">
        <v>1710000</v>
      </c>
      <c r="D62" s="11">
        <v>1710000</v>
      </c>
      <c r="E62" s="11">
        <v>0</v>
      </c>
      <c r="F62" s="11">
        <f t="shared" si="0"/>
        <v>0</v>
      </c>
      <c r="G62" s="17">
        <f t="shared" si="3"/>
        <v>40.090000000000003</v>
      </c>
      <c r="H62" s="17">
        <f t="shared" si="4"/>
        <v>0</v>
      </c>
      <c r="I62" s="17">
        <f t="shared" si="5"/>
        <v>0</v>
      </c>
      <c r="J62" s="18">
        <f t="shared" si="6"/>
        <v>0</v>
      </c>
      <c r="K62" s="18">
        <f t="shared" si="7"/>
        <v>0</v>
      </c>
      <c r="L62" s="18">
        <f t="shared" si="1"/>
        <v>40.090000000000003</v>
      </c>
      <c r="M62" s="18">
        <f t="shared" si="9"/>
        <v>0</v>
      </c>
      <c r="N62" s="18">
        <f t="shared" si="2"/>
        <v>40.090000000000003</v>
      </c>
      <c r="O62" s="8"/>
    </row>
    <row r="63" spans="1:15">
      <c r="A63" s="1" t="s">
        <v>53</v>
      </c>
      <c r="B63" s="11"/>
      <c r="C63" s="11">
        <v>2330000</v>
      </c>
      <c r="D63" s="11">
        <v>2330000</v>
      </c>
      <c r="E63" s="11">
        <v>0</v>
      </c>
      <c r="F63" s="11">
        <f t="shared" si="0"/>
        <v>0</v>
      </c>
      <c r="G63" s="17">
        <f t="shared" si="3"/>
        <v>40.090000000000003</v>
      </c>
      <c r="H63" s="17">
        <f t="shared" si="4"/>
        <v>0</v>
      </c>
      <c r="I63" s="17">
        <f t="shared" si="5"/>
        <v>0</v>
      </c>
      <c r="J63" s="18">
        <f t="shared" si="6"/>
        <v>0</v>
      </c>
      <c r="K63" s="18">
        <f t="shared" si="7"/>
        <v>0</v>
      </c>
      <c r="L63" s="18">
        <f t="shared" si="1"/>
        <v>40.090000000000003</v>
      </c>
      <c r="M63" s="18">
        <f t="shared" si="9"/>
        <v>0</v>
      </c>
      <c r="N63" s="18">
        <f t="shared" si="2"/>
        <v>40.090000000000003</v>
      </c>
      <c r="O63" s="8"/>
    </row>
    <row r="64" spans="1:15">
      <c r="A64" s="1" t="s">
        <v>54</v>
      </c>
      <c r="B64" s="11"/>
      <c r="C64" s="11">
        <v>3340000</v>
      </c>
      <c r="D64" s="11">
        <v>3340000</v>
      </c>
      <c r="E64" s="11">
        <v>0</v>
      </c>
      <c r="F64" s="11">
        <f t="shared" si="0"/>
        <v>0</v>
      </c>
      <c r="G64" s="17">
        <f t="shared" si="3"/>
        <v>40.090000000000003</v>
      </c>
      <c r="H64" s="17">
        <f t="shared" si="4"/>
        <v>0</v>
      </c>
      <c r="I64" s="17">
        <f t="shared" si="5"/>
        <v>0</v>
      </c>
      <c r="J64" s="18">
        <f t="shared" si="6"/>
        <v>0</v>
      </c>
      <c r="K64" s="18">
        <f t="shared" si="7"/>
        <v>0</v>
      </c>
      <c r="L64" s="18">
        <f t="shared" si="1"/>
        <v>40.090000000000003</v>
      </c>
      <c r="M64" s="18">
        <f t="shared" si="9"/>
        <v>0</v>
      </c>
      <c r="N64" s="18">
        <f t="shared" si="2"/>
        <v>40.090000000000003</v>
      </c>
      <c r="O64" s="8"/>
    </row>
    <row r="65" spans="1:15">
      <c r="A65" s="1" t="s">
        <v>55</v>
      </c>
      <c r="B65" s="11" t="s">
        <v>138</v>
      </c>
      <c r="C65" s="11">
        <v>0</v>
      </c>
      <c r="D65" s="11">
        <v>0</v>
      </c>
      <c r="E65" s="11">
        <v>0</v>
      </c>
      <c r="F65" s="11">
        <f t="shared" si="0"/>
        <v>0</v>
      </c>
      <c r="G65" s="17">
        <f t="shared" si="3"/>
        <v>11.79</v>
      </c>
      <c r="H65" s="17">
        <f t="shared" si="4"/>
        <v>0</v>
      </c>
      <c r="I65" s="17">
        <f t="shared" si="5"/>
        <v>0</v>
      </c>
      <c r="J65" s="18">
        <f t="shared" si="6"/>
        <v>0</v>
      </c>
      <c r="K65" s="18">
        <f t="shared" si="7"/>
        <v>0</v>
      </c>
      <c r="L65" s="18">
        <f t="shared" si="1"/>
        <v>11.79</v>
      </c>
      <c r="M65" s="18">
        <f t="shared" si="9"/>
        <v>0</v>
      </c>
      <c r="N65" s="18">
        <f t="shared" si="2"/>
        <v>11.79</v>
      </c>
      <c r="O65" s="8"/>
    </row>
    <row r="66" spans="1:15">
      <c r="A66" s="1" t="s">
        <v>56</v>
      </c>
      <c r="B66" s="11"/>
      <c r="C66" s="11">
        <v>1518000</v>
      </c>
      <c r="D66" s="11">
        <v>1518000</v>
      </c>
      <c r="E66" s="11">
        <v>0</v>
      </c>
      <c r="F66" s="11">
        <f t="shared" si="0"/>
        <v>0</v>
      </c>
      <c r="G66" s="17">
        <f t="shared" si="3"/>
        <v>40.090000000000003</v>
      </c>
      <c r="H66" s="17">
        <f t="shared" si="4"/>
        <v>0</v>
      </c>
      <c r="I66" s="17">
        <f t="shared" si="5"/>
        <v>0</v>
      </c>
      <c r="J66" s="18">
        <f t="shared" si="6"/>
        <v>0</v>
      </c>
      <c r="K66" s="18">
        <f t="shared" si="7"/>
        <v>0</v>
      </c>
      <c r="L66" s="18">
        <f t="shared" si="1"/>
        <v>40.090000000000003</v>
      </c>
      <c r="M66" s="18">
        <f t="shared" si="9"/>
        <v>0</v>
      </c>
      <c r="N66" s="18">
        <f t="shared" si="2"/>
        <v>40.090000000000003</v>
      </c>
      <c r="O66" s="8"/>
    </row>
    <row r="67" spans="1:15">
      <c r="A67" s="1" t="s">
        <v>57</v>
      </c>
      <c r="B67" s="11"/>
      <c r="C67" s="11">
        <v>1616000</v>
      </c>
      <c r="D67" s="11">
        <v>1616000</v>
      </c>
      <c r="E67" s="11">
        <v>0</v>
      </c>
      <c r="F67" s="11">
        <f t="shared" si="0"/>
        <v>0</v>
      </c>
      <c r="G67" s="17">
        <f t="shared" si="3"/>
        <v>40.090000000000003</v>
      </c>
      <c r="H67" s="17">
        <f t="shared" si="4"/>
        <v>0</v>
      </c>
      <c r="I67" s="17">
        <f t="shared" si="5"/>
        <v>0</v>
      </c>
      <c r="J67" s="18">
        <f t="shared" si="6"/>
        <v>0</v>
      </c>
      <c r="K67" s="18">
        <f t="shared" si="7"/>
        <v>0</v>
      </c>
      <c r="L67" s="18">
        <f t="shared" si="1"/>
        <v>40.090000000000003</v>
      </c>
      <c r="M67" s="18">
        <f t="shared" si="9"/>
        <v>0</v>
      </c>
      <c r="N67" s="18">
        <f t="shared" si="2"/>
        <v>40.090000000000003</v>
      </c>
      <c r="O67" s="8"/>
    </row>
    <row r="68" spans="1:15">
      <c r="A68" s="1" t="s">
        <v>58</v>
      </c>
      <c r="B68" s="11" t="s">
        <v>138</v>
      </c>
      <c r="C68" s="11">
        <v>0</v>
      </c>
      <c r="D68" s="11">
        <v>0</v>
      </c>
      <c r="E68" s="11">
        <v>0</v>
      </c>
      <c r="F68" s="11">
        <f t="shared" si="0"/>
        <v>0</v>
      </c>
      <c r="G68" s="17">
        <f t="shared" si="3"/>
        <v>11.79</v>
      </c>
      <c r="H68" s="17">
        <f t="shared" si="4"/>
        <v>0</v>
      </c>
      <c r="I68" s="17">
        <f t="shared" si="5"/>
        <v>0</v>
      </c>
      <c r="J68" s="18">
        <f t="shared" si="6"/>
        <v>0</v>
      </c>
      <c r="K68" s="18">
        <f t="shared" si="7"/>
        <v>0</v>
      </c>
      <c r="L68" s="18">
        <f t="shared" si="1"/>
        <v>11.79</v>
      </c>
      <c r="M68" s="18">
        <f t="shared" si="9"/>
        <v>0</v>
      </c>
      <c r="N68" s="18">
        <f t="shared" si="2"/>
        <v>11.79</v>
      </c>
      <c r="O68" s="8"/>
    </row>
    <row r="69" spans="1:15">
      <c r="A69" s="1" t="s">
        <v>59</v>
      </c>
      <c r="B69" s="11" t="s">
        <v>138</v>
      </c>
      <c r="C69" s="11">
        <v>0</v>
      </c>
      <c r="D69" s="11">
        <v>0</v>
      </c>
      <c r="E69" s="11">
        <v>0</v>
      </c>
      <c r="F69" s="11">
        <f t="shared" si="0"/>
        <v>0</v>
      </c>
      <c r="G69" s="17">
        <f t="shared" si="3"/>
        <v>11.79</v>
      </c>
      <c r="H69" s="17">
        <f t="shared" si="4"/>
        <v>0</v>
      </c>
      <c r="I69" s="17">
        <f t="shared" si="5"/>
        <v>0</v>
      </c>
      <c r="J69" s="18">
        <f t="shared" si="6"/>
        <v>0</v>
      </c>
      <c r="K69" s="18">
        <f t="shared" si="7"/>
        <v>0</v>
      </c>
      <c r="L69" s="18">
        <f t="shared" si="1"/>
        <v>11.79</v>
      </c>
      <c r="M69" s="18">
        <f t="shared" si="9"/>
        <v>0</v>
      </c>
      <c r="N69" s="18">
        <f t="shared" si="2"/>
        <v>11.79</v>
      </c>
      <c r="O69" s="8"/>
    </row>
    <row r="70" spans="1:15">
      <c r="A70" s="1" t="s">
        <v>60</v>
      </c>
      <c r="B70" s="11" t="s">
        <v>138</v>
      </c>
      <c r="C70" s="11">
        <v>0</v>
      </c>
      <c r="D70" s="11">
        <v>0</v>
      </c>
      <c r="E70" s="11">
        <v>0</v>
      </c>
      <c r="F70" s="11">
        <f t="shared" si="0"/>
        <v>0</v>
      </c>
      <c r="G70" s="17">
        <f t="shared" si="3"/>
        <v>11.79</v>
      </c>
      <c r="H70" s="17">
        <f t="shared" si="4"/>
        <v>0</v>
      </c>
      <c r="I70" s="17">
        <f t="shared" si="5"/>
        <v>0</v>
      </c>
      <c r="J70" s="18">
        <f t="shared" si="6"/>
        <v>0</v>
      </c>
      <c r="K70" s="18">
        <f t="shared" si="7"/>
        <v>0</v>
      </c>
      <c r="L70" s="18">
        <f t="shared" si="1"/>
        <v>11.79</v>
      </c>
      <c r="M70" s="18">
        <f t="shared" si="9"/>
        <v>0</v>
      </c>
      <c r="N70" s="18">
        <f t="shared" si="2"/>
        <v>11.79</v>
      </c>
      <c r="O70" s="8"/>
    </row>
    <row r="71" spans="1:15">
      <c r="A71" s="1" t="s">
        <v>61</v>
      </c>
      <c r="B71" s="11"/>
      <c r="C71" s="11">
        <v>1347000</v>
      </c>
      <c r="D71" s="11">
        <v>1347000</v>
      </c>
      <c r="E71" s="11">
        <v>0</v>
      </c>
      <c r="F71" s="11">
        <f t="shared" si="0"/>
        <v>0</v>
      </c>
      <c r="G71" s="17">
        <f t="shared" si="3"/>
        <v>40.090000000000003</v>
      </c>
      <c r="H71" s="17">
        <f t="shared" si="4"/>
        <v>0</v>
      </c>
      <c r="I71" s="17">
        <f t="shared" si="5"/>
        <v>0</v>
      </c>
      <c r="J71" s="18">
        <f t="shared" si="6"/>
        <v>0</v>
      </c>
      <c r="K71" s="18">
        <f t="shared" si="7"/>
        <v>0</v>
      </c>
      <c r="L71" s="18">
        <f t="shared" si="1"/>
        <v>40.090000000000003</v>
      </c>
      <c r="M71" s="18">
        <f t="shared" si="9"/>
        <v>0</v>
      </c>
      <c r="N71" s="18">
        <f t="shared" si="2"/>
        <v>40.090000000000003</v>
      </c>
      <c r="O71" s="8"/>
    </row>
    <row r="72" spans="1:15">
      <c r="A72" s="1" t="s">
        <v>62</v>
      </c>
      <c r="B72" s="11"/>
      <c r="C72" s="11">
        <v>1909000</v>
      </c>
      <c r="D72" s="11">
        <v>1909000</v>
      </c>
      <c r="E72" s="11">
        <v>0</v>
      </c>
      <c r="F72" s="11">
        <f t="shared" si="0"/>
        <v>0</v>
      </c>
      <c r="G72" s="17">
        <f t="shared" si="3"/>
        <v>40.090000000000003</v>
      </c>
      <c r="H72" s="17">
        <f t="shared" si="4"/>
        <v>0</v>
      </c>
      <c r="I72" s="17">
        <f t="shared" si="5"/>
        <v>0</v>
      </c>
      <c r="J72" s="18">
        <f t="shared" si="6"/>
        <v>0</v>
      </c>
      <c r="K72" s="18">
        <f t="shared" si="7"/>
        <v>0</v>
      </c>
      <c r="L72" s="18">
        <f t="shared" si="1"/>
        <v>40.090000000000003</v>
      </c>
      <c r="M72" s="18">
        <f t="shared" si="9"/>
        <v>0</v>
      </c>
      <c r="N72" s="18">
        <f t="shared" si="2"/>
        <v>40.090000000000003</v>
      </c>
      <c r="O72" s="8"/>
    </row>
    <row r="73" spans="1:15">
      <c r="A73" s="1" t="s">
        <v>63</v>
      </c>
      <c r="B73" s="11" t="s">
        <v>138</v>
      </c>
      <c r="C73" s="11">
        <v>0</v>
      </c>
      <c r="D73" s="11">
        <v>0</v>
      </c>
      <c r="E73" s="11">
        <v>0</v>
      </c>
      <c r="F73" s="11">
        <f t="shared" si="0"/>
        <v>0</v>
      </c>
      <c r="G73" s="17">
        <f t="shared" si="3"/>
        <v>11.79</v>
      </c>
      <c r="H73" s="17">
        <f t="shared" si="4"/>
        <v>0</v>
      </c>
      <c r="I73" s="17">
        <f t="shared" si="5"/>
        <v>0</v>
      </c>
      <c r="J73" s="18">
        <f t="shared" si="6"/>
        <v>0</v>
      </c>
      <c r="K73" s="18">
        <f t="shared" si="7"/>
        <v>0</v>
      </c>
      <c r="L73" s="18">
        <f t="shared" si="1"/>
        <v>11.79</v>
      </c>
      <c r="M73" s="18">
        <f t="shared" si="9"/>
        <v>0</v>
      </c>
      <c r="N73" s="18">
        <f t="shared" si="2"/>
        <v>11.79</v>
      </c>
      <c r="O73" s="8"/>
    </row>
    <row r="74" spans="1:15">
      <c r="A74" s="1" t="s">
        <v>64</v>
      </c>
      <c r="B74" s="11"/>
      <c r="C74" s="11">
        <v>4919000</v>
      </c>
      <c r="D74" s="11">
        <v>4919000</v>
      </c>
      <c r="E74" s="11">
        <v>0</v>
      </c>
      <c r="F74" s="11">
        <f t="shared" si="0"/>
        <v>0</v>
      </c>
      <c r="G74" s="17">
        <f t="shared" si="3"/>
        <v>40.090000000000003</v>
      </c>
      <c r="H74" s="17">
        <f t="shared" si="4"/>
        <v>0</v>
      </c>
      <c r="I74" s="17">
        <f t="shared" si="5"/>
        <v>0</v>
      </c>
      <c r="J74" s="18">
        <f t="shared" si="6"/>
        <v>0</v>
      </c>
      <c r="K74" s="18">
        <f t="shared" si="7"/>
        <v>0</v>
      </c>
      <c r="L74" s="18">
        <f t="shared" si="1"/>
        <v>40.090000000000003</v>
      </c>
      <c r="M74" s="18">
        <f t="shared" si="9"/>
        <v>0</v>
      </c>
      <c r="N74" s="18">
        <f t="shared" si="2"/>
        <v>40.090000000000003</v>
      </c>
      <c r="O74" s="8"/>
    </row>
    <row r="75" spans="1:15">
      <c r="A75" s="1" t="s">
        <v>65</v>
      </c>
      <c r="B75" s="11"/>
      <c r="C75" s="11">
        <v>6644000</v>
      </c>
      <c r="D75" s="11">
        <v>6644000</v>
      </c>
      <c r="E75" s="11">
        <v>0</v>
      </c>
      <c r="F75" s="11">
        <f t="shared" ref="F75:F136" si="10">($D75-$C75)+$E75</f>
        <v>0</v>
      </c>
      <c r="G75" s="17">
        <f t="shared" si="3"/>
        <v>40.090000000000003</v>
      </c>
      <c r="H75" s="17">
        <f t="shared" si="4"/>
        <v>0</v>
      </c>
      <c r="I75" s="17">
        <f t="shared" si="5"/>
        <v>0</v>
      </c>
      <c r="J75" s="18">
        <f t="shared" si="6"/>
        <v>0</v>
      </c>
      <c r="K75" s="18">
        <f t="shared" si="7"/>
        <v>0</v>
      </c>
      <c r="L75" s="18">
        <f t="shared" si="1"/>
        <v>40.090000000000003</v>
      </c>
      <c r="M75" s="18">
        <f t="shared" si="9"/>
        <v>0</v>
      </c>
      <c r="N75" s="18">
        <f t="shared" si="2"/>
        <v>40.090000000000003</v>
      </c>
      <c r="O75" s="8"/>
    </row>
    <row r="76" spans="1:15">
      <c r="A76" s="1" t="s">
        <v>66</v>
      </c>
      <c r="B76" s="11"/>
      <c r="C76" s="11">
        <v>9231000</v>
      </c>
      <c r="D76" s="11">
        <v>9231000</v>
      </c>
      <c r="E76" s="11">
        <v>0</v>
      </c>
      <c r="F76" s="11">
        <f t="shared" si="10"/>
        <v>0</v>
      </c>
      <c r="G76" s="17">
        <f t="shared" si="3"/>
        <v>40.090000000000003</v>
      </c>
      <c r="H76" s="17">
        <f t="shared" si="4"/>
        <v>0</v>
      </c>
      <c r="I76" s="17">
        <f t="shared" si="5"/>
        <v>0</v>
      </c>
      <c r="J76" s="18">
        <f t="shared" si="6"/>
        <v>0</v>
      </c>
      <c r="K76" s="18">
        <f t="shared" si="7"/>
        <v>0</v>
      </c>
      <c r="L76" s="18">
        <f t="shared" ref="L76:L136" si="11">SUM(G76:K76)</f>
        <v>40.090000000000003</v>
      </c>
      <c r="M76" s="18">
        <f t="shared" si="9"/>
        <v>0</v>
      </c>
      <c r="N76" s="18">
        <f t="shared" ref="N76:N136" si="12">SUM(L76:M76)</f>
        <v>40.090000000000003</v>
      </c>
      <c r="O76" s="8"/>
    </row>
    <row r="77" spans="1:15">
      <c r="A77" s="1" t="s">
        <v>67</v>
      </c>
      <c r="B77" s="11" t="s">
        <v>138</v>
      </c>
      <c r="C77" s="11">
        <v>0</v>
      </c>
      <c r="D77" s="11">
        <v>0</v>
      </c>
      <c r="E77" s="11">
        <v>0</v>
      </c>
      <c r="F77" s="11">
        <f t="shared" si="10"/>
        <v>0</v>
      </c>
      <c r="G77" s="17">
        <f t="shared" si="3"/>
        <v>11.79</v>
      </c>
      <c r="H77" s="17">
        <f t="shared" si="4"/>
        <v>0</v>
      </c>
      <c r="I77" s="17">
        <f t="shared" si="5"/>
        <v>0</v>
      </c>
      <c r="J77" s="18">
        <f t="shared" si="6"/>
        <v>0</v>
      </c>
      <c r="K77" s="18">
        <f t="shared" si="7"/>
        <v>0</v>
      </c>
      <c r="L77" s="18">
        <f t="shared" si="11"/>
        <v>11.79</v>
      </c>
      <c r="M77" s="18">
        <f t="shared" si="9"/>
        <v>0</v>
      </c>
      <c r="N77" s="18">
        <f t="shared" si="12"/>
        <v>11.79</v>
      </c>
      <c r="O77" s="8"/>
    </row>
    <row r="78" spans="1:15">
      <c r="A78" s="1" t="s">
        <v>68</v>
      </c>
      <c r="B78" s="11"/>
      <c r="C78" s="11">
        <v>3587000</v>
      </c>
      <c r="D78" s="11">
        <v>3587000</v>
      </c>
      <c r="E78" s="11">
        <v>0</v>
      </c>
      <c r="F78" s="11">
        <f t="shared" si="10"/>
        <v>0</v>
      </c>
      <c r="G78" s="17">
        <f t="shared" si="3"/>
        <v>40.090000000000003</v>
      </c>
      <c r="H78" s="17">
        <f t="shared" si="4"/>
        <v>0</v>
      </c>
      <c r="I78" s="17">
        <f t="shared" si="5"/>
        <v>0</v>
      </c>
      <c r="J78" s="18">
        <f t="shared" si="6"/>
        <v>0</v>
      </c>
      <c r="K78" s="18">
        <f t="shared" si="7"/>
        <v>0</v>
      </c>
      <c r="L78" s="18">
        <f t="shared" si="11"/>
        <v>40.090000000000003</v>
      </c>
      <c r="M78" s="18">
        <f t="shared" si="9"/>
        <v>0</v>
      </c>
      <c r="N78" s="18">
        <f t="shared" si="12"/>
        <v>40.090000000000003</v>
      </c>
      <c r="O78" s="8"/>
    </row>
    <row r="79" spans="1:15">
      <c r="A79" s="1" t="s">
        <v>69</v>
      </c>
      <c r="B79" s="11"/>
      <c r="C79" s="11">
        <v>2312000</v>
      </c>
      <c r="D79" s="11">
        <v>2312000</v>
      </c>
      <c r="E79" s="11">
        <v>0</v>
      </c>
      <c r="F79" s="11">
        <f t="shared" si="10"/>
        <v>0</v>
      </c>
      <c r="G79" s="17">
        <f t="shared" si="3"/>
        <v>40.090000000000003</v>
      </c>
      <c r="H79" s="17">
        <f t="shared" si="4"/>
        <v>0</v>
      </c>
      <c r="I79" s="17">
        <f t="shared" si="5"/>
        <v>0</v>
      </c>
      <c r="J79" s="18">
        <f t="shared" si="6"/>
        <v>0</v>
      </c>
      <c r="K79" s="18">
        <f t="shared" si="7"/>
        <v>0</v>
      </c>
      <c r="L79" s="18">
        <f t="shared" si="11"/>
        <v>40.090000000000003</v>
      </c>
      <c r="M79" s="18">
        <f t="shared" si="9"/>
        <v>0</v>
      </c>
      <c r="N79" s="18">
        <f t="shared" si="12"/>
        <v>40.090000000000003</v>
      </c>
      <c r="O79" s="8"/>
    </row>
    <row r="80" spans="1:15">
      <c r="A80" s="1" t="s">
        <v>70</v>
      </c>
      <c r="B80" s="11"/>
      <c r="C80" s="11">
        <v>1414000</v>
      </c>
      <c r="D80" s="11">
        <v>1414000</v>
      </c>
      <c r="E80" s="11">
        <v>0</v>
      </c>
      <c r="F80" s="11">
        <f t="shared" si="10"/>
        <v>0</v>
      </c>
      <c r="G80" s="17">
        <f t="shared" si="3"/>
        <v>40.090000000000003</v>
      </c>
      <c r="H80" s="17">
        <f t="shared" si="4"/>
        <v>0</v>
      </c>
      <c r="I80" s="17">
        <f t="shared" si="5"/>
        <v>0</v>
      </c>
      <c r="J80" s="18">
        <f t="shared" si="6"/>
        <v>0</v>
      </c>
      <c r="K80" s="18">
        <f t="shared" si="7"/>
        <v>0</v>
      </c>
      <c r="L80" s="18">
        <f t="shared" si="11"/>
        <v>40.090000000000003</v>
      </c>
      <c r="M80" s="18">
        <f t="shared" si="9"/>
        <v>0</v>
      </c>
      <c r="N80" s="18">
        <f t="shared" si="12"/>
        <v>40.090000000000003</v>
      </c>
      <c r="O80" s="8"/>
    </row>
    <row r="81" spans="1:15">
      <c r="A81" s="1" t="s">
        <v>71</v>
      </c>
      <c r="B81" s="11" t="s">
        <v>138</v>
      </c>
      <c r="C81" s="11">
        <v>0</v>
      </c>
      <c r="D81" s="11">
        <v>0</v>
      </c>
      <c r="E81" s="11">
        <v>0</v>
      </c>
      <c r="F81" s="11">
        <f t="shared" si="10"/>
        <v>0</v>
      </c>
      <c r="G81" s="17">
        <f t="shared" ref="G81:G136" si="13">IF(OR($F81&gt;0,$B81=""),40.09,11.79)</f>
        <v>11.79</v>
      </c>
      <c r="H81" s="17">
        <f t="shared" ref="H81:H136" si="14">IF(AND((($F81-10000)&gt;=0),(($F81-10000)&lt;= 10000)),($F81-10000)/1000*2.18,IF(($F81-10000)&gt;=10000,2.18*10,0))</f>
        <v>0</v>
      </c>
      <c r="I81" s="17">
        <f t="shared" ref="I81:I136" si="15">IF(AND((($F81-20000)&gt;=0),(($F81-20000)&lt;=10000)),($F81-20000)/1000*2.53,IF(($F81-20000)&gt;=10000,2.53*10,0))</f>
        <v>0</v>
      </c>
      <c r="J81" s="18">
        <f t="shared" ref="J81:J136" si="16">IF(AND((($F81-30000)&gt;=0),(($F81-30000)&lt;=10000)),($F81-30000)/1000*2.95,IF(($F81-30000)&gt;=10000,2.95*10,0))</f>
        <v>0</v>
      </c>
      <c r="K81" s="18">
        <f t="shared" ref="K81:K136" si="17">IF((($F81-40000)&gt;=0),($F81-40000)/1000*3.42,0)</f>
        <v>0</v>
      </c>
      <c r="L81" s="18">
        <f t="shared" si="11"/>
        <v>11.79</v>
      </c>
      <c r="M81" s="18">
        <f t="shared" ref="M81:M112" si="18">IF(   $H$5=1,    IF((F81-$H$6)&gt;0,((F81-$H$6)/$N$7)*$E$8,0),   IF(F81&gt;0,(F81/$N$4)*$E$8,0)    )</f>
        <v>0</v>
      </c>
      <c r="N81" s="18">
        <f t="shared" si="12"/>
        <v>11.79</v>
      </c>
      <c r="O81" s="8"/>
    </row>
    <row r="82" spans="1:15">
      <c r="A82" s="1" t="s">
        <v>72</v>
      </c>
      <c r="B82" s="11"/>
      <c r="C82" s="11">
        <v>134000</v>
      </c>
      <c r="D82" s="11">
        <v>134000</v>
      </c>
      <c r="E82" s="11">
        <v>0</v>
      </c>
      <c r="F82" s="11">
        <f t="shared" si="10"/>
        <v>0</v>
      </c>
      <c r="G82" s="17">
        <f t="shared" si="13"/>
        <v>40.090000000000003</v>
      </c>
      <c r="H82" s="17">
        <f t="shared" si="14"/>
        <v>0</v>
      </c>
      <c r="I82" s="17">
        <f t="shared" si="15"/>
        <v>0</v>
      </c>
      <c r="J82" s="18">
        <f t="shared" si="16"/>
        <v>0</v>
      </c>
      <c r="K82" s="18">
        <f t="shared" si="17"/>
        <v>0</v>
      </c>
      <c r="L82" s="18">
        <f t="shared" si="11"/>
        <v>40.090000000000003</v>
      </c>
      <c r="M82" s="18">
        <f t="shared" si="18"/>
        <v>0</v>
      </c>
      <c r="N82" s="18">
        <f t="shared" si="12"/>
        <v>40.090000000000003</v>
      </c>
      <c r="O82" s="8" t="s">
        <v>139</v>
      </c>
    </row>
    <row r="83" spans="1:15">
      <c r="A83" s="1" t="s">
        <v>73</v>
      </c>
      <c r="B83" s="11"/>
      <c r="C83" s="11">
        <v>1943000</v>
      </c>
      <c r="D83" s="11">
        <v>1943000</v>
      </c>
      <c r="E83" s="11">
        <v>0</v>
      </c>
      <c r="F83" s="11">
        <f t="shared" si="10"/>
        <v>0</v>
      </c>
      <c r="G83" s="17">
        <f t="shared" si="13"/>
        <v>40.090000000000003</v>
      </c>
      <c r="H83" s="17">
        <f t="shared" si="14"/>
        <v>0</v>
      </c>
      <c r="I83" s="17">
        <f t="shared" si="15"/>
        <v>0</v>
      </c>
      <c r="J83" s="18">
        <f t="shared" si="16"/>
        <v>0</v>
      </c>
      <c r="K83" s="18">
        <f t="shared" si="17"/>
        <v>0</v>
      </c>
      <c r="L83" s="18">
        <f t="shared" si="11"/>
        <v>40.090000000000003</v>
      </c>
      <c r="M83" s="18">
        <f t="shared" si="18"/>
        <v>0</v>
      </c>
      <c r="N83" s="18">
        <f t="shared" si="12"/>
        <v>40.090000000000003</v>
      </c>
      <c r="O83" s="8"/>
    </row>
    <row r="84" spans="1:15">
      <c r="A84" s="1" t="s">
        <v>74</v>
      </c>
      <c r="B84" s="11" t="s">
        <v>138</v>
      </c>
      <c r="C84" s="11">
        <v>0</v>
      </c>
      <c r="D84" s="11">
        <v>0</v>
      </c>
      <c r="E84" s="11">
        <v>0</v>
      </c>
      <c r="F84" s="11">
        <f t="shared" si="10"/>
        <v>0</v>
      </c>
      <c r="G84" s="17">
        <f t="shared" si="13"/>
        <v>11.79</v>
      </c>
      <c r="H84" s="17">
        <f t="shared" si="14"/>
        <v>0</v>
      </c>
      <c r="I84" s="17">
        <f t="shared" si="15"/>
        <v>0</v>
      </c>
      <c r="J84" s="18">
        <f t="shared" si="16"/>
        <v>0</v>
      </c>
      <c r="K84" s="18">
        <f t="shared" si="17"/>
        <v>0</v>
      </c>
      <c r="L84" s="18">
        <f t="shared" si="11"/>
        <v>11.79</v>
      </c>
      <c r="M84" s="18">
        <f t="shared" si="18"/>
        <v>0</v>
      </c>
      <c r="N84" s="18">
        <f t="shared" si="12"/>
        <v>11.79</v>
      </c>
      <c r="O84" s="8"/>
    </row>
    <row r="85" spans="1:15">
      <c r="A85" s="1" t="s">
        <v>75</v>
      </c>
      <c r="B85" s="11"/>
      <c r="C85" s="11">
        <v>727000</v>
      </c>
      <c r="D85" s="11">
        <v>727000</v>
      </c>
      <c r="E85" s="11">
        <v>0</v>
      </c>
      <c r="F85" s="11">
        <f t="shared" si="10"/>
        <v>0</v>
      </c>
      <c r="G85" s="17">
        <f t="shared" si="13"/>
        <v>40.090000000000003</v>
      </c>
      <c r="H85" s="17">
        <f t="shared" si="14"/>
        <v>0</v>
      </c>
      <c r="I85" s="17">
        <f t="shared" si="15"/>
        <v>0</v>
      </c>
      <c r="J85" s="18">
        <f t="shared" si="16"/>
        <v>0</v>
      </c>
      <c r="K85" s="18">
        <f t="shared" si="17"/>
        <v>0</v>
      </c>
      <c r="L85" s="18">
        <f t="shared" si="11"/>
        <v>40.090000000000003</v>
      </c>
      <c r="M85" s="18">
        <f t="shared" si="18"/>
        <v>0</v>
      </c>
      <c r="N85" s="18">
        <f t="shared" si="12"/>
        <v>40.090000000000003</v>
      </c>
      <c r="O85" s="8"/>
    </row>
    <row r="86" spans="1:15">
      <c r="A86" s="1" t="s">
        <v>76</v>
      </c>
      <c r="B86" s="11"/>
      <c r="C86" s="11">
        <v>134000</v>
      </c>
      <c r="D86" s="11">
        <v>134000</v>
      </c>
      <c r="E86" s="11">
        <v>0</v>
      </c>
      <c r="F86" s="11">
        <f t="shared" si="10"/>
        <v>0</v>
      </c>
      <c r="G86" s="17">
        <f t="shared" si="13"/>
        <v>40.090000000000003</v>
      </c>
      <c r="H86" s="17">
        <f t="shared" si="14"/>
        <v>0</v>
      </c>
      <c r="I86" s="17">
        <f t="shared" si="15"/>
        <v>0</v>
      </c>
      <c r="J86" s="18">
        <f t="shared" si="16"/>
        <v>0</v>
      </c>
      <c r="K86" s="18">
        <f t="shared" si="17"/>
        <v>0</v>
      </c>
      <c r="L86" s="18">
        <f t="shared" si="11"/>
        <v>40.090000000000003</v>
      </c>
      <c r="M86" s="18">
        <f t="shared" si="18"/>
        <v>0</v>
      </c>
      <c r="N86" s="18">
        <f t="shared" si="12"/>
        <v>40.090000000000003</v>
      </c>
      <c r="O86" s="8" t="s">
        <v>139</v>
      </c>
    </row>
    <row r="87" spans="1:15">
      <c r="A87" s="1" t="s">
        <v>77</v>
      </c>
      <c r="B87" s="11"/>
      <c r="C87" s="11">
        <v>102000</v>
      </c>
      <c r="D87" s="11">
        <v>102000</v>
      </c>
      <c r="E87" s="11">
        <v>0</v>
      </c>
      <c r="F87" s="11">
        <f t="shared" si="10"/>
        <v>0</v>
      </c>
      <c r="G87" s="17">
        <f t="shared" si="13"/>
        <v>40.090000000000003</v>
      </c>
      <c r="H87" s="17">
        <f t="shared" si="14"/>
        <v>0</v>
      </c>
      <c r="I87" s="17">
        <f t="shared" si="15"/>
        <v>0</v>
      </c>
      <c r="J87" s="18">
        <f t="shared" si="16"/>
        <v>0</v>
      </c>
      <c r="K87" s="18">
        <f t="shared" si="17"/>
        <v>0</v>
      </c>
      <c r="L87" s="18">
        <f t="shared" si="11"/>
        <v>40.090000000000003</v>
      </c>
      <c r="M87" s="18">
        <f t="shared" si="18"/>
        <v>0</v>
      </c>
      <c r="N87" s="18">
        <f t="shared" si="12"/>
        <v>40.090000000000003</v>
      </c>
      <c r="O87" s="8"/>
    </row>
    <row r="88" spans="1:15">
      <c r="A88" s="1" t="s">
        <v>78</v>
      </c>
      <c r="B88" s="11"/>
      <c r="C88" s="11">
        <v>1248000</v>
      </c>
      <c r="D88" s="11">
        <v>1248000</v>
      </c>
      <c r="E88" s="11">
        <v>0</v>
      </c>
      <c r="F88" s="11">
        <f t="shared" si="10"/>
        <v>0</v>
      </c>
      <c r="G88" s="17">
        <f t="shared" si="13"/>
        <v>40.090000000000003</v>
      </c>
      <c r="H88" s="17">
        <f t="shared" si="14"/>
        <v>0</v>
      </c>
      <c r="I88" s="17">
        <f t="shared" si="15"/>
        <v>0</v>
      </c>
      <c r="J88" s="18">
        <f t="shared" si="16"/>
        <v>0</v>
      </c>
      <c r="K88" s="18">
        <f t="shared" si="17"/>
        <v>0</v>
      </c>
      <c r="L88" s="18">
        <f t="shared" si="11"/>
        <v>40.090000000000003</v>
      </c>
      <c r="M88" s="18">
        <f t="shared" si="18"/>
        <v>0</v>
      </c>
      <c r="N88" s="18">
        <f t="shared" si="12"/>
        <v>40.090000000000003</v>
      </c>
      <c r="O88" s="8"/>
    </row>
    <row r="89" spans="1:15">
      <c r="A89" s="1" t="s">
        <v>79</v>
      </c>
      <c r="B89" s="11"/>
      <c r="C89" s="11">
        <v>3439000</v>
      </c>
      <c r="D89" s="11">
        <v>3439000</v>
      </c>
      <c r="E89" s="11">
        <v>0</v>
      </c>
      <c r="F89" s="11">
        <f t="shared" si="10"/>
        <v>0</v>
      </c>
      <c r="G89" s="17">
        <f t="shared" si="13"/>
        <v>40.090000000000003</v>
      </c>
      <c r="H89" s="17">
        <f t="shared" si="14"/>
        <v>0</v>
      </c>
      <c r="I89" s="17">
        <f t="shared" si="15"/>
        <v>0</v>
      </c>
      <c r="J89" s="18">
        <f t="shared" si="16"/>
        <v>0</v>
      </c>
      <c r="K89" s="18">
        <f t="shared" si="17"/>
        <v>0</v>
      </c>
      <c r="L89" s="18">
        <f t="shared" si="11"/>
        <v>40.090000000000003</v>
      </c>
      <c r="M89" s="18">
        <f t="shared" si="18"/>
        <v>0</v>
      </c>
      <c r="N89" s="18">
        <f t="shared" si="12"/>
        <v>40.090000000000003</v>
      </c>
      <c r="O89" s="8"/>
    </row>
    <row r="90" spans="1:15">
      <c r="A90" s="1" t="s">
        <v>80</v>
      </c>
      <c r="B90" s="11"/>
      <c r="C90" s="11">
        <v>3022000</v>
      </c>
      <c r="D90" s="11">
        <v>3022000</v>
      </c>
      <c r="E90" s="11">
        <v>0</v>
      </c>
      <c r="F90" s="11">
        <f t="shared" si="10"/>
        <v>0</v>
      </c>
      <c r="G90" s="17">
        <f t="shared" si="13"/>
        <v>40.090000000000003</v>
      </c>
      <c r="H90" s="17">
        <f t="shared" si="14"/>
        <v>0</v>
      </c>
      <c r="I90" s="17">
        <f t="shared" si="15"/>
        <v>0</v>
      </c>
      <c r="J90" s="18">
        <f t="shared" si="16"/>
        <v>0</v>
      </c>
      <c r="K90" s="18">
        <f t="shared" si="17"/>
        <v>0</v>
      </c>
      <c r="L90" s="18">
        <f t="shared" si="11"/>
        <v>40.090000000000003</v>
      </c>
      <c r="M90" s="18">
        <f t="shared" si="18"/>
        <v>0</v>
      </c>
      <c r="N90" s="18">
        <f t="shared" si="12"/>
        <v>40.090000000000003</v>
      </c>
      <c r="O90" s="8"/>
    </row>
    <row r="91" spans="1:15">
      <c r="A91" s="1" t="s">
        <v>81</v>
      </c>
      <c r="B91" s="11" t="s">
        <v>138</v>
      </c>
      <c r="C91" s="11">
        <v>0</v>
      </c>
      <c r="D91" s="11">
        <v>0</v>
      </c>
      <c r="E91" s="11">
        <v>0</v>
      </c>
      <c r="F91" s="11">
        <f t="shared" si="10"/>
        <v>0</v>
      </c>
      <c r="G91" s="17">
        <f t="shared" si="13"/>
        <v>11.79</v>
      </c>
      <c r="H91" s="17">
        <f t="shared" si="14"/>
        <v>0</v>
      </c>
      <c r="I91" s="17">
        <f t="shared" si="15"/>
        <v>0</v>
      </c>
      <c r="J91" s="18">
        <f t="shared" si="16"/>
        <v>0</v>
      </c>
      <c r="K91" s="18">
        <f t="shared" si="17"/>
        <v>0</v>
      </c>
      <c r="L91" s="18">
        <f t="shared" si="11"/>
        <v>11.79</v>
      </c>
      <c r="M91" s="18">
        <f t="shared" si="18"/>
        <v>0</v>
      </c>
      <c r="N91" s="18">
        <f t="shared" si="12"/>
        <v>11.79</v>
      </c>
      <c r="O91" s="8"/>
    </row>
    <row r="92" spans="1:15">
      <c r="A92" s="1" t="s">
        <v>82</v>
      </c>
      <c r="B92" s="11"/>
      <c r="C92" s="11">
        <v>3248000</v>
      </c>
      <c r="D92" s="11">
        <v>3248000</v>
      </c>
      <c r="E92" s="11">
        <v>0</v>
      </c>
      <c r="F92" s="11">
        <f t="shared" si="10"/>
        <v>0</v>
      </c>
      <c r="G92" s="17">
        <f t="shared" si="13"/>
        <v>40.090000000000003</v>
      </c>
      <c r="H92" s="17">
        <f t="shared" si="14"/>
        <v>0</v>
      </c>
      <c r="I92" s="17">
        <f t="shared" si="15"/>
        <v>0</v>
      </c>
      <c r="J92" s="18">
        <f t="shared" si="16"/>
        <v>0</v>
      </c>
      <c r="K92" s="18">
        <f t="shared" si="17"/>
        <v>0</v>
      </c>
      <c r="L92" s="18">
        <f t="shared" si="11"/>
        <v>40.090000000000003</v>
      </c>
      <c r="M92" s="18">
        <f t="shared" si="18"/>
        <v>0</v>
      </c>
      <c r="N92" s="18">
        <f t="shared" si="12"/>
        <v>40.090000000000003</v>
      </c>
      <c r="O92" s="8"/>
    </row>
    <row r="93" spans="1:15">
      <c r="A93" s="1" t="s">
        <v>83</v>
      </c>
      <c r="B93" s="11"/>
      <c r="C93" s="11">
        <v>7562000</v>
      </c>
      <c r="D93" s="11">
        <v>7562000</v>
      </c>
      <c r="E93" s="11">
        <v>0</v>
      </c>
      <c r="F93" s="11">
        <f t="shared" si="10"/>
        <v>0</v>
      </c>
      <c r="G93" s="17">
        <f t="shared" si="13"/>
        <v>40.090000000000003</v>
      </c>
      <c r="H93" s="17">
        <f t="shared" si="14"/>
        <v>0</v>
      </c>
      <c r="I93" s="17">
        <f t="shared" si="15"/>
        <v>0</v>
      </c>
      <c r="J93" s="18">
        <f t="shared" si="16"/>
        <v>0</v>
      </c>
      <c r="K93" s="18">
        <f t="shared" si="17"/>
        <v>0</v>
      </c>
      <c r="L93" s="18">
        <f t="shared" si="11"/>
        <v>40.090000000000003</v>
      </c>
      <c r="M93" s="18">
        <f t="shared" si="18"/>
        <v>0</v>
      </c>
      <c r="N93" s="18">
        <f t="shared" si="12"/>
        <v>40.090000000000003</v>
      </c>
      <c r="O93" s="8"/>
    </row>
    <row r="94" spans="1:15">
      <c r="A94" s="1" t="s">
        <v>84</v>
      </c>
      <c r="B94" s="11"/>
      <c r="C94" s="11">
        <v>3085000</v>
      </c>
      <c r="D94" s="11">
        <v>3085000</v>
      </c>
      <c r="E94" s="11">
        <v>0</v>
      </c>
      <c r="F94" s="11">
        <f t="shared" si="10"/>
        <v>0</v>
      </c>
      <c r="G94" s="17">
        <f t="shared" si="13"/>
        <v>40.090000000000003</v>
      </c>
      <c r="H94" s="17">
        <f t="shared" si="14"/>
        <v>0</v>
      </c>
      <c r="I94" s="17">
        <f t="shared" si="15"/>
        <v>0</v>
      </c>
      <c r="J94" s="18">
        <f t="shared" si="16"/>
        <v>0</v>
      </c>
      <c r="K94" s="18">
        <f t="shared" si="17"/>
        <v>0</v>
      </c>
      <c r="L94" s="18">
        <f t="shared" si="11"/>
        <v>40.090000000000003</v>
      </c>
      <c r="M94" s="18">
        <f t="shared" si="18"/>
        <v>0</v>
      </c>
      <c r="N94" s="18">
        <f t="shared" si="12"/>
        <v>40.090000000000003</v>
      </c>
      <c r="O94" s="8"/>
    </row>
    <row r="95" spans="1:15">
      <c r="A95" s="1" t="s">
        <v>85</v>
      </c>
      <c r="B95" s="11"/>
      <c r="C95" s="11">
        <v>2017000</v>
      </c>
      <c r="D95" s="11">
        <v>2017000</v>
      </c>
      <c r="E95" s="11">
        <v>0</v>
      </c>
      <c r="F95" s="11">
        <f t="shared" si="10"/>
        <v>0</v>
      </c>
      <c r="G95" s="17">
        <f t="shared" si="13"/>
        <v>40.090000000000003</v>
      </c>
      <c r="H95" s="17">
        <f t="shared" si="14"/>
        <v>0</v>
      </c>
      <c r="I95" s="17">
        <f t="shared" si="15"/>
        <v>0</v>
      </c>
      <c r="J95" s="18">
        <f t="shared" si="16"/>
        <v>0</v>
      </c>
      <c r="K95" s="18">
        <f t="shared" si="17"/>
        <v>0</v>
      </c>
      <c r="L95" s="18">
        <f t="shared" si="11"/>
        <v>40.090000000000003</v>
      </c>
      <c r="M95" s="18">
        <f t="shared" si="18"/>
        <v>0</v>
      </c>
      <c r="N95" s="18">
        <f t="shared" si="12"/>
        <v>40.090000000000003</v>
      </c>
      <c r="O95" s="8"/>
    </row>
    <row r="96" spans="1:15">
      <c r="A96" s="1" t="s">
        <v>86</v>
      </c>
      <c r="B96" s="11"/>
      <c r="C96" s="11">
        <v>1852000</v>
      </c>
      <c r="D96" s="11">
        <v>1852000</v>
      </c>
      <c r="E96" s="11">
        <v>0</v>
      </c>
      <c r="F96" s="11">
        <f t="shared" si="10"/>
        <v>0</v>
      </c>
      <c r="G96" s="17">
        <f t="shared" si="13"/>
        <v>40.090000000000003</v>
      </c>
      <c r="H96" s="17">
        <f t="shared" si="14"/>
        <v>0</v>
      </c>
      <c r="I96" s="17">
        <f t="shared" si="15"/>
        <v>0</v>
      </c>
      <c r="J96" s="18">
        <f t="shared" si="16"/>
        <v>0</v>
      </c>
      <c r="K96" s="18">
        <f t="shared" si="17"/>
        <v>0</v>
      </c>
      <c r="L96" s="18">
        <f t="shared" si="11"/>
        <v>40.090000000000003</v>
      </c>
      <c r="M96" s="18">
        <f t="shared" si="18"/>
        <v>0</v>
      </c>
      <c r="N96" s="18">
        <f t="shared" si="12"/>
        <v>40.090000000000003</v>
      </c>
      <c r="O96" s="8"/>
    </row>
    <row r="97" spans="1:15">
      <c r="A97" s="1" t="s">
        <v>87</v>
      </c>
      <c r="B97" s="11" t="s">
        <v>138</v>
      </c>
      <c r="C97" s="11">
        <v>0</v>
      </c>
      <c r="D97" s="11">
        <v>0</v>
      </c>
      <c r="E97" s="11">
        <v>0</v>
      </c>
      <c r="F97" s="11">
        <f t="shared" si="10"/>
        <v>0</v>
      </c>
      <c r="G97" s="17">
        <f t="shared" si="13"/>
        <v>11.79</v>
      </c>
      <c r="H97" s="17">
        <f t="shared" si="14"/>
        <v>0</v>
      </c>
      <c r="I97" s="17">
        <f t="shared" si="15"/>
        <v>0</v>
      </c>
      <c r="J97" s="18">
        <f t="shared" si="16"/>
        <v>0</v>
      </c>
      <c r="K97" s="18">
        <f t="shared" si="17"/>
        <v>0</v>
      </c>
      <c r="L97" s="18">
        <f t="shared" si="11"/>
        <v>11.79</v>
      </c>
      <c r="M97" s="18">
        <f t="shared" si="18"/>
        <v>0</v>
      </c>
      <c r="N97" s="18">
        <f t="shared" si="12"/>
        <v>11.79</v>
      </c>
      <c r="O97" s="8"/>
    </row>
    <row r="98" spans="1:15">
      <c r="A98" s="1" t="s">
        <v>88</v>
      </c>
      <c r="B98" s="11"/>
      <c r="C98" s="11">
        <v>1231000</v>
      </c>
      <c r="D98" s="11">
        <v>1231000</v>
      </c>
      <c r="E98" s="11">
        <v>0</v>
      </c>
      <c r="F98" s="11">
        <f t="shared" si="10"/>
        <v>0</v>
      </c>
      <c r="G98" s="17">
        <f t="shared" si="13"/>
        <v>40.090000000000003</v>
      </c>
      <c r="H98" s="17">
        <f t="shared" si="14"/>
        <v>0</v>
      </c>
      <c r="I98" s="17">
        <f t="shared" si="15"/>
        <v>0</v>
      </c>
      <c r="J98" s="18">
        <f t="shared" si="16"/>
        <v>0</v>
      </c>
      <c r="K98" s="18">
        <f t="shared" si="17"/>
        <v>0</v>
      </c>
      <c r="L98" s="18">
        <f t="shared" si="11"/>
        <v>40.090000000000003</v>
      </c>
      <c r="M98" s="18">
        <f t="shared" si="18"/>
        <v>0</v>
      </c>
      <c r="N98" s="18">
        <f t="shared" si="12"/>
        <v>40.090000000000003</v>
      </c>
      <c r="O98" s="8"/>
    </row>
    <row r="99" spans="1:15">
      <c r="A99" s="1" t="s">
        <v>89</v>
      </c>
      <c r="B99" s="11"/>
      <c r="C99" s="11">
        <v>2262000</v>
      </c>
      <c r="D99" s="11">
        <v>2262000</v>
      </c>
      <c r="E99" s="11">
        <v>0</v>
      </c>
      <c r="F99" s="11">
        <f t="shared" si="10"/>
        <v>0</v>
      </c>
      <c r="G99" s="17">
        <f t="shared" si="13"/>
        <v>40.090000000000003</v>
      </c>
      <c r="H99" s="17">
        <f t="shared" si="14"/>
        <v>0</v>
      </c>
      <c r="I99" s="17">
        <f t="shared" si="15"/>
        <v>0</v>
      </c>
      <c r="J99" s="18">
        <f t="shared" si="16"/>
        <v>0</v>
      </c>
      <c r="K99" s="18">
        <f t="shared" si="17"/>
        <v>0</v>
      </c>
      <c r="L99" s="18">
        <f t="shared" si="11"/>
        <v>40.090000000000003</v>
      </c>
      <c r="M99" s="18">
        <f t="shared" si="18"/>
        <v>0</v>
      </c>
      <c r="N99" s="18">
        <f t="shared" si="12"/>
        <v>40.090000000000003</v>
      </c>
      <c r="O99" s="8"/>
    </row>
    <row r="100" spans="1:15">
      <c r="A100" s="1" t="s">
        <v>90</v>
      </c>
      <c r="B100" s="11"/>
      <c r="C100" s="11">
        <v>1240000</v>
      </c>
      <c r="D100" s="11">
        <v>1240000</v>
      </c>
      <c r="E100" s="11">
        <v>0</v>
      </c>
      <c r="F100" s="11">
        <f t="shared" si="10"/>
        <v>0</v>
      </c>
      <c r="G100" s="17">
        <f t="shared" si="13"/>
        <v>40.090000000000003</v>
      </c>
      <c r="H100" s="17">
        <f t="shared" si="14"/>
        <v>0</v>
      </c>
      <c r="I100" s="17">
        <f t="shared" si="15"/>
        <v>0</v>
      </c>
      <c r="J100" s="18">
        <f t="shared" si="16"/>
        <v>0</v>
      </c>
      <c r="K100" s="18">
        <f t="shared" si="17"/>
        <v>0</v>
      </c>
      <c r="L100" s="18">
        <f t="shared" si="11"/>
        <v>40.090000000000003</v>
      </c>
      <c r="M100" s="18">
        <f t="shared" si="18"/>
        <v>0</v>
      </c>
      <c r="N100" s="18">
        <f t="shared" si="12"/>
        <v>40.090000000000003</v>
      </c>
      <c r="O100" s="8"/>
    </row>
    <row r="101" spans="1:15">
      <c r="A101" s="1" t="s">
        <v>91</v>
      </c>
      <c r="B101" s="11"/>
      <c r="C101" s="11">
        <v>254000</v>
      </c>
      <c r="D101" s="11">
        <v>254000</v>
      </c>
      <c r="E101" s="11">
        <v>0</v>
      </c>
      <c r="F101" s="11">
        <f t="shared" si="10"/>
        <v>0</v>
      </c>
      <c r="G101" s="17">
        <f t="shared" si="13"/>
        <v>40.090000000000003</v>
      </c>
      <c r="H101" s="17">
        <f t="shared" si="14"/>
        <v>0</v>
      </c>
      <c r="I101" s="17">
        <f t="shared" si="15"/>
        <v>0</v>
      </c>
      <c r="J101" s="18">
        <f t="shared" si="16"/>
        <v>0</v>
      </c>
      <c r="K101" s="18">
        <f t="shared" si="17"/>
        <v>0</v>
      </c>
      <c r="L101" s="18">
        <f t="shared" si="11"/>
        <v>40.090000000000003</v>
      </c>
      <c r="M101" s="18">
        <f t="shared" si="18"/>
        <v>0</v>
      </c>
      <c r="N101" s="18">
        <f t="shared" si="12"/>
        <v>40.090000000000003</v>
      </c>
      <c r="O101" s="8"/>
    </row>
    <row r="102" spans="1:15">
      <c r="A102" s="1" t="s">
        <v>92</v>
      </c>
      <c r="B102" s="11"/>
      <c r="C102" s="11">
        <v>2518000</v>
      </c>
      <c r="D102" s="11">
        <v>2518000</v>
      </c>
      <c r="E102" s="11">
        <v>0</v>
      </c>
      <c r="F102" s="11">
        <f t="shared" si="10"/>
        <v>0</v>
      </c>
      <c r="G102" s="17">
        <f t="shared" si="13"/>
        <v>40.090000000000003</v>
      </c>
      <c r="H102" s="17">
        <f t="shared" si="14"/>
        <v>0</v>
      </c>
      <c r="I102" s="17">
        <f t="shared" si="15"/>
        <v>0</v>
      </c>
      <c r="J102" s="18">
        <f t="shared" si="16"/>
        <v>0</v>
      </c>
      <c r="K102" s="18">
        <f t="shared" si="17"/>
        <v>0</v>
      </c>
      <c r="L102" s="18">
        <f t="shared" si="11"/>
        <v>40.090000000000003</v>
      </c>
      <c r="M102" s="18">
        <f t="shared" si="18"/>
        <v>0</v>
      </c>
      <c r="N102" s="18">
        <f t="shared" si="12"/>
        <v>40.090000000000003</v>
      </c>
      <c r="O102" s="8"/>
    </row>
    <row r="103" spans="1:15">
      <c r="A103" s="1" t="s">
        <v>93</v>
      </c>
      <c r="B103" s="11" t="s">
        <v>138</v>
      </c>
      <c r="C103" s="11">
        <v>0</v>
      </c>
      <c r="D103" s="11">
        <v>0</v>
      </c>
      <c r="E103" s="11">
        <v>0</v>
      </c>
      <c r="F103" s="11">
        <f t="shared" si="10"/>
        <v>0</v>
      </c>
      <c r="G103" s="17">
        <f t="shared" si="13"/>
        <v>11.79</v>
      </c>
      <c r="H103" s="17">
        <f t="shared" si="14"/>
        <v>0</v>
      </c>
      <c r="I103" s="17">
        <f t="shared" si="15"/>
        <v>0</v>
      </c>
      <c r="J103" s="18">
        <f t="shared" si="16"/>
        <v>0</v>
      </c>
      <c r="K103" s="18">
        <f t="shared" si="17"/>
        <v>0</v>
      </c>
      <c r="L103" s="18">
        <f t="shared" si="11"/>
        <v>11.79</v>
      </c>
      <c r="M103" s="18">
        <f t="shared" si="18"/>
        <v>0</v>
      </c>
      <c r="N103" s="18">
        <f t="shared" si="12"/>
        <v>11.79</v>
      </c>
      <c r="O103" s="8"/>
    </row>
    <row r="104" spans="1:15">
      <c r="A104" s="1" t="s">
        <v>94</v>
      </c>
      <c r="B104" s="11" t="s">
        <v>138</v>
      </c>
      <c r="C104" s="11">
        <v>0</v>
      </c>
      <c r="D104" s="11">
        <v>0</v>
      </c>
      <c r="E104" s="11">
        <v>0</v>
      </c>
      <c r="F104" s="11">
        <f t="shared" si="10"/>
        <v>0</v>
      </c>
      <c r="G104" s="17">
        <f t="shared" si="13"/>
        <v>11.79</v>
      </c>
      <c r="H104" s="17">
        <f t="shared" si="14"/>
        <v>0</v>
      </c>
      <c r="I104" s="17">
        <f t="shared" si="15"/>
        <v>0</v>
      </c>
      <c r="J104" s="18">
        <f t="shared" si="16"/>
        <v>0</v>
      </c>
      <c r="K104" s="18">
        <f t="shared" si="17"/>
        <v>0</v>
      </c>
      <c r="L104" s="18">
        <f t="shared" si="11"/>
        <v>11.79</v>
      </c>
      <c r="M104" s="18">
        <f t="shared" si="18"/>
        <v>0</v>
      </c>
      <c r="N104" s="18">
        <f t="shared" si="12"/>
        <v>11.79</v>
      </c>
      <c r="O104" s="8"/>
    </row>
    <row r="105" spans="1:15">
      <c r="A105" s="1" t="s">
        <v>95</v>
      </c>
      <c r="B105" s="11" t="s">
        <v>138</v>
      </c>
      <c r="C105" s="11">
        <v>0</v>
      </c>
      <c r="D105" s="11">
        <v>0</v>
      </c>
      <c r="E105" s="11">
        <v>0</v>
      </c>
      <c r="F105" s="11">
        <f t="shared" si="10"/>
        <v>0</v>
      </c>
      <c r="G105" s="17">
        <f t="shared" si="13"/>
        <v>11.79</v>
      </c>
      <c r="H105" s="17">
        <f t="shared" si="14"/>
        <v>0</v>
      </c>
      <c r="I105" s="17">
        <f t="shared" si="15"/>
        <v>0</v>
      </c>
      <c r="J105" s="18">
        <f t="shared" si="16"/>
        <v>0</v>
      </c>
      <c r="K105" s="18">
        <f t="shared" si="17"/>
        <v>0</v>
      </c>
      <c r="L105" s="18">
        <f t="shared" si="11"/>
        <v>11.79</v>
      </c>
      <c r="M105" s="18">
        <f t="shared" si="18"/>
        <v>0</v>
      </c>
      <c r="N105" s="18">
        <f t="shared" si="12"/>
        <v>11.79</v>
      </c>
      <c r="O105" s="8"/>
    </row>
    <row r="106" spans="1:15">
      <c r="A106" s="1" t="s">
        <v>96</v>
      </c>
      <c r="B106" s="11"/>
      <c r="C106" s="11">
        <v>1842000</v>
      </c>
      <c r="D106" s="11">
        <v>1842000</v>
      </c>
      <c r="E106" s="11">
        <v>0</v>
      </c>
      <c r="F106" s="11">
        <f t="shared" si="10"/>
        <v>0</v>
      </c>
      <c r="G106" s="17">
        <f t="shared" si="13"/>
        <v>40.090000000000003</v>
      </c>
      <c r="H106" s="17">
        <f t="shared" si="14"/>
        <v>0</v>
      </c>
      <c r="I106" s="17">
        <f t="shared" si="15"/>
        <v>0</v>
      </c>
      <c r="J106" s="18">
        <f t="shared" si="16"/>
        <v>0</v>
      </c>
      <c r="K106" s="18">
        <f t="shared" si="17"/>
        <v>0</v>
      </c>
      <c r="L106" s="18">
        <f t="shared" si="11"/>
        <v>40.090000000000003</v>
      </c>
      <c r="M106" s="18">
        <f t="shared" si="18"/>
        <v>0</v>
      </c>
      <c r="N106" s="18">
        <f t="shared" si="12"/>
        <v>40.090000000000003</v>
      </c>
      <c r="O106" s="8"/>
    </row>
    <row r="107" spans="1:15">
      <c r="A107" s="1" t="s">
        <v>97</v>
      </c>
      <c r="B107" s="11" t="s">
        <v>138</v>
      </c>
      <c r="C107" s="11">
        <v>0</v>
      </c>
      <c r="D107" s="11">
        <v>0</v>
      </c>
      <c r="E107" s="11">
        <v>0</v>
      </c>
      <c r="F107" s="11">
        <f t="shared" si="10"/>
        <v>0</v>
      </c>
      <c r="G107" s="17">
        <f t="shared" si="13"/>
        <v>11.79</v>
      </c>
      <c r="H107" s="17">
        <f t="shared" si="14"/>
        <v>0</v>
      </c>
      <c r="I107" s="17">
        <f t="shared" si="15"/>
        <v>0</v>
      </c>
      <c r="J107" s="18">
        <f t="shared" si="16"/>
        <v>0</v>
      </c>
      <c r="K107" s="18">
        <f t="shared" si="17"/>
        <v>0</v>
      </c>
      <c r="L107" s="18">
        <f t="shared" si="11"/>
        <v>11.79</v>
      </c>
      <c r="M107" s="18">
        <f t="shared" si="18"/>
        <v>0</v>
      </c>
      <c r="N107" s="18">
        <f t="shared" si="12"/>
        <v>11.79</v>
      </c>
      <c r="O107" s="8"/>
    </row>
    <row r="108" spans="1:15">
      <c r="A108" s="1" t="s">
        <v>98</v>
      </c>
      <c r="B108" s="11" t="s">
        <v>138</v>
      </c>
      <c r="C108" s="11">
        <v>0</v>
      </c>
      <c r="D108" s="11">
        <v>0</v>
      </c>
      <c r="E108" s="11">
        <v>0</v>
      </c>
      <c r="F108" s="11">
        <f t="shared" si="10"/>
        <v>0</v>
      </c>
      <c r="G108" s="17">
        <f t="shared" si="13"/>
        <v>11.79</v>
      </c>
      <c r="H108" s="17">
        <f t="shared" si="14"/>
        <v>0</v>
      </c>
      <c r="I108" s="17">
        <f t="shared" si="15"/>
        <v>0</v>
      </c>
      <c r="J108" s="18">
        <f t="shared" si="16"/>
        <v>0</v>
      </c>
      <c r="K108" s="18">
        <f t="shared" si="17"/>
        <v>0</v>
      </c>
      <c r="L108" s="18">
        <f t="shared" si="11"/>
        <v>11.79</v>
      </c>
      <c r="M108" s="18">
        <f t="shared" si="18"/>
        <v>0</v>
      </c>
      <c r="N108" s="18">
        <f t="shared" si="12"/>
        <v>11.79</v>
      </c>
      <c r="O108" s="8"/>
    </row>
    <row r="109" spans="1:15">
      <c r="A109" s="1" t="s">
        <v>99</v>
      </c>
      <c r="B109" s="11"/>
      <c r="C109" s="11">
        <v>1662000</v>
      </c>
      <c r="D109" s="11">
        <v>1662000</v>
      </c>
      <c r="E109" s="11">
        <v>0</v>
      </c>
      <c r="F109" s="11">
        <f t="shared" si="10"/>
        <v>0</v>
      </c>
      <c r="G109" s="17">
        <f t="shared" si="13"/>
        <v>40.090000000000003</v>
      </c>
      <c r="H109" s="17">
        <f t="shared" si="14"/>
        <v>0</v>
      </c>
      <c r="I109" s="17">
        <f t="shared" si="15"/>
        <v>0</v>
      </c>
      <c r="J109" s="18">
        <f t="shared" si="16"/>
        <v>0</v>
      </c>
      <c r="K109" s="18">
        <f t="shared" si="17"/>
        <v>0</v>
      </c>
      <c r="L109" s="18">
        <f t="shared" si="11"/>
        <v>40.090000000000003</v>
      </c>
      <c r="M109" s="18">
        <f t="shared" si="18"/>
        <v>0</v>
      </c>
      <c r="N109" s="18">
        <f t="shared" si="12"/>
        <v>40.090000000000003</v>
      </c>
      <c r="O109" s="8"/>
    </row>
    <row r="110" spans="1:15">
      <c r="A110" s="1" t="s">
        <v>100</v>
      </c>
      <c r="B110" s="11"/>
      <c r="C110" s="11">
        <v>515000</v>
      </c>
      <c r="D110" s="11">
        <v>515000</v>
      </c>
      <c r="E110" s="11">
        <v>0</v>
      </c>
      <c r="F110" s="11">
        <f t="shared" si="10"/>
        <v>0</v>
      </c>
      <c r="G110" s="17">
        <f t="shared" si="13"/>
        <v>40.090000000000003</v>
      </c>
      <c r="H110" s="17">
        <f t="shared" si="14"/>
        <v>0</v>
      </c>
      <c r="I110" s="17">
        <f t="shared" si="15"/>
        <v>0</v>
      </c>
      <c r="J110" s="18">
        <f t="shared" si="16"/>
        <v>0</v>
      </c>
      <c r="K110" s="18">
        <f t="shared" si="17"/>
        <v>0</v>
      </c>
      <c r="L110" s="18">
        <f t="shared" si="11"/>
        <v>40.090000000000003</v>
      </c>
      <c r="M110" s="18">
        <f t="shared" si="18"/>
        <v>0</v>
      </c>
      <c r="N110" s="18">
        <f t="shared" si="12"/>
        <v>40.090000000000003</v>
      </c>
      <c r="O110" s="8"/>
    </row>
    <row r="111" spans="1:15">
      <c r="A111" s="1" t="s">
        <v>101</v>
      </c>
      <c r="B111" s="11"/>
      <c r="C111" s="11">
        <v>4548000</v>
      </c>
      <c r="D111" s="11">
        <v>4548000</v>
      </c>
      <c r="E111" s="11">
        <v>0</v>
      </c>
      <c r="F111" s="11">
        <f t="shared" si="10"/>
        <v>0</v>
      </c>
      <c r="G111" s="17">
        <f t="shared" si="13"/>
        <v>40.090000000000003</v>
      </c>
      <c r="H111" s="17">
        <f t="shared" si="14"/>
        <v>0</v>
      </c>
      <c r="I111" s="17">
        <f t="shared" si="15"/>
        <v>0</v>
      </c>
      <c r="J111" s="18">
        <f t="shared" si="16"/>
        <v>0</v>
      </c>
      <c r="K111" s="18">
        <f t="shared" si="17"/>
        <v>0</v>
      </c>
      <c r="L111" s="18">
        <f t="shared" si="11"/>
        <v>40.090000000000003</v>
      </c>
      <c r="M111" s="18">
        <f t="shared" si="18"/>
        <v>0</v>
      </c>
      <c r="N111" s="18">
        <f t="shared" si="12"/>
        <v>40.090000000000003</v>
      </c>
      <c r="O111" s="8"/>
    </row>
    <row r="112" spans="1:15">
      <c r="A112" s="1" t="s">
        <v>102</v>
      </c>
      <c r="B112" s="11" t="s">
        <v>138</v>
      </c>
      <c r="C112" s="11">
        <v>0</v>
      </c>
      <c r="D112" s="11">
        <v>0</v>
      </c>
      <c r="E112" s="11">
        <v>0</v>
      </c>
      <c r="F112" s="11">
        <f t="shared" si="10"/>
        <v>0</v>
      </c>
      <c r="G112" s="17">
        <f t="shared" si="13"/>
        <v>11.79</v>
      </c>
      <c r="H112" s="17">
        <f t="shared" si="14"/>
        <v>0</v>
      </c>
      <c r="I112" s="17">
        <f t="shared" si="15"/>
        <v>0</v>
      </c>
      <c r="J112" s="18">
        <f t="shared" si="16"/>
        <v>0</v>
      </c>
      <c r="K112" s="18">
        <f t="shared" si="17"/>
        <v>0</v>
      </c>
      <c r="L112" s="18">
        <f t="shared" si="11"/>
        <v>11.79</v>
      </c>
      <c r="M112" s="18">
        <f t="shared" si="18"/>
        <v>0</v>
      </c>
      <c r="N112" s="18">
        <f t="shared" si="12"/>
        <v>11.79</v>
      </c>
      <c r="O112" s="8"/>
    </row>
    <row r="113" spans="1:15">
      <c r="A113" s="1" t="s">
        <v>103</v>
      </c>
      <c r="B113" s="11"/>
      <c r="C113" s="11">
        <v>1201000</v>
      </c>
      <c r="D113" s="11">
        <v>1201000</v>
      </c>
      <c r="E113" s="11">
        <v>0</v>
      </c>
      <c r="F113" s="11">
        <f t="shared" si="10"/>
        <v>0</v>
      </c>
      <c r="G113" s="17">
        <f t="shared" si="13"/>
        <v>40.090000000000003</v>
      </c>
      <c r="H113" s="17">
        <f t="shared" si="14"/>
        <v>0</v>
      </c>
      <c r="I113" s="17">
        <f t="shared" si="15"/>
        <v>0</v>
      </c>
      <c r="J113" s="18">
        <f t="shared" si="16"/>
        <v>0</v>
      </c>
      <c r="K113" s="18">
        <f t="shared" si="17"/>
        <v>0</v>
      </c>
      <c r="L113" s="18">
        <f t="shared" si="11"/>
        <v>40.090000000000003</v>
      </c>
      <c r="M113" s="18">
        <f t="shared" ref="M113:M136" si="19">IF(   $H$5=1,    IF((F113-$H$6)&gt;0,((F113-$H$6)/$N$7)*$E$8,0),   IF(F113&gt;0,(F113/$N$4)*$E$8,0)    )</f>
        <v>0</v>
      </c>
      <c r="N113" s="18">
        <f t="shared" si="12"/>
        <v>40.090000000000003</v>
      </c>
      <c r="O113" s="8"/>
    </row>
    <row r="114" spans="1:15">
      <c r="A114" s="1" t="s">
        <v>104</v>
      </c>
      <c r="B114" s="11" t="s">
        <v>138</v>
      </c>
      <c r="C114" s="11">
        <v>0</v>
      </c>
      <c r="D114" s="11">
        <v>0</v>
      </c>
      <c r="E114" s="11">
        <v>0</v>
      </c>
      <c r="F114" s="11">
        <f t="shared" si="10"/>
        <v>0</v>
      </c>
      <c r="G114" s="17">
        <f t="shared" si="13"/>
        <v>11.79</v>
      </c>
      <c r="H114" s="17">
        <f t="shared" si="14"/>
        <v>0</v>
      </c>
      <c r="I114" s="17">
        <f t="shared" si="15"/>
        <v>0</v>
      </c>
      <c r="J114" s="18">
        <f t="shared" si="16"/>
        <v>0</v>
      </c>
      <c r="K114" s="18">
        <f t="shared" si="17"/>
        <v>0</v>
      </c>
      <c r="L114" s="18">
        <f t="shared" si="11"/>
        <v>11.79</v>
      </c>
      <c r="M114" s="18">
        <f t="shared" si="19"/>
        <v>0</v>
      </c>
      <c r="N114" s="18">
        <f t="shared" si="12"/>
        <v>11.79</v>
      </c>
      <c r="O114" s="8"/>
    </row>
    <row r="115" spans="1:15">
      <c r="A115" s="1" t="s">
        <v>105</v>
      </c>
      <c r="B115" s="11"/>
      <c r="C115" s="11">
        <v>1467000</v>
      </c>
      <c r="D115" s="11">
        <v>1467000</v>
      </c>
      <c r="E115" s="11">
        <v>0</v>
      </c>
      <c r="F115" s="11">
        <f t="shared" si="10"/>
        <v>0</v>
      </c>
      <c r="G115" s="17">
        <f t="shared" si="13"/>
        <v>40.090000000000003</v>
      </c>
      <c r="H115" s="17">
        <f t="shared" si="14"/>
        <v>0</v>
      </c>
      <c r="I115" s="17">
        <f t="shared" si="15"/>
        <v>0</v>
      </c>
      <c r="J115" s="18">
        <f t="shared" si="16"/>
        <v>0</v>
      </c>
      <c r="K115" s="18">
        <f t="shared" si="17"/>
        <v>0</v>
      </c>
      <c r="L115" s="18">
        <f t="shared" si="11"/>
        <v>40.090000000000003</v>
      </c>
      <c r="M115" s="18">
        <f t="shared" si="19"/>
        <v>0</v>
      </c>
      <c r="N115" s="18">
        <f t="shared" si="12"/>
        <v>40.090000000000003</v>
      </c>
      <c r="O115" s="8"/>
    </row>
    <row r="116" spans="1:15">
      <c r="A116" s="1" t="s">
        <v>106</v>
      </c>
      <c r="B116" s="11"/>
      <c r="C116" s="11">
        <v>1791000</v>
      </c>
      <c r="D116" s="11">
        <v>1791000</v>
      </c>
      <c r="E116" s="11">
        <v>0</v>
      </c>
      <c r="F116" s="11">
        <f t="shared" si="10"/>
        <v>0</v>
      </c>
      <c r="G116" s="17">
        <f t="shared" si="13"/>
        <v>40.090000000000003</v>
      </c>
      <c r="H116" s="17">
        <f t="shared" si="14"/>
        <v>0</v>
      </c>
      <c r="I116" s="17">
        <f t="shared" si="15"/>
        <v>0</v>
      </c>
      <c r="J116" s="18">
        <f t="shared" si="16"/>
        <v>0</v>
      </c>
      <c r="K116" s="18">
        <f t="shared" si="17"/>
        <v>0</v>
      </c>
      <c r="L116" s="18">
        <f t="shared" si="11"/>
        <v>40.090000000000003</v>
      </c>
      <c r="M116" s="18">
        <f t="shared" si="19"/>
        <v>0</v>
      </c>
      <c r="N116" s="18">
        <f t="shared" si="12"/>
        <v>40.090000000000003</v>
      </c>
      <c r="O116" s="8"/>
    </row>
    <row r="117" spans="1:15">
      <c r="A117" s="1" t="s">
        <v>107</v>
      </c>
      <c r="B117" s="11"/>
      <c r="C117" s="11">
        <v>322000</v>
      </c>
      <c r="D117" s="11">
        <v>322000</v>
      </c>
      <c r="E117" s="11">
        <v>0</v>
      </c>
      <c r="F117" s="11">
        <f t="shared" si="10"/>
        <v>0</v>
      </c>
      <c r="G117" s="17">
        <f t="shared" si="13"/>
        <v>40.090000000000003</v>
      </c>
      <c r="H117" s="17">
        <f t="shared" si="14"/>
        <v>0</v>
      </c>
      <c r="I117" s="17">
        <f t="shared" si="15"/>
        <v>0</v>
      </c>
      <c r="J117" s="18">
        <f t="shared" si="16"/>
        <v>0</v>
      </c>
      <c r="K117" s="18">
        <f t="shared" si="17"/>
        <v>0</v>
      </c>
      <c r="L117" s="18">
        <f t="shared" si="11"/>
        <v>40.090000000000003</v>
      </c>
      <c r="M117" s="18">
        <f t="shared" si="19"/>
        <v>0</v>
      </c>
      <c r="N117" s="18">
        <f t="shared" si="12"/>
        <v>40.090000000000003</v>
      </c>
      <c r="O117" s="8"/>
    </row>
    <row r="118" spans="1:15">
      <c r="A118" s="1" t="s">
        <v>108</v>
      </c>
      <c r="B118" s="11"/>
      <c r="C118" s="11">
        <v>2588000</v>
      </c>
      <c r="D118" s="11">
        <v>2588000</v>
      </c>
      <c r="E118" s="11">
        <v>0</v>
      </c>
      <c r="F118" s="11">
        <f t="shared" si="10"/>
        <v>0</v>
      </c>
      <c r="G118" s="17">
        <f t="shared" si="13"/>
        <v>40.090000000000003</v>
      </c>
      <c r="H118" s="17">
        <f t="shared" si="14"/>
        <v>0</v>
      </c>
      <c r="I118" s="17">
        <f t="shared" si="15"/>
        <v>0</v>
      </c>
      <c r="J118" s="18">
        <f t="shared" si="16"/>
        <v>0</v>
      </c>
      <c r="K118" s="18">
        <f t="shared" si="17"/>
        <v>0</v>
      </c>
      <c r="L118" s="18">
        <f t="shared" si="11"/>
        <v>40.090000000000003</v>
      </c>
      <c r="M118" s="18">
        <f t="shared" si="19"/>
        <v>0</v>
      </c>
      <c r="N118" s="18">
        <f t="shared" si="12"/>
        <v>40.090000000000003</v>
      </c>
      <c r="O118" s="8"/>
    </row>
    <row r="119" spans="1:15">
      <c r="A119" s="1" t="s">
        <v>109</v>
      </c>
      <c r="B119" s="11" t="s">
        <v>138</v>
      </c>
      <c r="C119" s="11">
        <v>0</v>
      </c>
      <c r="D119" s="11">
        <v>0</v>
      </c>
      <c r="E119" s="11">
        <v>0</v>
      </c>
      <c r="F119" s="11">
        <f t="shared" si="10"/>
        <v>0</v>
      </c>
      <c r="G119" s="17">
        <f t="shared" si="13"/>
        <v>11.79</v>
      </c>
      <c r="H119" s="17">
        <f t="shared" si="14"/>
        <v>0</v>
      </c>
      <c r="I119" s="17">
        <f t="shared" si="15"/>
        <v>0</v>
      </c>
      <c r="J119" s="18">
        <f t="shared" si="16"/>
        <v>0</v>
      </c>
      <c r="K119" s="18">
        <f t="shared" si="17"/>
        <v>0</v>
      </c>
      <c r="L119" s="18">
        <f t="shared" si="11"/>
        <v>11.79</v>
      </c>
      <c r="M119" s="18">
        <f t="shared" si="19"/>
        <v>0</v>
      </c>
      <c r="N119" s="18">
        <f t="shared" si="12"/>
        <v>11.79</v>
      </c>
      <c r="O119" s="8"/>
    </row>
    <row r="120" spans="1:15">
      <c r="A120" s="1" t="s">
        <v>110</v>
      </c>
      <c r="B120" s="11"/>
      <c r="C120" s="11">
        <v>3793000</v>
      </c>
      <c r="D120" s="11">
        <v>3793000</v>
      </c>
      <c r="E120" s="11">
        <v>0</v>
      </c>
      <c r="F120" s="11">
        <f t="shared" si="10"/>
        <v>0</v>
      </c>
      <c r="G120" s="17">
        <f t="shared" si="13"/>
        <v>40.090000000000003</v>
      </c>
      <c r="H120" s="17">
        <f t="shared" si="14"/>
        <v>0</v>
      </c>
      <c r="I120" s="17">
        <f t="shared" si="15"/>
        <v>0</v>
      </c>
      <c r="J120" s="18">
        <f t="shared" si="16"/>
        <v>0</v>
      </c>
      <c r="K120" s="18">
        <f t="shared" si="17"/>
        <v>0</v>
      </c>
      <c r="L120" s="18">
        <f t="shared" si="11"/>
        <v>40.090000000000003</v>
      </c>
      <c r="M120" s="18">
        <f t="shared" si="19"/>
        <v>0</v>
      </c>
      <c r="N120" s="18">
        <f t="shared" si="12"/>
        <v>40.090000000000003</v>
      </c>
      <c r="O120" s="8"/>
    </row>
    <row r="121" spans="1:15">
      <c r="A121" s="1" t="s">
        <v>111</v>
      </c>
      <c r="B121" s="11"/>
      <c r="C121" s="11">
        <v>3508000</v>
      </c>
      <c r="D121" s="11">
        <v>3508000</v>
      </c>
      <c r="E121" s="11">
        <v>0</v>
      </c>
      <c r="F121" s="11">
        <f t="shared" si="10"/>
        <v>0</v>
      </c>
      <c r="G121" s="17">
        <f t="shared" si="13"/>
        <v>40.090000000000003</v>
      </c>
      <c r="H121" s="17">
        <f t="shared" si="14"/>
        <v>0</v>
      </c>
      <c r="I121" s="17">
        <f t="shared" si="15"/>
        <v>0</v>
      </c>
      <c r="J121" s="18">
        <f t="shared" si="16"/>
        <v>0</v>
      </c>
      <c r="K121" s="18">
        <f t="shared" si="17"/>
        <v>0</v>
      </c>
      <c r="L121" s="18">
        <f t="shared" si="11"/>
        <v>40.090000000000003</v>
      </c>
      <c r="M121" s="18">
        <f t="shared" si="19"/>
        <v>0</v>
      </c>
      <c r="N121" s="18">
        <f t="shared" si="12"/>
        <v>40.090000000000003</v>
      </c>
      <c r="O121" s="8"/>
    </row>
    <row r="122" spans="1:15">
      <c r="A122" s="1" t="s">
        <v>112</v>
      </c>
      <c r="B122" s="11"/>
      <c r="C122" s="11">
        <v>341000</v>
      </c>
      <c r="D122" s="11">
        <v>341000</v>
      </c>
      <c r="E122" s="11">
        <v>0</v>
      </c>
      <c r="F122" s="11">
        <f t="shared" si="10"/>
        <v>0</v>
      </c>
      <c r="G122" s="17">
        <f t="shared" si="13"/>
        <v>40.090000000000003</v>
      </c>
      <c r="H122" s="17">
        <f t="shared" si="14"/>
        <v>0</v>
      </c>
      <c r="I122" s="17">
        <f t="shared" si="15"/>
        <v>0</v>
      </c>
      <c r="J122" s="18">
        <f t="shared" si="16"/>
        <v>0</v>
      </c>
      <c r="K122" s="18">
        <f t="shared" si="17"/>
        <v>0</v>
      </c>
      <c r="L122" s="18">
        <f t="shared" si="11"/>
        <v>40.090000000000003</v>
      </c>
      <c r="M122" s="18">
        <f t="shared" si="19"/>
        <v>0</v>
      </c>
      <c r="N122" s="18">
        <f t="shared" si="12"/>
        <v>40.090000000000003</v>
      </c>
      <c r="O122" s="8"/>
    </row>
    <row r="123" spans="1:15">
      <c r="A123" s="1" t="s">
        <v>113</v>
      </c>
      <c r="B123" s="11"/>
      <c r="C123" s="11">
        <v>1443000</v>
      </c>
      <c r="D123" s="11">
        <v>1443000</v>
      </c>
      <c r="E123" s="11">
        <v>0</v>
      </c>
      <c r="F123" s="11">
        <f t="shared" si="10"/>
        <v>0</v>
      </c>
      <c r="G123" s="17">
        <f t="shared" si="13"/>
        <v>40.090000000000003</v>
      </c>
      <c r="H123" s="17">
        <f t="shared" si="14"/>
        <v>0</v>
      </c>
      <c r="I123" s="17">
        <f t="shared" si="15"/>
        <v>0</v>
      </c>
      <c r="J123" s="18">
        <f t="shared" si="16"/>
        <v>0</v>
      </c>
      <c r="K123" s="18">
        <f t="shared" si="17"/>
        <v>0</v>
      </c>
      <c r="L123" s="18">
        <f t="shared" si="11"/>
        <v>40.090000000000003</v>
      </c>
      <c r="M123" s="18">
        <f t="shared" si="19"/>
        <v>0</v>
      </c>
      <c r="N123" s="18">
        <f t="shared" si="12"/>
        <v>40.090000000000003</v>
      </c>
      <c r="O123" s="8"/>
    </row>
    <row r="124" spans="1:15">
      <c r="A124" s="1" t="s">
        <v>114</v>
      </c>
      <c r="B124" s="11"/>
      <c r="C124" s="11">
        <v>2578000</v>
      </c>
      <c r="D124" s="11">
        <v>2578000</v>
      </c>
      <c r="E124" s="11">
        <v>0</v>
      </c>
      <c r="F124" s="11">
        <f t="shared" si="10"/>
        <v>0</v>
      </c>
      <c r="G124" s="17">
        <f t="shared" si="13"/>
        <v>40.090000000000003</v>
      </c>
      <c r="H124" s="17">
        <f t="shared" si="14"/>
        <v>0</v>
      </c>
      <c r="I124" s="17">
        <f t="shared" si="15"/>
        <v>0</v>
      </c>
      <c r="J124" s="18">
        <f t="shared" si="16"/>
        <v>0</v>
      </c>
      <c r="K124" s="18">
        <f t="shared" si="17"/>
        <v>0</v>
      </c>
      <c r="L124" s="18">
        <f t="shared" si="11"/>
        <v>40.090000000000003</v>
      </c>
      <c r="M124" s="18">
        <f t="shared" si="19"/>
        <v>0</v>
      </c>
      <c r="N124" s="18">
        <f t="shared" si="12"/>
        <v>40.090000000000003</v>
      </c>
      <c r="O124" s="8"/>
    </row>
    <row r="125" spans="1:15">
      <c r="A125" s="1" t="s">
        <v>115</v>
      </c>
      <c r="B125" s="11"/>
      <c r="C125" s="11">
        <v>2468000</v>
      </c>
      <c r="D125" s="11">
        <v>2468000</v>
      </c>
      <c r="E125" s="11">
        <v>0</v>
      </c>
      <c r="F125" s="11">
        <f t="shared" si="10"/>
        <v>0</v>
      </c>
      <c r="G125" s="17">
        <f t="shared" si="13"/>
        <v>40.090000000000003</v>
      </c>
      <c r="H125" s="17">
        <f t="shared" si="14"/>
        <v>0</v>
      </c>
      <c r="I125" s="17">
        <f t="shared" si="15"/>
        <v>0</v>
      </c>
      <c r="J125" s="18">
        <f t="shared" si="16"/>
        <v>0</v>
      </c>
      <c r="K125" s="18">
        <f t="shared" si="17"/>
        <v>0</v>
      </c>
      <c r="L125" s="18">
        <f t="shared" si="11"/>
        <v>40.090000000000003</v>
      </c>
      <c r="M125" s="18">
        <f t="shared" si="19"/>
        <v>0</v>
      </c>
      <c r="N125" s="18">
        <f t="shared" si="12"/>
        <v>40.090000000000003</v>
      </c>
      <c r="O125" s="8"/>
    </row>
    <row r="126" spans="1:15">
      <c r="A126" s="1" t="s">
        <v>116</v>
      </c>
      <c r="B126" s="11"/>
      <c r="C126" s="11">
        <v>4257000</v>
      </c>
      <c r="D126" s="11">
        <v>4257000</v>
      </c>
      <c r="E126" s="11">
        <v>0</v>
      </c>
      <c r="F126" s="11">
        <f t="shared" si="10"/>
        <v>0</v>
      </c>
      <c r="G126" s="17">
        <f t="shared" si="13"/>
        <v>40.090000000000003</v>
      </c>
      <c r="H126" s="17">
        <f t="shared" si="14"/>
        <v>0</v>
      </c>
      <c r="I126" s="17">
        <f t="shared" si="15"/>
        <v>0</v>
      </c>
      <c r="J126" s="18">
        <f t="shared" si="16"/>
        <v>0</v>
      </c>
      <c r="K126" s="18">
        <f t="shared" si="17"/>
        <v>0</v>
      </c>
      <c r="L126" s="18">
        <f t="shared" si="11"/>
        <v>40.090000000000003</v>
      </c>
      <c r="M126" s="18">
        <f t="shared" si="19"/>
        <v>0</v>
      </c>
      <c r="N126" s="18">
        <f t="shared" si="12"/>
        <v>40.090000000000003</v>
      </c>
      <c r="O126" s="8"/>
    </row>
    <row r="127" spans="1:15">
      <c r="A127" s="1" t="s">
        <v>117</v>
      </c>
      <c r="B127" s="11"/>
      <c r="C127" s="11">
        <v>1890000</v>
      </c>
      <c r="D127" s="11">
        <v>1890000</v>
      </c>
      <c r="E127" s="11">
        <v>0</v>
      </c>
      <c r="F127" s="11">
        <f t="shared" si="10"/>
        <v>0</v>
      </c>
      <c r="G127" s="17">
        <f t="shared" si="13"/>
        <v>40.090000000000003</v>
      </c>
      <c r="H127" s="17">
        <f t="shared" si="14"/>
        <v>0</v>
      </c>
      <c r="I127" s="17">
        <f t="shared" si="15"/>
        <v>0</v>
      </c>
      <c r="J127" s="18">
        <f t="shared" si="16"/>
        <v>0</v>
      </c>
      <c r="K127" s="18">
        <f t="shared" si="17"/>
        <v>0</v>
      </c>
      <c r="L127" s="18">
        <f t="shared" si="11"/>
        <v>40.090000000000003</v>
      </c>
      <c r="M127" s="18">
        <f t="shared" si="19"/>
        <v>0</v>
      </c>
      <c r="N127" s="18">
        <f t="shared" si="12"/>
        <v>40.090000000000003</v>
      </c>
      <c r="O127" s="8"/>
    </row>
    <row r="128" spans="1:15">
      <c r="A128" s="1" t="s">
        <v>118</v>
      </c>
      <c r="B128" s="11"/>
      <c r="C128" s="11">
        <v>1179000</v>
      </c>
      <c r="D128" s="11">
        <v>1179000</v>
      </c>
      <c r="E128" s="11">
        <v>0</v>
      </c>
      <c r="F128" s="11">
        <f t="shared" si="10"/>
        <v>0</v>
      </c>
      <c r="G128" s="17">
        <f t="shared" si="13"/>
        <v>40.090000000000003</v>
      </c>
      <c r="H128" s="17">
        <f t="shared" si="14"/>
        <v>0</v>
      </c>
      <c r="I128" s="17">
        <f t="shared" si="15"/>
        <v>0</v>
      </c>
      <c r="J128" s="18">
        <f t="shared" si="16"/>
        <v>0</v>
      </c>
      <c r="K128" s="18">
        <f t="shared" si="17"/>
        <v>0</v>
      </c>
      <c r="L128" s="18">
        <f t="shared" si="11"/>
        <v>40.090000000000003</v>
      </c>
      <c r="M128" s="18">
        <f t="shared" si="19"/>
        <v>0</v>
      </c>
      <c r="N128" s="18">
        <f t="shared" si="12"/>
        <v>40.090000000000003</v>
      </c>
      <c r="O128" s="8" t="s">
        <v>174</v>
      </c>
    </row>
    <row r="129" spans="1:15">
      <c r="A129" s="1" t="s">
        <v>119</v>
      </c>
      <c r="B129" s="11"/>
      <c r="C129" s="11">
        <v>6840000</v>
      </c>
      <c r="D129" s="11">
        <v>6840000</v>
      </c>
      <c r="E129" s="11">
        <v>0</v>
      </c>
      <c r="F129" s="11">
        <f t="shared" si="10"/>
        <v>0</v>
      </c>
      <c r="G129" s="17">
        <f t="shared" si="13"/>
        <v>40.090000000000003</v>
      </c>
      <c r="H129" s="17">
        <f t="shared" si="14"/>
        <v>0</v>
      </c>
      <c r="I129" s="17">
        <f t="shared" si="15"/>
        <v>0</v>
      </c>
      <c r="J129" s="18">
        <f t="shared" si="16"/>
        <v>0</v>
      </c>
      <c r="K129" s="18">
        <f t="shared" si="17"/>
        <v>0</v>
      </c>
      <c r="L129" s="18">
        <f t="shared" si="11"/>
        <v>40.090000000000003</v>
      </c>
      <c r="M129" s="18">
        <f t="shared" si="19"/>
        <v>0</v>
      </c>
      <c r="N129" s="18">
        <f t="shared" si="12"/>
        <v>40.090000000000003</v>
      </c>
      <c r="O129" s="8"/>
    </row>
    <row r="130" spans="1:15">
      <c r="A130" s="1" t="s">
        <v>120</v>
      </c>
      <c r="B130" s="11"/>
      <c r="C130" s="11">
        <v>3693000</v>
      </c>
      <c r="D130" s="11">
        <v>3693000</v>
      </c>
      <c r="E130" s="11">
        <v>0</v>
      </c>
      <c r="F130" s="11">
        <f t="shared" si="10"/>
        <v>0</v>
      </c>
      <c r="G130" s="17">
        <f t="shared" si="13"/>
        <v>40.090000000000003</v>
      </c>
      <c r="H130" s="17">
        <f t="shared" si="14"/>
        <v>0</v>
      </c>
      <c r="I130" s="17">
        <f t="shared" si="15"/>
        <v>0</v>
      </c>
      <c r="J130" s="18">
        <f t="shared" si="16"/>
        <v>0</v>
      </c>
      <c r="K130" s="18">
        <f t="shared" si="17"/>
        <v>0</v>
      </c>
      <c r="L130" s="18">
        <f t="shared" si="11"/>
        <v>40.090000000000003</v>
      </c>
      <c r="M130" s="18">
        <f t="shared" si="19"/>
        <v>0</v>
      </c>
      <c r="N130" s="18">
        <f t="shared" si="12"/>
        <v>40.090000000000003</v>
      </c>
      <c r="O130" s="8"/>
    </row>
    <row r="131" spans="1:15">
      <c r="A131" s="1" t="s">
        <v>121</v>
      </c>
      <c r="B131" s="11" t="s">
        <v>138</v>
      </c>
      <c r="C131" s="11">
        <v>0</v>
      </c>
      <c r="D131" s="11">
        <v>0</v>
      </c>
      <c r="E131" s="11">
        <v>0</v>
      </c>
      <c r="F131" s="11">
        <f t="shared" si="10"/>
        <v>0</v>
      </c>
      <c r="G131" s="17">
        <f t="shared" si="13"/>
        <v>11.79</v>
      </c>
      <c r="H131" s="17">
        <f t="shared" si="14"/>
        <v>0</v>
      </c>
      <c r="I131" s="17">
        <f t="shared" si="15"/>
        <v>0</v>
      </c>
      <c r="J131" s="18">
        <f t="shared" si="16"/>
        <v>0</v>
      </c>
      <c r="K131" s="18">
        <f t="shared" si="17"/>
        <v>0</v>
      </c>
      <c r="L131" s="18">
        <f t="shared" si="11"/>
        <v>11.79</v>
      </c>
      <c r="M131" s="18">
        <f t="shared" si="19"/>
        <v>0</v>
      </c>
      <c r="N131" s="18">
        <f t="shared" si="12"/>
        <v>11.79</v>
      </c>
      <c r="O131" s="8"/>
    </row>
    <row r="132" spans="1:15">
      <c r="A132" s="1" t="s">
        <v>122</v>
      </c>
      <c r="B132" s="11"/>
      <c r="C132" s="11">
        <v>1297000</v>
      </c>
      <c r="D132" s="11">
        <v>1297000</v>
      </c>
      <c r="E132" s="11">
        <v>0</v>
      </c>
      <c r="F132" s="11">
        <f t="shared" si="10"/>
        <v>0</v>
      </c>
      <c r="G132" s="17">
        <f t="shared" si="13"/>
        <v>40.090000000000003</v>
      </c>
      <c r="H132" s="17">
        <f t="shared" si="14"/>
        <v>0</v>
      </c>
      <c r="I132" s="17">
        <f t="shared" si="15"/>
        <v>0</v>
      </c>
      <c r="J132" s="18">
        <f t="shared" si="16"/>
        <v>0</v>
      </c>
      <c r="K132" s="18">
        <f t="shared" si="17"/>
        <v>0</v>
      </c>
      <c r="L132" s="18">
        <f t="shared" si="11"/>
        <v>40.090000000000003</v>
      </c>
      <c r="M132" s="18">
        <f t="shared" si="19"/>
        <v>0</v>
      </c>
      <c r="N132" s="18">
        <f t="shared" si="12"/>
        <v>40.090000000000003</v>
      </c>
      <c r="O132" s="8"/>
    </row>
    <row r="133" spans="1:15">
      <c r="A133" s="1" t="s">
        <v>123</v>
      </c>
      <c r="B133" s="11" t="s">
        <v>138</v>
      </c>
      <c r="C133" s="11">
        <v>0</v>
      </c>
      <c r="D133" s="11">
        <v>0</v>
      </c>
      <c r="E133" s="11">
        <v>0</v>
      </c>
      <c r="F133" s="11">
        <f t="shared" si="10"/>
        <v>0</v>
      </c>
      <c r="G133" s="17">
        <f t="shared" si="13"/>
        <v>11.79</v>
      </c>
      <c r="H133" s="17">
        <f t="shared" si="14"/>
        <v>0</v>
      </c>
      <c r="I133" s="17">
        <f t="shared" si="15"/>
        <v>0</v>
      </c>
      <c r="J133" s="18">
        <f t="shared" si="16"/>
        <v>0</v>
      </c>
      <c r="K133" s="18">
        <f t="shared" si="17"/>
        <v>0</v>
      </c>
      <c r="L133" s="18">
        <f t="shared" si="11"/>
        <v>11.79</v>
      </c>
      <c r="M133" s="18">
        <f t="shared" si="19"/>
        <v>0</v>
      </c>
      <c r="N133" s="18">
        <f t="shared" si="12"/>
        <v>11.79</v>
      </c>
      <c r="O133" s="8"/>
    </row>
    <row r="134" spans="1:15">
      <c r="A134" s="1" t="s">
        <v>124</v>
      </c>
      <c r="B134" s="11" t="s">
        <v>138</v>
      </c>
      <c r="C134" s="11">
        <v>0</v>
      </c>
      <c r="D134" s="11">
        <v>0</v>
      </c>
      <c r="E134" s="11">
        <v>0</v>
      </c>
      <c r="F134" s="11">
        <f t="shared" si="10"/>
        <v>0</v>
      </c>
      <c r="G134" s="17">
        <f t="shared" si="13"/>
        <v>11.79</v>
      </c>
      <c r="H134" s="17">
        <f t="shared" si="14"/>
        <v>0</v>
      </c>
      <c r="I134" s="17">
        <f t="shared" si="15"/>
        <v>0</v>
      </c>
      <c r="J134" s="18">
        <f t="shared" si="16"/>
        <v>0</v>
      </c>
      <c r="K134" s="18">
        <f t="shared" si="17"/>
        <v>0</v>
      </c>
      <c r="L134" s="18">
        <f t="shared" si="11"/>
        <v>11.79</v>
      </c>
      <c r="M134" s="18">
        <f t="shared" si="19"/>
        <v>0</v>
      </c>
      <c r="N134" s="18">
        <f t="shared" si="12"/>
        <v>11.79</v>
      </c>
      <c r="O134" s="8"/>
    </row>
    <row r="135" spans="1:15">
      <c r="A135" s="1" t="s">
        <v>125</v>
      </c>
      <c r="B135" s="11" t="s">
        <v>138</v>
      </c>
      <c r="C135" s="11">
        <v>0</v>
      </c>
      <c r="D135" s="11">
        <v>0</v>
      </c>
      <c r="E135" s="11">
        <v>0</v>
      </c>
      <c r="F135" s="11">
        <f t="shared" si="10"/>
        <v>0</v>
      </c>
      <c r="G135" s="17">
        <f t="shared" si="13"/>
        <v>11.79</v>
      </c>
      <c r="H135" s="17">
        <f t="shared" si="14"/>
        <v>0</v>
      </c>
      <c r="I135" s="17">
        <f t="shared" si="15"/>
        <v>0</v>
      </c>
      <c r="J135" s="18">
        <f t="shared" si="16"/>
        <v>0</v>
      </c>
      <c r="K135" s="18">
        <f t="shared" si="17"/>
        <v>0</v>
      </c>
      <c r="L135" s="18">
        <f t="shared" si="11"/>
        <v>11.79</v>
      </c>
      <c r="M135" s="18">
        <f t="shared" si="19"/>
        <v>0</v>
      </c>
      <c r="N135" s="18">
        <f t="shared" si="12"/>
        <v>11.79</v>
      </c>
      <c r="O135" s="8"/>
    </row>
    <row r="136" spans="1:15">
      <c r="A136" s="1" t="s">
        <v>126</v>
      </c>
      <c r="B136" s="11"/>
      <c r="C136" s="11">
        <v>1003000</v>
      </c>
      <c r="D136" s="11">
        <v>1003000</v>
      </c>
      <c r="E136" s="11">
        <v>0</v>
      </c>
      <c r="F136" s="11">
        <f t="shared" si="10"/>
        <v>0</v>
      </c>
      <c r="G136" s="17">
        <f t="shared" si="13"/>
        <v>40.090000000000003</v>
      </c>
      <c r="H136" s="17">
        <f t="shared" si="14"/>
        <v>0</v>
      </c>
      <c r="I136" s="17">
        <f t="shared" si="15"/>
        <v>0</v>
      </c>
      <c r="J136" s="18">
        <f t="shared" si="16"/>
        <v>0</v>
      </c>
      <c r="K136" s="18">
        <f t="shared" si="17"/>
        <v>0</v>
      </c>
      <c r="L136" s="18">
        <f t="shared" si="11"/>
        <v>40.090000000000003</v>
      </c>
      <c r="M136" s="18">
        <f t="shared" si="19"/>
        <v>0</v>
      </c>
      <c r="N136" s="18">
        <f t="shared" si="12"/>
        <v>40.090000000000003</v>
      </c>
      <c r="O136" s="8"/>
    </row>
    <row r="137" spans="1:15">
      <c r="B137" s="11"/>
      <c r="C137" s="11"/>
      <c r="D137" s="11"/>
      <c r="E137" s="11"/>
      <c r="F137" s="11"/>
      <c r="G137" s="17"/>
      <c r="H137" s="17"/>
      <c r="I137" s="17"/>
      <c r="J137" s="18"/>
      <c r="K137" s="18"/>
      <c r="L137" s="18"/>
      <c r="M137" s="18"/>
      <c r="N137" s="18"/>
      <c r="O137" s="8"/>
    </row>
    <row r="138" spans="1:15">
      <c r="J138" s="1" t="s">
        <v>136</v>
      </c>
      <c r="M138" s="27">
        <f>SUM(M11:M136)</f>
        <v>0</v>
      </c>
      <c r="N138" s="5">
        <f>SUM(N11:N136)</f>
        <v>4196.7500000000045</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0</v>
      </c>
      <c r="G140" s="75">
        <f t="shared" si="20"/>
        <v>4196.7500000000045</v>
      </c>
      <c r="H140" s="75">
        <f t="shared" si="20"/>
        <v>0</v>
      </c>
      <c r="I140" s="75">
        <f t="shared" si="20"/>
        <v>0</v>
      </c>
      <c r="J140" s="75">
        <f t="shared" si="20"/>
        <v>0</v>
      </c>
      <c r="K140" s="75">
        <f t="shared" si="20"/>
        <v>0</v>
      </c>
      <c r="L140" s="75">
        <f t="shared" si="20"/>
        <v>4196.7500000000045</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0</v>
      </c>
      <c r="G143" s="25">
        <f>SUM(G18:G130)-G145</f>
        <v>3287.3800000000028</v>
      </c>
      <c r="H143" s="80">
        <f>SUM(H18:H130)-H145</f>
        <v>0</v>
      </c>
      <c r="I143" s="25">
        <f>SUM(I18:I130)-I145</f>
        <v>0</v>
      </c>
      <c r="J143" s="25">
        <f>SUM(J18:J130)-J145</f>
        <v>0</v>
      </c>
      <c r="K143" s="25">
        <f>SUM(K18:K130)-K145</f>
        <v>0</v>
      </c>
      <c r="L143" s="25">
        <f>SUM(F143:K143)</f>
        <v>3287.3800000000028</v>
      </c>
      <c r="M143" s="1"/>
    </row>
    <row r="144" spans="1:15" customFormat="1">
      <c r="A144" t="s">
        <v>255</v>
      </c>
      <c r="D144">
        <v>8</v>
      </c>
      <c r="E144" s="25">
        <f>SUM(M11:M15)+M17+SUM(M131:M136)</f>
        <v>0</v>
      </c>
      <c r="G144" s="34">
        <f>SUM(G11:G15)+G17+G132+G136</f>
        <v>320.72000000000003</v>
      </c>
      <c r="H144" s="34">
        <f>SUM(H11:H15)+H17+H132+H136</f>
        <v>0</v>
      </c>
      <c r="I144" s="34">
        <f>SUM(I11:I15)+I17+I132+I136</f>
        <v>0</v>
      </c>
      <c r="J144" s="34">
        <f>SUM(J11:J15)+J17+J132+J136</f>
        <v>0</v>
      </c>
      <c r="K144" s="34">
        <f>SUM(K11:K15)+K17+K132+K136</f>
        <v>0</v>
      </c>
      <c r="L144" s="25">
        <f t="shared" ref="L144:L147" si="21">SUM(F144:K144)</f>
        <v>320.72000000000003</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21"/>
        <v>47.16</v>
      </c>
      <c r="M146" s="1"/>
    </row>
    <row r="147" spans="1:13" customFormat="1">
      <c r="A147" t="s">
        <v>253</v>
      </c>
      <c r="D147">
        <v>1</v>
      </c>
      <c r="E147" s="25">
        <f>M16</f>
        <v>0</v>
      </c>
      <c r="G147" s="25">
        <f>G16</f>
        <v>176</v>
      </c>
      <c r="H147" s="25">
        <f>H16</f>
        <v>0</v>
      </c>
      <c r="I147" s="25">
        <f>I16</f>
        <v>0</v>
      </c>
      <c r="J147" s="25">
        <f>J16</f>
        <v>0</v>
      </c>
      <c r="K147" s="25">
        <f>K16</f>
        <v>0</v>
      </c>
      <c r="L147" s="25">
        <f t="shared" si="21"/>
        <v>176</v>
      </c>
      <c r="M147" s="1"/>
    </row>
    <row r="148" spans="1:13" customFormat="1" ht="15.75" thickBot="1">
      <c r="B148" t="s">
        <v>257</v>
      </c>
      <c r="D148" s="73">
        <f>SUM(D143:D147)</f>
        <v>126</v>
      </c>
      <c r="E148" s="74">
        <f>SUM(E143:E147)</f>
        <v>0</v>
      </c>
      <c r="F148" s="73"/>
      <c r="G148" s="74">
        <f t="shared" ref="G148:L148" si="22">SUM(G143:G147)</f>
        <v>4196.7500000000036</v>
      </c>
      <c r="H148" s="74">
        <f t="shared" si="22"/>
        <v>0</v>
      </c>
      <c r="I148" s="74">
        <f t="shared" si="22"/>
        <v>0</v>
      </c>
      <c r="J148" s="74">
        <f t="shared" si="22"/>
        <v>0</v>
      </c>
      <c r="K148" s="74">
        <f t="shared" si="22"/>
        <v>0</v>
      </c>
      <c r="L148" s="74">
        <f t="shared" si="22"/>
        <v>4196.7500000000036</v>
      </c>
      <c r="M148" s="1"/>
    </row>
    <row r="149" spans="1:13" customFormat="1" ht="15.75" thickTop="1">
      <c r="D149" s="78"/>
      <c r="E149" s="78"/>
      <c r="F149" s="78"/>
      <c r="G149" s="79"/>
      <c r="H149" s="79"/>
      <c r="I149" s="79"/>
      <c r="J149" s="79"/>
      <c r="K149" s="79"/>
      <c r="L149" s="79"/>
      <c r="M149" s="1"/>
    </row>
    <row r="150" spans="1:13" customFormat="1">
      <c r="A150" t="s">
        <v>262</v>
      </c>
      <c r="D150" s="75"/>
      <c r="E150" s="81">
        <v>0</v>
      </c>
      <c r="F150" s="75"/>
      <c r="G150" s="81">
        <f>F140-G151-G152-(SUM(H153:K153))</f>
        <v>0</v>
      </c>
      <c r="H150" s="81">
        <f>H143/2.18*1000</f>
        <v>0</v>
      </c>
      <c r="I150" s="81">
        <f>I143/2.53*1000</f>
        <v>0</v>
      </c>
      <c r="J150" s="81">
        <f>J143/2.95*1000</f>
        <v>0</v>
      </c>
      <c r="K150" s="81">
        <f>K143/3.42*1000</f>
        <v>0</v>
      </c>
      <c r="L150" s="81">
        <f>SUM(G150:K150)</f>
        <v>0</v>
      </c>
      <c r="M150" s="1"/>
    </row>
    <row r="151" spans="1:13" customFormat="1">
      <c r="A151" t="s">
        <v>263</v>
      </c>
      <c r="D151" s="75"/>
      <c r="E151" s="81">
        <v>0</v>
      </c>
      <c r="F151" s="75"/>
      <c r="G151" s="81">
        <f>(SUM(F11:F15)+F17+SUM(F131:F136)-H151-I151-J151-K151)</f>
        <v>0</v>
      </c>
      <c r="H151" s="81">
        <f>H144/2.18*1000</f>
        <v>0</v>
      </c>
      <c r="I151" s="81">
        <f>I144/2.53*1000</f>
        <v>0</v>
      </c>
      <c r="J151" s="81">
        <f>J144/2.95*1000</f>
        <v>0</v>
      </c>
      <c r="K151" s="81">
        <f>K144/3.42*1000</f>
        <v>0</v>
      </c>
      <c r="L151" s="81">
        <f>SUM(G151:K151)</f>
        <v>0</v>
      </c>
      <c r="M151" s="1"/>
    </row>
    <row r="152" spans="1:13" customFormat="1">
      <c r="A152" t="s">
        <v>264</v>
      </c>
      <c r="D152" s="75"/>
      <c r="E152" s="81">
        <v>0</v>
      </c>
      <c r="F152" s="75"/>
      <c r="G152" s="81">
        <f>IF(F16&gt;100000,100000,F16)</f>
        <v>0</v>
      </c>
      <c r="H152" s="81">
        <f>H147/1.89*1000</f>
        <v>0</v>
      </c>
      <c r="I152" s="81" t="s">
        <v>259</v>
      </c>
      <c r="J152" s="81" t="s">
        <v>259</v>
      </c>
      <c r="K152" s="81" t="s">
        <v>259</v>
      </c>
      <c r="L152" s="81">
        <f>SUM(G152:K152)</f>
        <v>0</v>
      </c>
      <c r="M152" s="1"/>
    </row>
    <row r="153" spans="1:13" customFormat="1" ht="15.75" thickBot="1">
      <c r="B153" t="s">
        <v>265</v>
      </c>
      <c r="D153" s="77"/>
      <c r="E153" s="82">
        <f>SUM(E150:E152)</f>
        <v>0</v>
      </c>
      <c r="F153" s="77"/>
      <c r="G153" s="82">
        <f>G150+G151+G152</f>
        <v>0</v>
      </c>
      <c r="H153" s="82">
        <f>SUM(H150:H152)</f>
        <v>0</v>
      </c>
      <c r="I153" s="82">
        <f>SUM(I150:I152)</f>
        <v>0</v>
      </c>
      <c r="J153" s="82">
        <f>SUM(J150:J152)</f>
        <v>0</v>
      </c>
      <c r="K153" s="82">
        <f>SUM(K150:K152)</f>
        <v>0</v>
      </c>
      <c r="L153" s="82">
        <f>SUM(L150:L152)</f>
        <v>0</v>
      </c>
      <c r="M153" s="1"/>
    </row>
    <row r="154" spans="1:13" ht="15.75" thickTop="1">
      <c r="E154" s="1" t="s">
        <v>274</v>
      </c>
    </row>
    <row r="155" spans="1:13">
      <c r="E155" s="75" t="s">
        <v>275</v>
      </c>
    </row>
    <row r="156" spans="1:13">
      <c r="E156" s="75" t="s">
        <v>273</v>
      </c>
    </row>
    <row r="157" spans="1:13">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18.xml><?xml version="1.0" encoding="utf-8"?>
<worksheet xmlns="http://schemas.openxmlformats.org/spreadsheetml/2006/main" xmlns:r="http://schemas.openxmlformats.org/officeDocument/2006/relationships">
  <sheetPr>
    <pageSetUpPr fitToPage="1"/>
  </sheetPr>
  <dimension ref="A1:O157"/>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23">
        <v>40909</v>
      </c>
      <c r="D4" s="1" t="s">
        <v>146</v>
      </c>
      <c r="G4" s="1" t="s">
        <v>156</v>
      </c>
      <c r="K4" s="1" t="s">
        <v>149</v>
      </c>
      <c r="N4" s="1">
        <f>SUM(F11:F136)</f>
        <v>937000</v>
      </c>
    </row>
    <row r="5" spans="1:15">
      <c r="A5" s="1" t="s">
        <v>165</v>
      </c>
      <c r="B5" s="24" t="s">
        <v>179</v>
      </c>
      <c r="D5" s="1" t="s">
        <v>144</v>
      </c>
      <c r="G5" s="1" t="s">
        <v>155</v>
      </c>
      <c r="H5" s="1">
        <v>0</v>
      </c>
      <c r="K5" s="1" t="s">
        <v>154</v>
      </c>
      <c r="N5" s="1">
        <f>N4-F16</f>
        <v>756000</v>
      </c>
    </row>
    <row r="6" spans="1:15">
      <c r="B6" s="4"/>
      <c r="D6" s="1" t="s">
        <v>145</v>
      </c>
      <c r="G6" s="1" t="s">
        <v>158</v>
      </c>
      <c r="H6" s="1">
        <v>35000</v>
      </c>
      <c r="K6" s="1" t="s">
        <v>160</v>
      </c>
      <c r="N6" s="1">
        <f>SUMIF(F11:F15,"&gt;" &amp; $H$6)+SUMIF(F17:F136,"&gt;" &amp; $H$6)+SUMIF(F16,"&gt;" &amp; $H$7)</f>
        <v>399000</v>
      </c>
    </row>
    <row r="7" spans="1:15">
      <c r="B7" s="4"/>
      <c r="D7" s="1" t="s">
        <v>150</v>
      </c>
      <c r="E7" s="12">
        <f>E6-E5</f>
        <v>0</v>
      </c>
      <c r="G7" s="1" t="s">
        <v>159</v>
      </c>
      <c r="H7" s="12">
        <v>100000</v>
      </c>
      <c r="K7" s="1" t="s">
        <v>161</v>
      </c>
      <c r="N7" s="1">
        <f>(SUMIF(F11:F15,"&gt;" &amp; $H$6)-(COUNTIF(F11:F15,"&gt;" &amp; $H$6)*$H$6))+(SUMIF(F17:F136,"&gt;" &amp; $H$6)-(COUNTIF(F17:F136,"&gt;" &amp; $H$6)*$H$6))+(SUMIF(F16,"&gt;" &amp; $H$7)-(COUNTIF(F16,"&gt;" &amp; $H$7)*$H$7))</f>
        <v>159000</v>
      </c>
    </row>
    <row r="8" spans="1:15">
      <c r="D8" s="1" t="s">
        <v>147</v>
      </c>
      <c r="E8" s="25">
        <v>0</v>
      </c>
      <c r="H8" s="6"/>
    </row>
    <row r="10" spans="1:15">
      <c r="A10" s="7" t="s">
        <v>0</v>
      </c>
      <c r="B10" s="10" t="s">
        <v>137</v>
      </c>
      <c r="C10" s="13" t="s">
        <v>177</v>
      </c>
      <c r="D10" s="26" t="s">
        <v>180</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7771000</v>
      </c>
      <c r="D11" s="11">
        <v>7771000</v>
      </c>
      <c r="E11" s="11">
        <v>0</v>
      </c>
      <c r="F11" s="83">
        <f>Table21623[[#This Row],[Usage]]</f>
        <v>74000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116.28</v>
      </c>
      <c r="L11" s="18">
        <f>SUM(G11:K11)</f>
        <v>232.97</v>
      </c>
      <c r="M11" s="18">
        <f>IF(   $H$5=1,    IF((F11-$H$6)&gt;0,((F11-$H$6)/$N$7)*$E$8,0),   IF(F11&gt;0,(F11/$N$4)*$E$8,0)    )</f>
        <v>0</v>
      </c>
      <c r="N11" s="18">
        <f>SUM(L11:M11)</f>
        <v>232.97</v>
      </c>
      <c r="O11" s="8"/>
    </row>
    <row r="12" spans="1:15">
      <c r="A12" s="1" t="s">
        <v>2</v>
      </c>
      <c r="B12" s="11"/>
      <c r="C12" s="11">
        <v>6677000</v>
      </c>
      <c r="D12" s="11">
        <v>6677000</v>
      </c>
      <c r="E12" s="11">
        <v>0</v>
      </c>
      <c r="F12" s="83">
        <f>Table21623[[#This Row],[Usage]]</f>
        <v>53000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44.46</v>
      </c>
      <c r="L12" s="18">
        <f t="shared" ref="L12:L75" si="0">SUM(G12:K12)</f>
        <v>161.15</v>
      </c>
      <c r="M12" s="18">
        <f>IF(   $H$5=1,    IF((F12-$H$6)&gt;0,((F12-$H$6)/$N$7)*$E$8,0),   IF(F12&gt;0,(F12/$N$4)*$E$8,0)    )</f>
        <v>0</v>
      </c>
      <c r="N12" s="18">
        <f t="shared" ref="N12:N75" si="1">SUM(L12:M12)</f>
        <v>161.15</v>
      </c>
      <c r="O12" s="8"/>
    </row>
    <row r="13" spans="1:15">
      <c r="A13" s="1" t="s">
        <v>3</v>
      </c>
      <c r="B13" s="11"/>
      <c r="C13" s="11">
        <v>0</v>
      </c>
      <c r="D13" s="11">
        <v>0</v>
      </c>
      <c r="E13" s="11">
        <v>0</v>
      </c>
      <c r="F13" s="83">
        <f>Table21623[[#This Row],[Usage]]</f>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0"/>
        <v>40.090000000000003</v>
      </c>
      <c r="M13" s="18">
        <f>IF(   $H$5=1,    IF((F13-$H$6)&gt;0,((F13-$H$6)/$N$7)*$E$8,0),   IF(F13&gt;0,(F13/$N$4)*$E$8,0)    )</f>
        <v>0</v>
      </c>
      <c r="N13" s="18">
        <f t="shared" si="1"/>
        <v>40.090000000000003</v>
      </c>
      <c r="O13" s="8" t="s">
        <v>134</v>
      </c>
    </row>
    <row r="14" spans="1:15">
      <c r="A14" s="1" t="s">
        <v>4</v>
      </c>
      <c r="B14" s="11"/>
      <c r="C14" s="11">
        <v>3358000</v>
      </c>
      <c r="D14" s="11">
        <v>3358000</v>
      </c>
      <c r="E14" s="11">
        <v>0</v>
      </c>
      <c r="F14" s="83">
        <f>Table21623[[#This Row],[Usage]]</f>
        <v>43000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10.26</v>
      </c>
      <c r="L14" s="18">
        <f t="shared" si="0"/>
        <v>126.95</v>
      </c>
      <c r="M14" s="18">
        <f>IF(   $H$5=1,    IF((F14-$H$6)&gt;0,((F14-$H$6)/$N$7)*$E$8,0),   IF(F14&gt;0,(F14/$N$4)*$E$8,0)    )</f>
        <v>0</v>
      </c>
      <c r="N14" s="18">
        <f t="shared" si="1"/>
        <v>126.95</v>
      </c>
      <c r="O14" s="8"/>
    </row>
    <row r="15" spans="1:15">
      <c r="A15" s="1" t="s">
        <v>5</v>
      </c>
      <c r="B15" s="11"/>
      <c r="C15" s="11">
        <v>2280000</v>
      </c>
      <c r="D15" s="11">
        <v>2280000</v>
      </c>
      <c r="E15" s="11">
        <v>0</v>
      </c>
      <c r="F15" s="83">
        <f>Table21623[[#This Row],[Usage]]</f>
        <v>48000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27.36</v>
      </c>
      <c r="L15" s="18">
        <f t="shared" si="0"/>
        <v>144.05000000000001</v>
      </c>
      <c r="M15" s="18">
        <f>IF(   $H$5=1,    IF((F15-$H$6)&gt;0,((F15-$H$6)/$N$7)*$E$8,0),   IF(F15&gt;0,(F15/$N$4)*$E$8,0)    )</f>
        <v>0</v>
      </c>
      <c r="N15" s="18">
        <f t="shared" si="1"/>
        <v>144.05000000000001</v>
      </c>
      <c r="O15" s="8"/>
    </row>
    <row r="16" spans="1:15">
      <c r="A16" s="1" t="s">
        <v>6</v>
      </c>
      <c r="B16" s="11"/>
      <c r="C16" s="11">
        <v>25128000</v>
      </c>
      <c r="D16" s="11">
        <v>25128000</v>
      </c>
      <c r="E16" s="11">
        <v>0</v>
      </c>
      <c r="F16" s="83">
        <f>Table21623[[#This Row],[Usage]]</f>
        <v>181000</v>
      </c>
      <c r="G16" s="17">
        <v>176</v>
      </c>
      <c r="H16" s="17">
        <f>IF(($F16-100000)&gt;=0,($F16-100000)/1000*1.89,0)</f>
        <v>153.09</v>
      </c>
      <c r="I16" s="17"/>
      <c r="J16" s="18"/>
      <c r="K16" s="18"/>
      <c r="L16" s="18">
        <f t="shared" si="0"/>
        <v>329.09000000000003</v>
      </c>
      <c r="M16" s="18">
        <f>IF(   $H$5=1,     IF((F16-$H$7)&gt;0,((F16-$H$7)/$N$7)*$E$8,0),   IF(F16&gt;0,(F16/$N$4)*$E$8,0)    )</f>
        <v>0</v>
      </c>
      <c r="N16" s="18">
        <f t="shared" si="1"/>
        <v>329.09000000000003</v>
      </c>
      <c r="O16" s="8" t="s">
        <v>133</v>
      </c>
    </row>
    <row r="17" spans="1:15">
      <c r="A17" s="1" t="s">
        <v>7</v>
      </c>
      <c r="B17" s="11"/>
      <c r="C17" s="11">
        <v>550000</v>
      </c>
      <c r="D17" s="11">
        <v>550000</v>
      </c>
      <c r="E17" s="11">
        <v>0</v>
      </c>
      <c r="F17" s="83">
        <f>Table21623[[#This Row],[Usage]]</f>
        <v>13000</v>
      </c>
      <c r="G17" s="17">
        <f t="shared" ref="G17:G80" si="2">IF(OR($F17&gt;0,$B17=""),40.09,11.79)</f>
        <v>40.090000000000003</v>
      </c>
      <c r="H17" s="17">
        <f t="shared" ref="H17:H80" si="3">IF(AND((($F17-10000)&gt;=0),(($F17-10000)&lt;= 10000)),($F17-10000)/1000*2.18,IF(($F17-10000)&gt;=10000,2.18*10,0))</f>
        <v>6.5400000000000009</v>
      </c>
      <c r="I17" s="17">
        <f t="shared" ref="I17:I80" si="4">IF(AND((($F17-20000)&gt;=0),(($F17-20000)&lt;=10000)),($F17-20000)/1000*2.53,IF(($F17-20000)&gt;=10000,2.53*10,0))</f>
        <v>0</v>
      </c>
      <c r="J17" s="18">
        <f t="shared" ref="J17:J80" si="5">IF(AND((($F17-30000)&gt;=0),(($F17-30000)&lt;=10000)),($F17-30000)/1000*2.95,IF(($F17-30000)&gt;=10000,2.95*10,0))</f>
        <v>0</v>
      </c>
      <c r="K17" s="18">
        <f t="shared" ref="K17:K80" si="6">IF((($F17-40000)&gt;=0),($F17-40000)/1000*3.42,0)</f>
        <v>0</v>
      </c>
      <c r="L17" s="18">
        <f t="shared" si="0"/>
        <v>46.63</v>
      </c>
      <c r="M17" s="18">
        <f t="shared" ref="M17:M48" si="7">IF(   $H$5=1,    IF((F17-$H$6)&gt;0,((F17-$H$6)/$N$7)*$E$8,0),   IF(F17&gt;0,(F17/$N$4)*$E$8,0)    )</f>
        <v>0</v>
      </c>
      <c r="N17" s="18">
        <f t="shared" si="1"/>
        <v>46.63</v>
      </c>
      <c r="O17" s="8"/>
    </row>
    <row r="18" spans="1:15">
      <c r="A18" s="1" t="s">
        <v>8</v>
      </c>
      <c r="B18" s="11"/>
      <c r="C18" s="11">
        <v>2218000</v>
      </c>
      <c r="D18" s="11">
        <v>2218000</v>
      </c>
      <c r="E18" s="11">
        <v>0</v>
      </c>
      <c r="F18" s="83">
        <f>Table21623[[#This Row],[Usage]]</f>
        <v>11000</v>
      </c>
      <c r="G18" s="17">
        <f t="shared" si="2"/>
        <v>40.090000000000003</v>
      </c>
      <c r="H18" s="17">
        <f t="shared" si="3"/>
        <v>2.1800000000000002</v>
      </c>
      <c r="I18" s="17">
        <f t="shared" si="4"/>
        <v>0</v>
      </c>
      <c r="J18" s="18">
        <f t="shared" si="5"/>
        <v>0</v>
      </c>
      <c r="K18" s="18">
        <f t="shared" si="6"/>
        <v>0</v>
      </c>
      <c r="L18" s="18">
        <f t="shared" si="0"/>
        <v>42.27</v>
      </c>
      <c r="M18" s="18">
        <f t="shared" si="7"/>
        <v>0</v>
      </c>
      <c r="N18" s="18">
        <f t="shared" si="1"/>
        <v>42.27</v>
      </c>
      <c r="O18" s="8" t="s">
        <v>174</v>
      </c>
    </row>
    <row r="19" spans="1:15">
      <c r="A19" s="1" t="s">
        <v>9</v>
      </c>
      <c r="B19" s="11"/>
      <c r="C19" s="11">
        <v>227000</v>
      </c>
      <c r="D19" s="11">
        <v>227000</v>
      </c>
      <c r="E19" s="11">
        <v>0</v>
      </c>
      <c r="F19" s="83">
        <f>Table21623[[#This Row],[Usage]]</f>
        <v>18000</v>
      </c>
      <c r="G19" s="17">
        <f t="shared" si="2"/>
        <v>40.090000000000003</v>
      </c>
      <c r="H19" s="17">
        <f t="shared" si="3"/>
        <v>17.440000000000001</v>
      </c>
      <c r="I19" s="17">
        <f t="shared" si="4"/>
        <v>0</v>
      </c>
      <c r="J19" s="18">
        <f t="shared" si="5"/>
        <v>0</v>
      </c>
      <c r="K19" s="18">
        <f t="shared" si="6"/>
        <v>0</v>
      </c>
      <c r="L19" s="18">
        <f t="shared" si="0"/>
        <v>57.53</v>
      </c>
      <c r="M19" s="18">
        <f t="shared" si="7"/>
        <v>0</v>
      </c>
      <c r="N19" s="18">
        <f t="shared" si="1"/>
        <v>57.53</v>
      </c>
      <c r="O19" s="8"/>
    </row>
    <row r="20" spans="1:15">
      <c r="A20" s="1" t="s">
        <v>10</v>
      </c>
      <c r="B20" s="11"/>
      <c r="C20" s="11">
        <v>1529000</v>
      </c>
      <c r="D20" s="11">
        <v>1529000</v>
      </c>
      <c r="E20" s="11">
        <v>0</v>
      </c>
      <c r="F20" s="83">
        <f>Table21623[[#This Row],[Usage]]</f>
        <v>10000</v>
      </c>
      <c r="G20" s="17">
        <f t="shared" si="2"/>
        <v>40.090000000000003</v>
      </c>
      <c r="H20" s="17">
        <f t="shared" si="3"/>
        <v>0</v>
      </c>
      <c r="I20" s="17">
        <f t="shared" si="4"/>
        <v>0</v>
      </c>
      <c r="J20" s="18">
        <f t="shared" si="5"/>
        <v>0</v>
      </c>
      <c r="K20" s="18">
        <f t="shared" si="6"/>
        <v>0</v>
      </c>
      <c r="L20" s="18">
        <f t="shared" si="0"/>
        <v>40.090000000000003</v>
      </c>
      <c r="M20" s="18">
        <f t="shared" si="7"/>
        <v>0</v>
      </c>
      <c r="N20" s="18">
        <f t="shared" si="1"/>
        <v>40.090000000000003</v>
      </c>
      <c r="O20" s="8"/>
    </row>
    <row r="21" spans="1:15">
      <c r="A21" s="1" t="s">
        <v>11</v>
      </c>
      <c r="B21" s="11"/>
      <c r="C21" s="11">
        <v>1980000</v>
      </c>
      <c r="D21" s="11">
        <v>1980000</v>
      </c>
      <c r="E21" s="11">
        <v>0</v>
      </c>
      <c r="F21" s="83">
        <f>Table21623[[#This Row],[Usage]]</f>
        <v>11000</v>
      </c>
      <c r="G21" s="17">
        <f t="shared" si="2"/>
        <v>40.090000000000003</v>
      </c>
      <c r="H21" s="17">
        <f t="shared" si="3"/>
        <v>2.1800000000000002</v>
      </c>
      <c r="I21" s="17">
        <f t="shared" si="4"/>
        <v>0</v>
      </c>
      <c r="J21" s="18">
        <f t="shared" si="5"/>
        <v>0</v>
      </c>
      <c r="K21" s="18">
        <f t="shared" si="6"/>
        <v>0</v>
      </c>
      <c r="L21" s="18">
        <f t="shared" si="0"/>
        <v>42.27</v>
      </c>
      <c r="M21" s="18">
        <f t="shared" si="7"/>
        <v>0</v>
      </c>
      <c r="N21" s="18">
        <f t="shared" si="1"/>
        <v>42.27</v>
      </c>
      <c r="O21" s="8"/>
    </row>
    <row r="22" spans="1:15">
      <c r="A22" s="1" t="s">
        <v>12</v>
      </c>
      <c r="B22" s="11"/>
      <c r="C22" s="11">
        <v>2238000</v>
      </c>
      <c r="D22" s="11">
        <v>2238000</v>
      </c>
      <c r="E22" s="11">
        <v>0</v>
      </c>
      <c r="F22" s="83">
        <f>Table21623[[#This Row],[Usage]]</f>
        <v>7000</v>
      </c>
      <c r="G22" s="17">
        <f t="shared" si="2"/>
        <v>40.090000000000003</v>
      </c>
      <c r="H22" s="17">
        <f t="shared" si="3"/>
        <v>0</v>
      </c>
      <c r="I22" s="17">
        <f t="shared" si="4"/>
        <v>0</v>
      </c>
      <c r="J22" s="18">
        <f t="shared" si="5"/>
        <v>0</v>
      </c>
      <c r="K22" s="18">
        <f t="shared" si="6"/>
        <v>0</v>
      </c>
      <c r="L22" s="18">
        <f t="shared" si="0"/>
        <v>40.090000000000003</v>
      </c>
      <c r="M22" s="18">
        <f t="shared" si="7"/>
        <v>0</v>
      </c>
      <c r="N22" s="18">
        <f t="shared" si="1"/>
        <v>40.090000000000003</v>
      </c>
      <c r="O22" s="8"/>
    </row>
    <row r="23" spans="1:15">
      <c r="A23" s="1" t="s">
        <v>13</v>
      </c>
      <c r="B23" s="11" t="s">
        <v>138</v>
      </c>
      <c r="C23" s="11">
        <v>0</v>
      </c>
      <c r="D23" s="11">
        <v>0</v>
      </c>
      <c r="E23" s="11">
        <v>0</v>
      </c>
      <c r="F23" s="83">
        <f>Table21623[[#This Row],[Usage]]</f>
        <v>0</v>
      </c>
      <c r="G23" s="17">
        <f t="shared" si="2"/>
        <v>11.79</v>
      </c>
      <c r="H23" s="17">
        <f t="shared" si="3"/>
        <v>0</v>
      </c>
      <c r="I23" s="17">
        <f t="shared" si="4"/>
        <v>0</v>
      </c>
      <c r="J23" s="18">
        <f t="shared" si="5"/>
        <v>0</v>
      </c>
      <c r="K23" s="18">
        <f t="shared" si="6"/>
        <v>0</v>
      </c>
      <c r="L23" s="18">
        <f t="shared" si="0"/>
        <v>11.79</v>
      </c>
      <c r="M23" s="18">
        <f t="shared" si="7"/>
        <v>0</v>
      </c>
      <c r="N23" s="18">
        <f t="shared" si="1"/>
        <v>11.79</v>
      </c>
      <c r="O23" s="8"/>
    </row>
    <row r="24" spans="1:15">
      <c r="A24" s="1" t="s">
        <v>14</v>
      </c>
      <c r="B24" s="11"/>
      <c r="C24" s="11">
        <v>6412000</v>
      </c>
      <c r="D24" s="11">
        <v>6412000</v>
      </c>
      <c r="E24" s="11">
        <v>0</v>
      </c>
      <c r="F24" s="83">
        <f>Table21623[[#This Row],[Usage]]</f>
        <v>5000</v>
      </c>
      <c r="G24" s="17">
        <f t="shared" si="2"/>
        <v>40.090000000000003</v>
      </c>
      <c r="H24" s="17">
        <f t="shared" si="3"/>
        <v>0</v>
      </c>
      <c r="I24" s="17">
        <f t="shared" si="4"/>
        <v>0</v>
      </c>
      <c r="J24" s="18">
        <f t="shared" si="5"/>
        <v>0</v>
      </c>
      <c r="K24" s="18">
        <f t="shared" si="6"/>
        <v>0</v>
      </c>
      <c r="L24" s="18">
        <f t="shared" si="0"/>
        <v>40.090000000000003</v>
      </c>
      <c r="M24" s="18">
        <f t="shared" si="7"/>
        <v>0</v>
      </c>
      <c r="N24" s="18">
        <f t="shared" si="1"/>
        <v>40.090000000000003</v>
      </c>
      <c r="O24" s="8"/>
    </row>
    <row r="25" spans="1:15">
      <c r="A25" s="1" t="s">
        <v>15</v>
      </c>
      <c r="B25" s="11"/>
      <c r="C25" s="11">
        <v>2666000</v>
      </c>
      <c r="D25" s="11">
        <v>2666000</v>
      </c>
      <c r="E25" s="11">
        <v>0</v>
      </c>
      <c r="F25" s="83">
        <f>Table21623[[#This Row],[Usage]]</f>
        <v>3000</v>
      </c>
      <c r="G25" s="17">
        <f t="shared" si="2"/>
        <v>40.090000000000003</v>
      </c>
      <c r="H25" s="17">
        <f t="shared" si="3"/>
        <v>0</v>
      </c>
      <c r="I25" s="17">
        <f t="shared" si="4"/>
        <v>0</v>
      </c>
      <c r="J25" s="18">
        <f t="shared" si="5"/>
        <v>0</v>
      </c>
      <c r="K25" s="18">
        <f>IF((($F25-40000)&gt;=0),($F25-40000)/1000*3.42,0)</f>
        <v>0</v>
      </c>
      <c r="L25" s="18">
        <f t="shared" si="0"/>
        <v>40.090000000000003</v>
      </c>
      <c r="M25" s="18">
        <f t="shared" si="7"/>
        <v>0</v>
      </c>
      <c r="N25" s="18">
        <f t="shared" si="1"/>
        <v>40.090000000000003</v>
      </c>
      <c r="O25" s="8"/>
    </row>
    <row r="26" spans="1:15">
      <c r="A26" s="1" t="s">
        <v>16</v>
      </c>
      <c r="B26" s="11"/>
      <c r="C26" s="11">
        <v>1585000</v>
      </c>
      <c r="D26" s="11">
        <v>1585000</v>
      </c>
      <c r="E26" s="11">
        <v>0</v>
      </c>
      <c r="F26" s="83">
        <f>Table21623[[#This Row],[Usage]]</f>
        <v>3000</v>
      </c>
      <c r="G26" s="17">
        <f t="shared" si="2"/>
        <v>40.090000000000003</v>
      </c>
      <c r="H26" s="17">
        <f t="shared" si="3"/>
        <v>0</v>
      </c>
      <c r="I26" s="17">
        <f t="shared" si="4"/>
        <v>0</v>
      </c>
      <c r="J26" s="18">
        <f t="shared" si="5"/>
        <v>0</v>
      </c>
      <c r="K26" s="18">
        <f t="shared" si="6"/>
        <v>0</v>
      </c>
      <c r="L26" s="18">
        <f t="shared" si="0"/>
        <v>40.090000000000003</v>
      </c>
      <c r="M26" s="18">
        <f t="shared" si="7"/>
        <v>0</v>
      </c>
      <c r="N26" s="18">
        <f t="shared" si="1"/>
        <v>40.090000000000003</v>
      </c>
      <c r="O26" s="8"/>
    </row>
    <row r="27" spans="1:15">
      <c r="A27" s="1" t="s">
        <v>17</v>
      </c>
      <c r="B27" s="11"/>
      <c r="C27" s="11">
        <v>1176000</v>
      </c>
      <c r="D27" s="11">
        <v>1176000</v>
      </c>
      <c r="E27" s="11">
        <v>0</v>
      </c>
      <c r="F27" s="83">
        <f>Table21623[[#This Row],[Usage]]</f>
        <v>6000</v>
      </c>
      <c r="G27" s="17">
        <f t="shared" si="2"/>
        <v>40.090000000000003</v>
      </c>
      <c r="H27" s="17">
        <f t="shared" si="3"/>
        <v>0</v>
      </c>
      <c r="I27" s="17">
        <f t="shared" si="4"/>
        <v>0</v>
      </c>
      <c r="J27" s="18">
        <f t="shared" si="5"/>
        <v>0</v>
      </c>
      <c r="K27" s="18">
        <f t="shared" si="6"/>
        <v>0</v>
      </c>
      <c r="L27" s="18">
        <f t="shared" si="0"/>
        <v>40.090000000000003</v>
      </c>
      <c r="M27" s="18">
        <f t="shared" si="7"/>
        <v>0</v>
      </c>
      <c r="N27" s="18">
        <f t="shared" si="1"/>
        <v>40.090000000000003</v>
      </c>
      <c r="O27" s="8"/>
    </row>
    <row r="28" spans="1:15">
      <c r="A28" s="1" t="s">
        <v>18</v>
      </c>
      <c r="B28" s="11"/>
      <c r="C28" s="11">
        <v>4038000</v>
      </c>
      <c r="D28" s="11">
        <v>4038000</v>
      </c>
      <c r="E28" s="11">
        <v>0</v>
      </c>
      <c r="F28" s="83">
        <f>Table21623[[#This Row],[Usage]]</f>
        <v>7000</v>
      </c>
      <c r="G28" s="17">
        <f t="shared" si="2"/>
        <v>40.090000000000003</v>
      </c>
      <c r="H28" s="17">
        <f t="shared" si="3"/>
        <v>0</v>
      </c>
      <c r="I28" s="17">
        <f t="shared" si="4"/>
        <v>0</v>
      </c>
      <c r="J28" s="18">
        <f t="shared" si="5"/>
        <v>0</v>
      </c>
      <c r="K28" s="18">
        <f t="shared" si="6"/>
        <v>0</v>
      </c>
      <c r="L28" s="18">
        <f t="shared" si="0"/>
        <v>40.090000000000003</v>
      </c>
      <c r="M28" s="18">
        <f t="shared" si="7"/>
        <v>0</v>
      </c>
      <c r="N28" s="18">
        <f t="shared" si="1"/>
        <v>40.090000000000003</v>
      </c>
      <c r="O28" s="8"/>
    </row>
    <row r="29" spans="1:15">
      <c r="A29" s="1" t="s">
        <v>19</v>
      </c>
      <c r="B29" s="11"/>
      <c r="C29" s="11">
        <v>1169000</v>
      </c>
      <c r="D29" s="11">
        <v>1169000</v>
      </c>
      <c r="E29" s="11">
        <v>0</v>
      </c>
      <c r="F29" s="83">
        <f>Table21623[[#This Row],[Usage]]</f>
        <v>5000</v>
      </c>
      <c r="G29" s="17">
        <f t="shared" si="2"/>
        <v>40.090000000000003</v>
      </c>
      <c r="H29" s="17">
        <f t="shared" si="3"/>
        <v>0</v>
      </c>
      <c r="I29" s="17">
        <f t="shared" si="4"/>
        <v>0</v>
      </c>
      <c r="J29" s="18">
        <f t="shared" si="5"/>
        <v>0</v>
      </c>
      <c r="K29" s="18">
        <f t="shared" si="6"/>
        <v>0</v>
      </c>
      <c r="L29" s="18">
        <f t="shared" si="0"/>
        <v>40.090000000000003</v>
      </c>
      <c r="M29" s="18">
        <f t="shared" si="7"/>
        <v>0</v>
      </c>
      <c r="N29" s="18">
        <f t="shared" si="1"/>
        <v>40.090000000000003</v>
      </c>
      <c r="O29" s="8"/>
    </row>
    <row r="30" spans="1:15">
      <c r="A30" s="1" t="s">
        <v>20</v>
      </c>
      <c r="B30" s="11"/>
      <c r="C30" s="11">
        <v>2219000</v>
      </c>
      <c r="D30" s="11">
        <v>2219000</v>
      </c>
      <c r="E30" s="11">
        <v>0</v>
      </c>
      <c r="F30" s="83">
        <f>Table21623[[#This Row],[Usage]]</f>
        <v>3000</v>
      </c>
      <c r="G30" s="17">
        <f t="shared" si="2"/>
        <v>40.090000000000003</v>
      </c>
      <c r="H30" s="17">
        <f t="shared" si="3"/>
        <v>0</v>
      </c>
      <c r="I30" s="17">
        <f t="shared" si="4"/>
        <v>0</v>
      </c>
      <c r="J30" s="18">
        <f t="shared" si="5"/>
        <v>0</v>
      </c>
      <c r="K30" s="18">
        <f t="shared" si="6"/>
        <v>0</v>
      </c>
      <c r="L30" s="18">
        <f t="shared" si="0"/>
        <v>40.090000000000003</v>
      </c>
      <c r="M30" s="18">
        <f t="shared" si="7"/>
        <v>0</v>
      </c>
      <c r="N30" s="18">
        <f t="shared" si="1"/>
        <v>40.090000000000003</v>
      </c>
      <c r="O30" s="8"/>
    </row>
    <row r="31" spans="1:15">
      <c r="A31" s="1" t="s">
        <v>21</v>
      </c>
      <c r="B31" s="11" t="s">
        <v>138</v>
      </c>
      <c r="C31" s="11">
        <v>0</v>
      </c>
      <c r="D31" s="11">
        <v>0</v>
      </c>
      <c r="E31" s="11">
        <v>0</v>
      </c>
      <c r="F31" s="83">
        <f>Table21623[[#This Row],[Usage]]</f>
        <v>0</v>
      </c>
      <c r="G31" s="17">
        <f t="shared" si="2"/>
        <v>11.79</v>
      </c>
      <c r="H31" s="17">
        <f t="shared" si="3"/>
        <v>0</v>
      </c>
      <c r="I31" s="17">
        <f t="shared" si="4"/>
        <v>0</v>
      </c>
      <c r="J31" s="18">
        <f t="shared" si="5"/>
        <v>0</v>
      </c>
      <c r="K31" s="18">
        <f t="shared" si="6"/>
        <v>0</v>
      </c>
      <c r="L31" s="18">
        <f t="shared" si="0"/>
        <v>11.79</v>
      </c>
      <c r="M31" s="18">
        <f t="shared" si="7"/>
        <v>0</v>
      </c>
      <c r="N31" s="18">
        <f t="shared" si="1"/>
        <v>11.79</v>
      </c>
      <c r="O31" s="8"/>
    </row>
    <row r="32" spans="1:15">
      <c r="A32" s="1" t="s">
        <v>22</v>
      </c>
      <c r="B32" s="11"/>
      <c r="C32" s="11">
        <v>635000</v>
      </c>
      <c r="D32" s="11">
        <v>635000</v>
      </c>
      <c r="E32" s="11">
        <v>0</v>
      </c>
      <c r="F32" s="83">
        <f>Table21623[[#This Row],[Usage]]</f>
        <v>11000</v>
      </c>
      <c r="G32" s="17">
        <f t="shared" si="2"/>
        <v>40.090000000000003</v>
      </c>
      <c r="H32" s="17">
        <f t="shared" si="3"/>
        <v>2.1800000000000002</v>
      </c>
      <c r="I32" s="17">
        <f t="shared" si="4"/>
        <v>0</v>
      </c>
      <c r="J32" s="18">
        <f t="shared" si="5"/>
        <v>0</v>
      </c>
      <c r="K32" s="18">
        <f t="shared" si="6"/>
        <v>0</v>
      </c>
      <c r="L32" s="18">
        <f t="shared" si="0"/>
        <v>42.27</v>
      </c>
      <c r="M32" s="18">
        <f t="shared" si="7"/>
        <v>0</v>
      </c>
      <c r="N32" s="18">
        <f t="shared" si="1"/>
        <v>42.27</v>
      </c>
      <c r="O32" s="8"/>
    </row>
    <row r="33" spans="1:15">
      <c r="A33" s="1" t="s">
        <v>23</v>
      </c>
      <c r="B33" s="11" t="s">
        <v>138</v>
      </c>
      <c r="C33" s="11">
        <v>0</v>
      </c>
      <c r="D33" s="11">
        <v>0</v>
      </c>
      <c r="E33" s="11">
        <v>0</v>
      </c>
      <c r="F33" s="83">
        <f>Table21623[[#This Row],[Usage]]</f>
        <v>0</v>
      </c>
      <c r="G33" s="17">
        <f t="shared" si="2"/>
        <v>11.79</v>
      </c>
      <c r="H33" s="17">
        <f t="shared" si="3"/>
        <v>0</v>
      </c>
      <c r="I33" s="17">
        <f t="shared" si="4"/>
        <v>0</v>
      </c>
      <c r="J33" s="18">
        <f t="shared" si="5"/>
        <v>0</v>
      </c>
      <c r="K33" s="18">
        <f t="shared" si="6"/>
        <v>0</v>
      </c>
      <c r="L33" s="18">
        <f t="shared" si="0"/>
        <v>11.79</v>
      </c>
      <c r="M33" s="18">
        <f t="shared" si="7"/>
        <v>0</v>
      </c>
      <c r="N33" s="18">
        <f t="shared" si="1"/>
        <v>11.79</v>
      </c>
      <c r="O33" s="8"/>
    </row>
    <row r="34" spans="1:15">
      <c r="A34" s="1" t="s">
        <v>24</v>
      </c>
      <c r="B34" s="11" t="s">
        <v>138</v>
      </c>
      <c r="C34" s="11">
        <v>0</v>
      </c>
      <c r="D34" s="11">
        <v>0</v>
      </c>
      <c r="E34" s="11">
        <v>0</v>
      </c>
      <c r="F34" s="83">
        <f>Table21623[[#This Row],[Usage]]</f>
        <v>0</v>
      </c>
      <c r="G34" s="17">
        <f t="shared" si="2"/>
        <v>11.79</v>
      </c>
      <c r="H34" s="17">
        <f t="shared" si="3"/>
        <v>0</v>
      </c>
      <c r="I34" s="17">
        <f t="shared" si="4"/>
        <v>0</v>
      </c>
      <c r="J34" s="18">
        <f t="shared" si="5"/>
        <v>0</v>
      </c>
      <c r="K34" s="18">
        <f t="shared" si="6"/>
        <v>0</v>
      </c>
      <c r="L34" s="18">
        <f t="shared" si="0"/>
        <v>11.79</v>
      </c>
      <c r="M34" s="18">
        <f t="shared" si="7"/>
        <v>0</v>
      </c>
      <c r="N34" s="18">
        <f t="shared" si="1"/>
        <v>11.79</v>
      </c>
      <c r="O34" s="8"/>
    </row>
    <row r="35" spans="1:15">
      <c r="A35" s="1" t="s">
        <v>25</v>
      </c>
      <c r="B35" s="11"/>
      <c r="C35" s="11">
        <v>2401000</v>
      </c>
      <c r="D35" s="11">
        <v>2401000</v>
      </c>
      <c r="E35" s="11">
        <v>0</v>
      </c>
      <c r="F35" s="83">
        <f>Table21623[[#This Row],[Usage]]</f>
        <v>15000</v>
      </c>
      <c r="G35" s="17">
        <f t="shared" si="2"/>
        <v>40.090000000000003</v>
      </c>
      <c r="H35" s="17">
        <f t="shared" si="3"/>
        <v>10.9</v>
      </c>
      <c r="I35" s="17">
        <f t="shared" si="4"/>
        <v>0</v>
      </c>
      <c r="J35" s="18">
        <f t="shared" si="5"/>
        <v>0</v>
      </c>
      <c r="K35" s="18">
        <f t="shared" si="6"/>
        <v>0</v>
      </c>
      <c r="L35" s="18">
        <f t="shared" si="0"/>
        <v>50.99</v>
      </c>
      <c r="M35" s="18">
        <f t="shared" si="7"/>
        <v>0</v>
      </c>
      <c r="N35" s="18">
        <f t="shared" si="1"/>
        <v>50.99</v>
      </c>
      <c r="O35" s="8"/>
    </row>
    <row r="36" spans="1:15">
      <c r="A36" s="1" t="s">
        <v>26</v>
      </c>
      <c r="B36" s="11"/>
      <c r="C36" s="11">
        <v>371000</v>
      </c>
      <c r="D36" s="11">
        <v>371000</v>
      </c>
      <c r="E36" s="11">
        <v>0</v>
      </c>
      <c r="F36" s="83">
        <f>Table21623[[#This Row],[Usage]]</f>
        <v>7000</v>
      </c>
      <c r="G36" s="17">
        <f t="shared" si="2"/>
        <v>40.090000000000003</v>
      </c>
      <c r="H36" s="17">
        <f t="shared" si="3"/>
        <v>0</v>
      </c>
      <c r="I36" s="17">
        <f t="shared" si="4"/>
        <v>0</v>
      </c>
      <c r="J36" s="18">
        <f t="shared" si="5"/>
        <v>0</v>
      </c>
      <c r="K36" s="18">
        <f t="shared" si="6"/>
        <v>0</v>
      </c>
      <c r="L36" s="18">
        <f t="shared" si="0"/>
        <v>40.090000000000003</v>
      </c>
      <c r="M36" s="18">
        <f t="shared" si="7"/>
        <v>0</v>
      </c>
      <c r="N36" s="18">
        <f t="shared" si="1"/>
        <v>40.090000000000003</v>
      </c>
      <c r="O36" s="8"/>
    </row>
    <row r="37" spans="1:15">
      <c r="A37" s="1" t="s">
        <v>27</v>
      </c>
      <c r="B37" s="11"/>
      <c r="C37" s="11">
        <v>2135000</v>
      </c>
      <c r="D37" s="11">
        <v>2135000</v>
      </c>
      <c r="E37" s="11">
        <v>0</v>
      </c>
      <c r="F37" s="83">
        <f>Table21623[[#This Row],[Usage]]</f>
        <v>5000</v>
      </c>
      <c r="G37" s="17">
        <f t="shared" si="2"/>
        <v>40.090000000000003</v>
      </c>
      <c r="H37" s="17">
        <f t="shared" si="3"/>
        <v>0</v>
      </c>
      <c r="I37" s="17">
        <f t="shared" si="4"/>
        <v>0</v>
      </c>
      <c r="J37" s="18">
        <f t="shared" si="5"/>
        <v>0</v>
      </c>
      <c r="K37" s="18">
        <f t="shared" si="6"/>
        <v>0</v>
      </c>
      <c r="L37" s="18">
        <f t="shared" si="0"/>
        <v>40.090000000000003</v>
      </c>
      <c r="M37" s="18">
        <f t="shared" si="7"/>
        <v>0</v>
      </c>
      <c r="N37" s="18">
        <f t="shared" si="1"/>
        <v>40.090000000000003</v>
      </c>
      <c r="O37" s="8"/>
    </row>
    <row r="38" spans="1:15">
      <c r="A38" s="1" t="s">
        <v>28</v>
      </c>
      <c r="B38" s="11"/>
      <c r="C38" s="11">
        <v>1354000</v>
      </c>
      <c r="D38" s="11">
        <v>1354000</v>
      </c>
      <c r="E38" s="11">
        <v>0</v>
      </c>
      <c r="F38" s="83">
        <f>Table21623[[#This Row],[Usage]]</f>
        <v>8000</v>
      </c>
      <c r="G38" s="17">
        <f t="shared" si="2"/>
        <v>40.090000000000003</v>
      </c>
      <c r="H38" s="17">
        <f t="shared" si="3"/>
        <v>0</v>
      </c>
      <c r="I38" s="17">
        <f t="shared" si="4"/>
        <v>0</v>
      </c>
      <c r="J38" s="18">
        <f t="shared" si="5"/>
        <v>0</v>
      </c>
      <c r="K38" s="18">
        <f t="shared" si="6"/>
        <v>0</v>
      </c>
      <c r="L38" s="18">
        <f t="shared" si="0"/>
        <v>40.090000000000003</v>
      </c>
      <c r="M38" s="18">
        <f t="shared" si="7"/>
        <v>0</v>
      </c>
      <c r="N38" s="18">
        <f t="shared" si="1"/>
        <v>40.090000000000003</v>
      </c>
      <c r="O38" s="8"/>
    </row>
    <row r="39" spans="1:15">
      <c r="A39" s="1" t="s">
        <v>29</v>
      </c>
      <c r="B39" s="11" t="s">
        <v>138</v>
      </c>
      <c r="C39" s="11">
        <v>0</v>
      </c>
      <c r="D39" s="11">
        <v>0</v>
      </c>
      <c r="E39" s="11">
        <v>0</v>
      </c>
      <c r="F39" s="83">
        <f>Table21623[[#This Row],[Usage]]</f>
        <v>0</v>
      </c>
      <c r="G39" s="17">
        <f t="shared" si="2"/>
        <v>11.79</v>
      </c>
      <c r="H39" s="17">
        <f t="shared" si="3"/>
        <v>0</v>
      </c>
      <c r="I39" s="17">
        <f t="shared" si="4"/>
        <v>0</v>
      </c>
      <c r="J39" s="18">
        <f t="shared" si="5"/>
        <v>0</v>
      </c>
      <c r="K39" s="18">
        <f t="shared" si="6"/>
        <v>0</v>
      </c>
      <c r="L39" s="18">
        <f t="shared" si="0"/>
        <v>11.79</v>
      </c>
      <c r="M39" s="18">
        <f t="shared" si="7"/>
        <v>0</v>
      </c>
      <c r="N39" s="18">
        <f t="shared" si="1"/>
        <v>11.79</v>
      </c>
      <c r="O39" s="8"/>
    </row>
    <row r="40" spans="1:15">
      <c r="A40" s="1" t="s">
        <v>30</v>
      </c>
      <c r="B40" s="11" t="s">
        <v>138</v>
      </c>
      <c r="C40" s="11">
        <v>0</v>
      </c>
      <c r="D40" s="11">
        <v>0</v>
      </c>
      <c r="E40" s="11">
        <v>0</v>
      </c>
      <c r="F40" s="83">
        <f>Table21623[[#This Row],[Usage]]</f>
        <v>0</v>
      </c>
      <c r="G40" s="17">
        <f t="shared" si="2"/>
        <v>11.79</v>
      </c>
      <c r="H40" s="17">
        <f t="shared" si="3"/>
        <v>0</v>
      </c>
      <c r="I40" s="17">
        <f t="shared" si="4"/>
        <v>0</v>
      </c>
      <c r="J40" s="18">
        <f t="shared" si="5"/>
        <v>0</v>
      </c>
      <c r="K40" s="18">
        <f t="shared" si="6"/>
        <v>0</v>
      </c>
      <c r="L40" s="18">
        <f t="shared" si="0"/>
        <v>11.79</v>
      </c>
      <c r="M40" s="18">
        <f t="shared" si="7"/>
        <v>0</v>
      </c>
      <c r="N40" s="18">
        <f t="shared" si="1"/>
        <v>11.79</v>
      </c>
      <c r="O40" s="8"/>
    </row>
    <row r="41" spans="1:15">
      <c r="A41" s="1" t="s">
        <v>31</v>
      </c>
      <c r="B41" s="11"/>
      <c r="C41" s="11">
        <v>519000</v>
      </c>
      <c r="D41" s="11">
        <v>519000</v>
      </c>
      <c r="E41" s="11">
        <v>0</v>
      </c>
      <c r="F41" s="83">
        <f>Table21623[[#This Row],[Usage]]</f>
        <v>4000</v>
      </c>
      <c r="G41" s="17">
        <f t="shared" si="2"/>
        <v>40.090000000000003</v>
      </c>
      <c r="H41" s="17">
        <f t="shared" si="3"/>
        <v>0</v>
      </c>
      <c r="I41" s="17">
        <f t="shared" si="4"/>
        <v>0</v>
      </c>
      <c r="J41" s="18">
        <f t="shared" si="5"/>
        <v>0</v>
      </c>
      <c r="K41" s="18">
        <f t="shared" si="6"/>
        <v>0</v>
      </c>
      <c r="L41" s="18">
        <f t="shared" si="0"/>
        <v>40.090000000000003</v>
      </c>
      <c r="M41" s="18">
        <f t="shared" si="7"/>
        <v>0</v>
      </c>
      <c r="N41" s="18">
        <f t="shared" si="1"/>
        <v>40.090000000000003</v>
      </c>
      <c r="O41" s="8"/>
    </row>
    <row r="42" spans="1:15">
      <c r="A42" s="1" t="s">
        <v>32</v>
      </c>
      <c r="B42" s="11"/>
      <c r="C42" s="11">
        <v>3880000</v>
      </c>
      <c r="D42" s="11">
        <v>3880000</v>
      </c>
      <c r="E42" s="11">
        <v>0</v>
      </c>
      <c r="F42" s="83">
        <f>Table21623[[#This Row],[Usage]]</f>
        <v>4000</v>
      </c>
      <c r="G42" s="17">
        <f t="shared" si="2"/>
        <v>40.090000000000003</v>
      </c>
      <c r="H42" s="17">
        <f t="shared" si="3"/>
        <v>0</v>
      </c>
      <c r="I42" s="17">
        <f t="shared" si="4"/>
        <v>0</v>
      </c>
      <c r="J42" s="18">
        <f t="shared" si="5"/>
        <v>0</v>
      </c>
      <c r="K42" s="18">
        <f t="shared" si="6"/>
        <v>0</v>
      </c>
      <c r="L42" s="18">
        <f t="shared" si="0"/>
        <v>40.090000000000003</v>
      </c>
      <c r="M42" s="18">
        <f t="shared" si="7"/>
        <v>0</v>
      </c>
      <c r="N42" s="18">
        <f t="shared" si="1"/>
        <v>40.090000000000003</v>
      </c>
      <c r="O42" s="8"/>
    </row>
    <row r="43" spans="1:15">
      <c r="A43" s="1" t="s">
        <v>33</v>
      </c>
      <c r="B43" s="11"/>
      <c r="C43" s="11">
        <v>1187000</v>
      </c>
      <c r="D43" s="11">
        <v>1187000</v>
      </c>
      <c r="E43" s="11">
        <v>0</v>
      </c>
      <c r="F43" s="83">
        <f>Table21623[[#This Row],[Usage]]</f>
        <v>4000</v>
      </c>
      <c r="G43" s="17">
        <f t="shared" si="2"/>
        <v>40.090000000000003</v>
      </c>
      <c r="H43" s="17">
        <f t="shared" si="3"/>
        <v>0</v>
      </c>
      <c r="I43" s="17">
        <f t="shared" si="4"/>
        <v>0</v>
      </c>
      <c r="J43" s="18">
        <f t="shared" si="5"/>
        <v>0</v>
      </c>
      <c r="K43" s="18">
        <f t="shared" si="6"/>
        <v>0</v>
      </c>
      <c r="L43" s="18">
        <f t="shared" si="0"/>
        <v>40.090000000000003</v>
      </c>
      <c r="M43" s="18">
        <f t="shared" si="7"/>
        <v>0</v>
      </c>
      <c r="N43" s="18">
        <f t="shared" si="1"/>
        <v>40.090000000000003</v>
      </c>
      <c r="O43" s="8"/>
    </row>
    <row r="44" spans="1:15">
      <c r="A44" s="14" t="s">
        <v>34</v>
      </c>
      <c r="B44" s="15"/>
      <c r="C44" s="15">
        <v>224000</v>
      </c>
      <c r="D44" s="15">
        <v>224000</v>
      </c>
      <c r="E44" s="15">
        <v>0</v>
      </c>
      <c r="F44" s="83">
        <f>Table21623[[#This Row],[Usage]]</f>
        <v>11000</v>
      </c>
      <c r="G44" s="19">
        <f t="shared" si="2"/>
        <v>40.090000000000003</v>
      </c>
      <c r="H44" s="19">
        <f t="shared" si="3"/>
        <v>2.1800000000000002</v>
      </c>
      <c r="I44" s="19">
        <f t="shared" si="4"/>
        <v>0</v>
      </c>
      <c r="J44" s="20">
        <f t="shared" si="5"/>
        <v>0</v>
      </c>
      <c r="K44" s="20">
        <f t="shared" si="6"/>
        <v>0</v>
      </c>
      <c r="L44" s="20">
        <f t="shared" si="0"/>
        <v>42.27</v>
      </c>
      <c r="M44" s="20">
        <f t="shared" si="7"/>
        <v>0</v>
      </c>
      <c r="N44" s="20">
        <f t="shared" si="1"/>
        <v>42.27</v>
      </c>
      <c r="O44" s="16" t="s">
        <v>178</v>
      </c>
    </row>
    <row r="45" spans="1:15">
      <c r="A45" s="1" t="s">
        <v>35</v>
      </c>
      <c r="B45" s="11"/>
      <c r="C45" s="11">
        <v>1534000</v>
      </c>
      <c r="D45" s="11">
        <v>1534000</v>
      </c>
      <c r="E45" s="11">
        <v>0</v>
      </c>
      <c r="F45" s="83">
        <f>Table21623[[#This Row],[Usage]]</f>
        <v>20000</v>
      </c>
      <c r="G45" s="17">
        <f t="shared" si="2"/>
        <v>40.090000000000003</v>
      </c>
      <c r="H45" s="17">
        <f t="shared" si="3"/>
        <v>21.8</v>
      </c>
      <c r="I45" s="17">
        <f t="shared" si="4"/>
        <v>0</v>
      </c>
      <c r="J45" s="18">
        <f t="shared" si="5"/>
        <v>0</v>
      </c>
      <c r="K45" s="18">
        <f t="shared" si="6"/>
        <v>0</v>
      </c>
      <c r="L45" s="18">
        <f t="shared" si="0"/>
        <v>61.89</v>
      </c>
      <c r="M45" s="18">
        <f t="shared" si="7"/>
        <v>0</v>
      </c>
      <c r="N45" s="18">
        <f t="shared" si="1"/>
        <v>61.89</v>
      </c>
      <c r="O45" s="8"/>
    </row>
    <row r="46" spans="1:15">
      <c r="A46" s="1" t="s">
        <v>36</v>
      </c>
      <c r="B46" s="11"/>
      <c r="C46" s="11">
        <v>1596000</v>
      </c>
      <c r="D46" s="11">
        <v>1596000</v>
      </c>
      <c r="E46" s="11">
        <v>0</v>
      </c>
      <c r="F46" s="83">
        <f>Table21623[[#This Row],[Usage]]</f>
        <v>3000</v>
      </c>
      <c r="G46" s="17">
        <f t="shared" si="2"/>
        <v>40.090000000000003</v>
      </c>
      <c r="H46" s="17">
        <f t="shared" si="3"/>
        <v>0</v>
      </c>
      <c r="I46" s="17">
        <f t="shared" si="4"/>
        <v>0</v>
      </c>
      <c r="J46" s="18">
        <f t="shared" si="5"/>
        <v>0</v>
      </c>
      <c r="K46" s="18">
        <f t="shared" si="6"/>
        <v>0</v>
      </c>
      <c r="L46" s="18">
        <f t="shared" si="0"/>
        <v>40.090000000000003</v>
      </c>
      <c r="M46" s="18">
        <f t="shared" si="7"/>
        <v>0</v>
      </c>
      <c r="N46" s="18">
        <f t="shared" si="1"/>
        <v>40.090000000000003</v>
      </c>
      <c r="O46" s="8"/>
    </row>
    <row r="47" spans="1:15">
      <c r="A47" s="1" t="s">
        <v>37</v>
      </c>
      <c r="B47" s="11"/>
      <c r="C47" s="11">
        <v>1896000</v>
      </c>
      <c r="D47" s="11">
        <v>1896000</v>
      </c>
      <c r="E47" s="11">
        <v>0</v>
      </c>
      <c r="F47" s="83">
        <f>Table21623[[#This Row],[Usage]]</f>
        <v>8000</v>
      </c>
      <c r="G47" s="17">
        <f t="shared" si="2"/>
        <v>40.090000000000003</v>
      </c>
      <c r="H47" s="17">
        <f t="shared" si="3"/>
        <v>0</v>
      </c>
      <c r="I47" s="17">
        <f t="shared" si="4"/>
        <v>0</v>
      </c>
      <c r="J47" s="18">
        <f t="shared" si="5"/>
        <v>0</v>
      </c>
      <c r="K47" s="18">
        <f t="shared" si="6"/>
        <v>0</v>
      </c>
      <c r="L47" s="18">
        <f t="shared" si="0"/>
        <v>40.090000000000003</v>
      </c>
      <c r="M47" s="18">
        <f t="shared" si="7"/>
        <v>0</v>
      </c>
      <c r="N47" s="18">
        <f t="shared" si="1"/>
        <v>40.090000000000003</v>
      </c>
      <c r="O47" s="8"/>
    </row>
    <row r="48" spans="1:15">
      <c r="A48" s="1" t="s">
        <v>38</v>
      </c>
      <c r="B48" s="11"/>
      <c r="C48" s="11">
        <v>1703000</v>
      </c>
      <c r="D48" s="11">
        <v>1703000</v>
      </c>
      <c r="E48" s="11">
        <v>0</v>
      </c>
      <c r="F48" s="83">
        <f>Table21623[[#This Row],[Usage]]</f>
        <v>10000</v>
      </c>
      <c r="G48" s="17">
        <f t="shared" si="2"/>
        <v>40.090000000000003</v>
      </c>
      <c r="H48" s="17">
        <f t="shared" si="3"/>
        <v>0</v>
      </c>
      <c r="I48" s="17">
        <f t="shared" si="4"/>
        <v>0</v>
      </c>
      <c r="J48" s="18">
        <f t="shared" si="5"/>
        <v>0</v>
      </c>
      <c r="K48" s="18">
        <f t="shared" si="6"/>
        <v>0</v>
      </c>
      <c r="L48" s="18">
        <f t="shared" si="0"/>
        <v>40.090000000000003</v>
      </c>
      <c r="M48" s="18">
        <f t="shared" si="7"/>
        <v>0</v>
      </c>
      <c r="N48" s="18">
        <f t="shared" si="1"/>
        <v>40.090000000000003</v>
      </c>
      <c r="O48" s="8"/>
    </row>
    <row r="49" spans="1:15">
      <c r="A49" s="1" t="s">
        <v>39</v>
      </c>
      <c r="B49" s="11" t="s">
        <v>138</v>
      </c>
      <c r="C49" s="11">
        <v>0</v>
      </c>
      <c r="D49" s="11">
        <v>0</v>
      </c>
      <c r="E49" s="11">
        <v>0</v>
      </c>
      <c r="F49" s="83">
        <f>Table21623[[#This Row],[Usage]]</f>
        <v>0</v>
      </c>
      <c r="G49" s="17">
        <f t="shared" si="2"/>
        <v>11.79</v>
      </c>
      <c r="H49" s="17">
        <f t="shared" si="3"/>
        <v>0</v>
      </c>
      <c r="I49" s="17">
        <f t="shared" si="4"/>
        <v>0</v>
      </c>
      <c r="J49" s="18">
        <f t="shared" si="5"/>
        <v>0</v>
      </c>
      <c r="K49" s="18">
        <f t="shared" si="6"/>
        <v>0</v>
      </c>
      <c r="L49" s="18">
        <f t="shared" si="0"/>
        <v>11.79</v>
      </c>
      <c r="M49" s="18">
        <f t="shared" ref="M49:M80" si="8">IF(   $H$5=1,    IF((F49-$H$6)&gt;0,((F49-$H$6)/$N$7)*$E$8,0),   IF(F49&gt;0,(F49/$N$4)*$E$8,0)    )</f>
        <v>0</v>
      </c>
      <c r="N49" s="18">
        <f t="shared" si="1"/>
        <v>11.79</v>
      </c>
      <c r="O49" s="8"/>
    </row>
    <row r="50" spans="1:15">
      <c r="A50" s="1" t="s">
        <v>40</v>
      </c>
      <c r="B50" s="11" t="s">
        <v>138</v>
      </c>
      <c r="C50" s="11">
        <v>0</v>
      </c>
      <c r="D50" s="11">
        <v>0</v>
      </c>
      <c r="E50" s="11">
        <v>0</v>
      </c>
      <c r="F50" s="83">
        <f>Table21623[[#This Row],[Usage]]</f>
        <v>0</v>
      </c>
      <c r="G50" s="17">
        <f t="shared" si="2"/>
        <v>11.79</v>
      </c>
      <c r="H50" s="17">
        <f t="shared" si="3"/>
        <v>0</v>
      </c>
      <c r="I50" s="17">
        <f t="shared" si="4"/>
        <v>0</v>
      </c>
      <c r="J50" s="18">
        <f t="shared" si="5"/>
        <v>0</v>
      </c>
      <c r="K50" s="18">
        <f t="shared" si="6"/>
        <v>0</v>
      </c>
      <c r="L50" s="18">
        <f t="shared" si="0"/>
        <v>11.79</v>
      </c>
      <c r="M50" s="18">
        <f t="shared" si="8"/>
        <v>0</v>
      </c>
      <c r="N50" s="18">
        <f t="shared" si="1"/>
        <v>11.79</v>
      </c>
      <c r="O50" s="8"/>
    </row>
    <row r="51" spans="1:15">
      <c r="A51" s="1" t="s">
        <v>41</v>
      </c>
      <c r="B51" s="11" t="s">
        <v>138</v>
      </c>
      <c r="C51" s="11">
        <v>0</v>
      </c>
      <c r="D51" s="11">
        <v>0</v>
      </c>
      <c r="E51" s="11">
        <v>0</v>
      </c>
      <c r="F51" s="83">
        <f>Table21623[[#This Row],[Usage]]</f>
        <v>0</v>
      </c>
      <c r="G51" s="17">
        <f t="shared" si="2"/>
        <v>11.79</v>
      </c>
      <c r="H51" s="17">
        <f t="shared" si="3"/>
        <v>0</v>
      </c>
      <c r="I51" s="17">
        <f t="shared" si="4"/>
        <v>0</v>
      </c>
      <c r="J51" s="18">
        <f t="shared" si="5"/>
        <v>0</v>
      </c>
      <c r="K51" s="18">
        <f t="shared" si="6"/>
        <v>0</v>
      </c>
      <c r="L51" s="18">
        <f t="shared" si="0"/>
        <v>11.79</v>
      </c>
      <c r="M51" s="18">
        <f t="shared" si="8"/>
        <v>0</v>
      </c>
      <c r="N51" s="18">
        <f t="shared" si="1"/>
        <v>11.79</v>
      </c>
      <c r="O51" s="8"/>
    </row>
    <row r="52" spans="1:15">
      <c r="A52" s="1" t="s">
        <v>42</v>
      </c>
      <c r="B52" s="11"/>
      <c r="C52" s="11">
        <v>3071000</v>
      </c>
      <c r="D52" s="11">
        <v>3071000</v>
      </c>
      <c r="E52" s="11">
        <v>0</v>
      </c>
      <c r="F52" s="83">
        <f>Table21623[[#This Row],[Usage]]</f>
        <v>0</v>
      </c>
      <c r="G52" s="17">
        <f t="shared" si="2"/>
        <v>40.090000000000003</v>
      </c>
      <c r="H52" s="17">
        <f t="shared" si="3"/>
        <v>0</v>
      </c>
      <c r="I52" s="17">
        <f t="shared" si="4"/>
        <v>0</v>
      </c>
      <c r="J52" s="18">
        <f t="shared" si="5"/>
        <v>0</v>
      </c>
      <c r="K52" s="18">
        <f t="shared" si="6"/>
        <v>0</v>
      </c>
      <c r="L52" s="18">
        <f t="shared" si="0"/>
        <v>40.090000000000003</v>
      </c>
      <c r="M52" s="18">
        <f t="shared" si="8"/>
        <v>0</v>
      </c>
      <c r="N52" s="18">
        <f t="shared" si="1"/>
        <v>40.090000000000003</v>
      </c>
      <c r="O52" s="8"/>
    </row>
    <row r="53" spans="1:15">
      <c r="A53" s="1" t="s">
        <v>43</v>
      </c>
      <c r="B53" s="11"/>
      <c r="C53" s="11">
        <v>3255000</v>
      </c>
      <c r="D53" s="11">
        <v>3255000</v>
      </c>
      <c r="E53" s="11">
        <v>0</v>
      </c>
      <c r="F53" s="83">
        <f>Table21623[[#This Row],[Usage]]</f>
        <v>6000</v>
      </c>
      <c r="G53" s="17">
        <f t="shared" si="2"/>
        <v>40.090000000000003</v>
      </c>
      <c r="H53" s="17">
        <f t="shared" si="3"/>
        <v>0</v>
      </c>
      <c r="I53" s="17">
        <f t="shared" si="4"/>
        <v>0</v>
      </c>
      <c r="J53" s="18">
        <f t="shared" si="5"/>
        <v>0</v>
      </c>
      <c r="K53" s="18">
        <f t="shared" si="6"/>
        <v>0</v>
      </c>
      <c r="L53" s="18">
        <f t="shared" si="0"/>
        <v>40.090000000000003</v>
      </c>
      <c r="M53" s="18">
        <f t="shared" si="8"/>
        <v>0</v>
      </c>
      <c r="N53" s="18">
        <f t="shared" si="1"/>
        <v>40.090000000000003</v>
      </c>
      <c r="O53" s="8"/>
    </row>
    <row r="54" spans="1:15">
      <c r="A54" s="1" t="s">
        <v>44</v>
      </c>
      <c r="B54" s="11"/>
      <c r="C54" s="11">
        <v>4061000</v>
      </c>
      <c r="D54" s="11">
        <v>4061000</v>
      </c>
      <c r="E54" s="11">
        <v>0</v>
      </c>
      <c r="F54" s="83">
        <f>Table21623[[#This Row],[Usage]]</f>
        <v>6000</v>
      </c>
      <c r="G54" s="17">
        <f t="shared" si="2"/>
        <v>40.090000000000003</v>
      </c>
      <c r="H54" s="17">
        <f t="shared" si="3"/>
        <v>0</v>
      </c>
      <c r="I54" s="17">
        <f t="shared" si="4"/>
        <v>0</v>
      </c>
      <c r="J54" s="18">
        <f t="shared" si="5"/>
        <v>0</v>
      </c>
      <c r="K54" s="18">
        <f t="shared" si="6"/>
        <v>0</v>
      </c>
      <c r="L54" s="18">
        <f t="shared" si="0"/>
        <v>40.090000000000003</v>
      </c>
      <c r="M54" s="18">
        <f t="shared" si="8"/>
        <v>0</v>
      </c>
      <c r="N54" s="18">
        <f t="shared" si="1"/>
        <v>40.090000000000003</v>
      </c>
      <c r="O54" s="8"/>
    </row>
    <row r="55" spans="1:15">
      <c r="A55" s="1" t="s">
        <v>45</v>
      </c>
      <c r="B55" s="11" t="s">
        <v>138</v>
      </c>
      <c r="C55" s="11">
        <v>0</v>
      </c>
      <c r="D55" s="11">
        <v>0</v>
      </c>
      <c r="E55" s="11">
        <v>0</v>
      </c>
      <c r="F55" s="83">
        <f>Table21623[[#This Row],[Usage]]</f>
        <v>0</v>
      </c>
      <c r="G55" s="17">
        <f t="shared" si="2"/>
        <v>11.79</v>
      </c>
      <c r="H55" s="17">
        <f t="shared" si="3"/>
        <v>0</v>
      </c>
      <c r="I55" s="17">
        <f t="shared" si="4"/>
        <v>0</v>
      </c>
      <c r="J55" s="18">
        <f t="shared" si="5"/>
        <v>0</v>
      </c>
      <c r="K55" s="18">
        <f t="shared" si="6"/>
        <v>0</v>
      </c>
      <c r="L55" s="18">
        <f t="shared" si="0"/>
        <v>11.79</v>
      </c>
      <c r="M55" s="18">
        <f t="shared" si="8"/>
        <v>0</v>
      </c>
      <c r="N55" s="18">
        <f t="shared" si="1"/>
        <v>11.79</v>
      </c>
      <c r="O55" s="8"/>
    </row>
    <row r="56" spans="1:15">
      <c r="A56" s="1" t="s">
        <v>46</v>
      </c>
      <c r="B56" s="11" t="s">
        <v>138</v>
      </c>
      <c r="C56" s="11">
        <v>0</v>
      </c>
      <c r="D56" s="11">
        <v>0</v>
      </c>
      <c r="E56" s="11">
        <v>0</v>
      </c>
      <c r="F56" s="83">
        <f>Table21623[[#This Row],[Usage]]</f>
        <v>0</v>
      </c>
      <c r="G56" s="17">
        <f t="shared" si="2"/>
        <v>11.79</v>
      </c>
      <c r="H56" s="17">
        <f t="shared" si="3"/>
        <v>0</v>
      </c>
      <c r="I56" s="17">
        <f t="shared" si="4"/>
        <v>0</v>
      </c>
      <c r="J56" s="18">
        <f t="shared" si="5"/>
        <v>0</v>
      </c>
      <c r="K56" s="18">
        <f t="shared" si="6"/>
        <v>0</v>
      </c>
      <c r="L56" s="18">
        <f t="shared" si="0"/>
        <v>11.79</v>
      </c>
      <c r="M56" s="18">
        <f t="shared" si="8"/>
        <v>0</v>
      </c>
      <c r="N56" s="18">
        <f t="shared" si="1"/>
        <v>11.79</v>
      </c>
      <c r="O56" s="8"/>
    </row>
    <row r="57" spans="1:15">
      <c r="A57" s="1" t="s">
        <v>47</v>
      </c>
      <c r="B57" s="11" t="s">
        <v>138</v>
      </c>
      <c r="C57" s="11">
        <v>0</v>
      </c>
      <c r="D57" s="11">
        <v>0</v>
      </c>
      <c r="E57" s="11">
        <v>0</v>
      </c>
      <c r="F57" s="83">
        <f>Table21623[[#This Row],[Usage]]</f>
        <v>0</v>
      </c>
      <c r="G57" s="17">
        <f t="shared" si="2"/>
        <v>11.79</v>
      </c>
      <c r="H57" s="17">
        <f t="shared" si="3"/>
        <v>0</v>
      </c>
      <c r="I57" s="17">
        <f t="shared" si="4"/>
        <v>0</v>
      </c>
      <c r="J57" s="18">
        <f t="shared" si="5"/>
        <v>0</v>
      </c>
      <c r="K57" s="18">
        <f t="shared" si="6"/>
        <v>0</v>
      </c>
      <c r="L57" s="18">
        <f t="shared" si="0"/>
        <v>11.79</v>
      </c>
      <c r="M57" s="18">
        <f t="shared" si="8"/>
        <v>0</v>
      </c>
      <c r="N57" s="18">
        <f t="shared" si="1"/>
        <v>11.79</v>
      </c>
      <c r="O57" s="8"/>
    </row>
    <row r="58" spans="1:15">
      <c r="A58" s="1" t="s">
        <v>48</v>
      </c>
      <c r="B58" s="11"/>
      <c r="C58" s="11">
        <v>1123000</v>
      </c>
      <c r="D58" s="11">
        <v>1123000</v>
      </c>
      <c r="E58" s="11">
        <v>0</v>
      </c>
      <c r="F58" s="83">
        <f>Table21623[[#This Row],[Usage]]</f>
        <v>3000</v>
      </c>
      <c r="G58" s="17">
        <f t="shared" si="2"/>
        <v>40.090000000000003</v>
      </c>
      <c r="H58" s="17">
        <f t="shared" si="3"/>
        <v>0</v>
      </c>
      <c r="I58" s="17">
        <f t="shared" si="4"/>
        <v>0</v>
      </c>
      <c r="J58" s="18">
        <f t="shared" si="5"/>
        <v>0</v>
      </c>
      <c r="K58" s="18">
        <f t="shared" si="6"/>
        <v>0</v>
      </c>
      <c r="L58" s="18">
        <f t="shared" si="0"/>
        <v>40.090000000000003</v>
      </c>
      <c r="M58" s="18">
        <f t="shared" si="8"/>
        <v>0</v>
      </c>
      <c r="N58" s="18">
        <f t="shared" si="1"/>
        <v>40.090000000000003</v>
      </c>
      <c r="O58" s="8"/>
    </row>
    <row r="59" spans="1:15">
      <c r="A59" s="1" t="s">
        <v>49</v>
      </c>
      <c r="B59" s="11"/>
      <c r="C59" s="11">
        <v>903000</v>
      </c>
      <c r="D59" s="11">
        <v>903000</v>
      </c>
      <c r="E59" s="11">
        <v>0</v>
      </c>
      <c r="F59" s="83">
        <f>Table21623[[#This Row],[Usage]]</f>
        <v>9000</v>
      </c>
      <c r="G59" s="17">
        <f t="shared" si="2"/>
        <v>40.090000000000003</v>
      </c>
      <c r="H59" s="17">
        <f t="shared" si="3"/>
        <v>0</v>
      </c>
      <c r="I59" s="17">
        <f t="shared" si="4"/>
        <v>0</v>
      </c>
      <c r="J59" s="18">
        <f t="shared" si="5"/>
        <v>0</v>
      </c>
      <c r="K59" s="18">
        <f t="shared" si="6"/>
        <v>0</v>
      </c>
      <c r="L59" s="18">
        <f t="shared" si="0"/>
        <v>40.090000000000003</v>
      </c>
      <c r="M59" s="18">
        <f t="shared" si="8"/>
        <v>0</v>
      </c>
      <c r="N59" s="18">
        <f t="shared" si="1"/>
        <v>40.090000000000003</v>
      </c>
      <c r="O59" s="8"/>
    </row>
    <row r="60" spans="1:15">
      <c r="A60" s="1" t="s">
        <v>50</v>
      </c>
      <c r="B60" s="11"/>
      <c r="C60" s="11">
        <v>3492000</v>
      </c>
      <c r="D60" s="11">
        <v>3492000</v>
      </c>
      <c r="E60" s="11">
        <v>0</v>
      </c>
      <c r="F60" s="83">
        <f>Table21623[[#This Row],[Usage]]</f>
        <v>2000</v>
      </c>
      <c r="G60" s="17">
        <f t="shared" si="2"/>
        <v>40.090000000000003</v>
      </c>
      <c r="H60" s="17">
        <f t="shared" si="3"/>
        <v>0</v>
      </c>
      <c r="I60" s="17">
        <f t="shared" si="4"/>
        <v>0</v>
      </c>
      <c r="J60" s="18">
        <f t="shared" si="5"/>
        <v>0</v>
      </c>
      <c r="K60" s="18">
        <f t="shared" si="6"/>
        <v>0</v>
      </c>
      <c r="L60" s="18">
        <f t="shared" si="0"/>
        <v>40.090000000000003</v>
      </c>
      <c r="M60" s="18">
        <f t="shared" si="8"/>
        <v>0</v>
      </c>
      <c r="N60" s="18">
        <f t="shared" si="1"/>
        <v>40.090000000000003</v>
      </c>
      <c r="O60" s="8"/>
    </row>
    <row r="61" spans="1:15">
      <c r="A61" s="1" t="s">
        <v>51</v>
      </c>
      <c r="B61" s="11" t="s">
        <v>138</v>
      </c>
      <c r="C61" s="11">
        <v>0</v>
      </c>
      <c r="D61" s="11">
        <v>0</v>
      </c>
      <c r="E61" s="11">
        <v>0</v>
      </c>
      <c r="F61" s="83">
        <f>Table21623[[#This Row],[Usage]]</f>
        <v>0</v>
      </c>
      <c r="G61" s="17">
        <f t="shared" si="2"/>
        <v>11.79</v>
      </c>
      <c r="H61" s="17">
        <f t="shared" si="3"/>
        <v>0</v>
      </c>
      <c r="I61" s="17">
        <f t="shared" si="4"/>
        <v>0</v>
      </c>
      <c r="J61" s="18">
        <f t="shared" si="5"/>
        <v>0</v>
      </c>
      <c r="K61" s="18">
        <f t="shared" si="6"/>
        <v>0</v>
      </c>
      <c r="L61" s="18">
        <f t="shared" si="0"/>
        <v>11.79</v>
      </c>
      <c r="M61" s="18">
        <f t="shared" si="8"/>
        <v>0</v>
      </c>
      <c r="N61" s="18">
        <f t="shared" si="1"/>
        <v>11.79</v>
      </c>
      <c r="O61" s="8"/>
    </row>
    <row r="62" spans="1:15">
      <c r="A62" s="1" t="s">
        <v>52</v>
      </c>
      <c r="B62" s="11"/>
      <c r="C62" s="11">
        <v>1710000</v>
      </c>
      <c r="D62" s="11">
        <v>1710000</v>
      </c>
      <c r="E62" s="11">
        <v>0</v>
      </c>
      <c r="F62" s="83">
        <f>Table21623[[#This Row],[Usage]]</f>
        <v>3000</v>
      </c>
      <c r="G62" s="17">
        <f t="shared" si="2"/>
        <v>40.090000000000003</v>
      </c>
      <c r="H62" s="17">
        <f t="shared" si="3"/>
        <v>0</v>
      </c>
      <c r="I62" s="17">
        <f t="shared" si="4"/>
        <v>0</v>
      </c>
      <c r="J62" s="18">
        <f t="shared" si="5"/>
        <v>0</v>
      </c>
      <c r="K62" s="18">
        <f t="shared" si="6"/>
        <v>0</v>
      </c>
      <c r="L62" s="18">
        <f t="shared" si="0"/>
        <v>40.090000000000003</v>
      </c>
      <c r="M62" s="18">
        <f t="shared" si="8"/>
        <v>0</v>
      </c>
      <c r="N62" s="18">
        <f t="shared" si="1"/>
        <v>40.090000000000003</v>
      </c>
      <c r="O62" s="8"/>
    </row>
    <row r="63" spans="1:15">
      <c r="A63" s="1" t="s">
        <v>53</v>
      </c>
      <c r="B63" s="11"/>
      <c r="C63" s="11">
        <v>2330000</v>
      </c>
      <c r="D63" s="11">
        <v>2330000</v>
      </c>
      <c r="E63" s="11">
        <v>0</v>
      </c>
      <c r="F63" s="83">
        <f>Table21623[[#This Row],[Usage]]</f>
        <v>9000</v>
      </c>
      <c r="G63" s="17">
        <f t="shared" si="2"/>
        <v>40.090000000000003</v>
      </c>
      <c r="H63" s="17">
        <f t="shared" si="3"/>
        <v>0</v>
      </c>
      <c r="I63" s="17">
        <f t="shared" si="4"/>
        <v>0</v>
      </c>
      <c r="J63" s="18">
        <f t="shared" si="5"/>
        <v>0</v>
      </c>
      <c r="K63" s="18">
        <f t="shared" si="6"/>
        <v>0</v>
      </c>
      <c r="L63" s="18">
        <f t="shared" si="0"/>
        <v>40.090000000000003</v>
      </c>
      <c r="M63" s="18">
        <f t="shared" si="8"/>
        <v>0</v>
      </c>
      <c r="N63" s="18">
        <f t="shared" si="1"/>
        <v>40.090000000000003</v>
      </c>
      <c r="O63" s="8"/>
    </row>
    <row r="64" spans="1:15">
      <c r="A64" s="1" t="s">
        <v>54</v>
      </c>
      <c r="B64" s="11"/>
      <c r="C64" s="11">
        <v>3340000</v>
      </c>
      <c r="D64" s="11">
        <v>3340000</v>
      </c>
      <c r="E64" s="11">
        <v>0</v>
      </c>
      <c r="F64" s="83">
        <f>Table21623[[#This Row],[Usage]]</f>
        <v>5000</v>
      </c>
      <c r="G64" s="17">
        <f t="shared" si="2"/>
        <v>40.090000000000003</v>
      </c>
      <c r="H64" s="17">
        <f t="shared" si="3"/>
        <v>0</v>
      </c>
      <c r="I64" s="17">
        <f t="shared" si="4"/>
        <v>0</v>
      </c>
      <c r="J64" s="18">
        <f t="shared" si="5"/>
        <v>0</v>
      </c>
      <c r="K64" s="18">
        <f t="shared" si="6"/>
        <v>0</v>
      </c>
      <c r="L64" s="18">
        <f t="shared" si="0"/>
        <v>40.090000000000003</v>
      </c>
      <c r="M64" s="18">
        <f t="shared" si="8"/>
        <v>0</v>
      </c>
      <c r="N64" s="18">
        <f t="shared" si="1"/>
        <v>40.090000000000003</v>
      </c>
      <c r="O64" s="8"/>
    </row>
    <row r="65" spans="1:15">
      <c r="A65" s="1" t="s">
        <v>55</v>
      </c>
      <c r="B65" s="11" t="s">
        <v>138</v>
      </c>
      <c r="C65" s="11">
        <v>0</v>
      </c>
      <c r="D65" s="11">
        <v>0</v>
      </c>
      <c r="E65" s="11">
        <v>0</v>
      </c>
      <c r="F65" s="83">
        <f>Table21623[[#This Row],[Usage]]</f>
        <v>0</v>
      </c>
      <c r="G65" s="17">
        <f t="shared" si="2"/>
        <v>11.79</v>
      </c>
      <c r="H65" s="17">
        <f t="shared" si="3"/>
        <v>0</v>
      </c>
      <c r="I65" s="17">
        <f t="shared" si="4"/>
        <v>0</v>
      </c>
      <c r="J65" s="18">
        <f t="shared" si="5"/>
        <v>0</v>
      </c>
      <c r="K65" s="18">
        <f t="shared" si="6"/>
        <v>0</v>
      </c>
      <c r="L65" s="18">
        <f t="shared" si="0"/>
        <v>11.79</v>
      </c>
      <c r="M65" s="18">
        <f t="shared" si="8"/>
        <v>0</v>
      </c>
      <c r="N65" s="18">
        <f t="shared" si="1"/>
        <v>11.79</v>
      </c>
      <c r="O65" s="8"/>
    </row>
    <row r="66" spans="1:15">
      <c r="A66" s="1" t="s">
        <v>56</v>
      </c>
      <c r="B66" s="11"/>
      <c r="C66" s="11">
        <v>1518000</v>
      </c>
      <c r="D66" s="11">
        <v>1518000</v>
      </c>
      <c r="E66" s="11">
        <v>0</v>
      </c>
      <c r="F66" s="83">
        <f>Table21623[[#This Row],[Usage]]</f>
        <v>6000</v>
      </c>
      <c r="G66" s="17">
        <f t="shared" si="2"/>
        <v>40.090000000000003</v>
      </c>
      <c r="H66" s="17">
        <f t="shared" si="3"/>
        <v>0</v>
      </c>
      <c r="I66" s="17">
        <f t="shared" si="4"/>
        <v>0</v>
      </c>
      <c r="J66" s="18">
        <f t="shared" si="5"/>
        <v>0</v>
      </c>
      <c r="K66" s="18">
        <f t="shared" si="6"/>
        <v>0</v>
      </c>
      <c r="L66" s="18">
        <f t="shared" si="0"/>
        <v>40.090000000000003</v>
      </c>
      <c r="M66" s="18">
        <f t="shared" si="8"/>
        <v>0</v>
      </c>
      <c r="N66" s="18">
        <f t="shared" si="1"/>
        <v>40.090000000000003</v>
      </c>
      <c r="O66" s="8"/>
    </row>
    <row r="67" spans="1:15">
      <c r="A67" s="1" t="s">
        <v>57</v>
      </c>
      <c r="B67" s="11"/>
      <c r="C67" s="11">
        <v>1616000</v>
      </c>
      <c r="D67" s="11">
        <v>1616000</v>
      </c>
      <c r="E67" s="11">
        <v>0</v>
      </c>
      <c r="F67" s="83">
        <f>Table21623[[#This Row],[Usage]]</f>
        <v>1000</v>
      </c>
      <c r="G67" s="17">
        <f t="shared" si="2"/>
        <v>40.090000000000003</v>
      </c>
      <c r="H67" s="17">
        <f t="shared" si="3"/>
        <v>0</v>
      </c>
      <c r="I67" s="17">
        <f t="shared" si="4"/>
        <v>0</v>
      </c>
      <c r="J67" s="18">
        <f t="shared" si="5"/>
        <v>0</v>
      </c>
      <c r="K67" s="18">
        <f t="shared" si="6"/>
        <v>0</v>
      </c>
      <c r="L67" s="18">
        <f t="shared" si="0"/>
        <v>40.090000000000003</v>
      </c>
      <c r="M67" s="18">
        <f t="shared" si="8"/>
        <v>0</v>
      </c>
      <c r="N67" s="18">
        <f t="shared" si="1"/>
        <v>40.090000000000003</v>
      </c>
      <c r="O67" s="8"/>
    </row>
    <row r="68" spans="1:15">
      <c r="A68" s="1" t="s">
        <v>58</v>
      </c>
      <c r="B68" s="11" t="s">
        <v>138</v>
      </c>
      <c r="C68" s="11">
        <v>0</v>
      </c>
      <c r="D68" s="11">
        <v>0</v>
      </c>
      <c r="E68" s="11">
        <v>0</v>
      </c>
      <c r="F68" s="83">
        <f>Table21623[[#This Row],[Usage]]</f>
        <v>0</v>
      </c>
      <c r="G68" s="17">
        <f t="shared" si="2"/>
        <v>11.79</v>
      </c>
      <c r="H68" s="17">
        <f t="shared" si="3"/>
        <v>0</v>
      </c>
      <c r="I68" s="17">
        <f t="shared" si="4"/>
        <v>0</v>
      </c>
      <c r="J68" s="18">
        <f t="shared" si="5"/>
        <v>0</v>
      </c>
      <c r="K68" s="18">
        <f t="shared" si="6"/>
        <v>0</v>
      </c>
      <c r="L68" s="18">
        <f t="shared" si="0"/>
        <v>11.79</v>
      </c>
      <c r="M68" s="18">
        <f t="shared" si="8"/>
        <v>0</v>
      </c>
      <c r="N68" s="18">
        <f t="shared" si="1"/>
        <v>11.79</v>
      </c>
      <c r="O68" s="8"/>
    </row>
    <row r="69" spans="1:15">
      <c r="A69" s="1" t="s">
        <v>59</v>
      </c>
      <c r="B69" s="11" t="s">
        <v>138</v>
      </c>
      <c r="C69" s="11">
        <v>0</v>
      </c>
      <c r="D69" s="11">
        <v>0</v>
      </c>
      <c r="E69" s="11">
        <v>0</v>
      </c>
      <c r="F69" s="83">
        <f>Table21623[[#This Row],[Usage]]</f>
        <v>0</v>
      </c>
      <c r="G69" s="17">
        <f t="shared" si="2"/>
        <v>11.79</v>
      </c>
      <c r="H69" s="17">
        <f t="shared" si="3"/>
        <v>0</v>
      </c>
      <c r="I69" s="17">
        <f t="shared" si="4"/>
        <v>0</v>
      </c>
      <c r="J69" s="18">
        <f t="shared" si="5"/>
        <v>0</v>
      </c>
      <c r="K69" s="18">
        <f t="shared" si="6"/>
        <v>0</v>
      </c>
      <c r="L69" s="18">
        <f t="shared" si="0"/>
        <v>11.79</v>
      </c>
      <c r="M69" s="18">
        <f t="shared" si="8"/>
        <v>0</v>
      </c>
      <c r="N69" s="18">
        <f t="shared" si="1"/>
        <v>11.79</v>
      </c>
      <c r="O69" s="8"/>
    </row>
    <row r="70" spans="1:15">
      <c r="A70" s="1" t="s">
        <v>60</v>
      </c>
      <c r="B70" s="11" t="s">
        <v>138</v>
      </c>
      <c r="C70" s="11">
        <v>0</v>
      </c>
      <c r="D70" s="11">
        <v>0</v>
      </c>
      <c r="E70" s="11">
        <v>0</v>
      </c>
      <c r="F70" s="83">
        <f>Table21623[[#This Row],[Usage]]</f>
        <v>0</v>
      </c>
      <c r="G70" s="17">
        <f t="shared" si="2"/>
        <v>11.79</v>
      </c>
      <c r="H70" s="17">
        <f t="shared" si="3"/>
        <v>0</v>
      </c>
      <c r="I70" s="17">
        <f t="shared" si="4"/>
        <v>0</v>
      </c>
      <c r="J70" s="18">
        <f t="shared" si="5"/>
        <v>0</v>
      </c>
      <c r="K70" s="18">
        <f t="shared" si="6"/>
        <v>0</v>
      </c>
      <c r="L70" s="18">
        <f t="shared" si="0"/>
        <v>11.79</v>
      </c>
      <c r="M70" s="18">
        <f t="shared" si="8"/>
        <v>0</v>
      </c>
      <c r="N70" s="18">
        <f t="shared" si="1"/>
        <v>11.79</v>
      </c>
      <c r="O70" s="8"/>
    </row>
    <row r="71" spans="1:15">
      <c r="A71" s="1" t="s">
        <v>61</v>
      </c>
      <c r="B71" s="11"/>
      <c r="C71" s="11">
        <v>1347000</v>
      </c>
      <c r="D71" s="11">
        <v>1347000</v>
      </c>
      <c r="E71" s="11">
        <v>0</v>
      </c>
      <c r="F71" s="83">
        <f>Table21623[[#This Row],[Usage]]</f>
        <v>5000</v>
      </c>
      <c r="G71" s="17">
        <f t="shared" si="2"/>
        <v>40.090000000000003</v>
      </c>
      <c r="H71" s="17">
        <f t="shared" si="3"/>
        <v>0</v>
      </c>
      <c r="I71" s="17">
        <f t="shared" si="4"/>
        <v>0</v>
      </c>
      <c r="J71" s="18">
        <f t="shared" si="5"/>
        <v>0</v>
      </c>
      <c r="K71" s="18">
        <f t="shared" si="6"/>
        <v>0</v>
      </c>
      <c r="L71" s="18">
        <f t="shared" si="0"/>
        <v>40.090000000000003</v>
      </c>
      <c r="M71" s="18">
        <f t="shared" si="8"/>
        <v>0</v>
      </c>
      <c r="N71" s="18">
        <f t="shared" si="1"/>
        <v>40.090000000000003</v>
      </c>
      <c r="O71" s="8"/>
    </row>
    <row r="72" spans="1:15">
      <c r="A72" s="1" t="s">
        <v>62</v>
      </c>
      <c r="B72" s="11"/>
      <c r="C72" s="11">
        <v>1909000</v>
      </c>
      <c r="D72" s="11">
        <v>1909000</v>
      </c>
      <c r="E72" s="11">
        <v>0</v>
      </c>
      <c r="F72" s="83">
        <f>Table21623[[#This Row],[Usage]]</f>
        <v>4000</v>
      </c>
      <c r="G72" s="17">
        <f t="shared" si="2"/>
        <v>40.090000000000003</v>
      </c>
      <c r="H72" s="17">
        <f t="shared" si="3"/>
        <v>0</v>
      </c>
      <c r="I72" s="17">
        <f t="shared" si="4"/>
        <v>0</v>
      </c>
      <c r="J72" s="18">
        <f t="shared" si="5"/>
        <v>0</v>
      </c>
      <c r="K72" s="18">
        <f t="shared" si="6"/>
        <v>0</v>
      </c>
      <c r="L72" s="18">
        <f t="shared" si="0"/>
        <v>40.090000000000003</v>
      </c>
      <c r="M72" s="18">
        <f t="shared" si="8"/>
        <v>0</v>
      </c>
      <c r="N72" s="18">
        <f t="shared" si="1"/>
        <v>40.090000000000003</v>
      </c>
      <c r="O72" s="8"/>
    </row>
    <row r="73" spans="1:15">
      <c r="A73" s="1" t="s">
        <v>63</v>
      </c>
      <c r="B73" s="11" t="s">
        <v>138</v>
      </c>
      <c r="C73" s="11">
        <v>0</v>
      </c>
      <c r="D73" s="11">
        <v>0</v>
      </c>
      <c r="E73" s="11">
        <v>0</v>
      </c>
      <c r="F73" s="83">
        <f>Table21623[[#This Row],[Usage]]</f>
        <v>0</v>
      </c>
      <c r="G73" s="17">
        <f t="shared" si="2"/>
        <v>11.79</v>
      </c>
      <c r="H73" s="17">
        <f t="shared" si="3"/>
        <v>0</v>
      </c>
      <c r="I73" s="17">
        <f t="shared" si="4"/>
        <v>0</v>
      </c>
      <c r="J73" s="18">
        <f t="shared" si="5"/>
        <v>0</v>
      </c>
      <c r="K73" s="18">
        <f t="shared" si="6"/>
        <v>0</v>
      </c>
      <c r="L73" s="18">
        <f t="shared" si="0"/>
        <v>11.79</v>
      </c>
      <c r="M73" s="18">
        <f t="shared" si="8"/>
        <v>0</v>
      </c>
      <c r="N73" s="18">
        <f t="shared" si="1"/>
        <v>11.79</v>
      </c>
      <c r="O73" s="8"/>
    </row>
    <row r="74" spans="1:15">
      <c r="A74" s="1" t="s">
        <v>64</v>
      </c>
      <c r="B74" s="11"/>
      <c r="C74" s="11">
        <v>4919000</v>
      </c>
      <c r="D74" s="11">
        <v>4919000</v>
      </c>
      <c r="E74" s="11">
        <v>0</v>
      </c>
      <c r="F74" s="83">
        <f>Table21623[[#This Row],[Usage]]</f>
        <v>4000</v>
      </c>
      <c r="G74" s="17">
        <f t="shared" si="2"/>
        <v>40.090000000000003</v>
      </c>
      <c r="H74" s="17">
        <f t="shared" si="3"/>
        <v>0</v>
      </c>
      <c r="I74" s="17">
        <f t="shared" si="4"/>
        <v>0</v>
      </c>
      <c r="J74" s="18">
        <f t="shared" si="5"/>
        <v>0</v>
      </c>
      <c r="K74" s="18">
        <f t="shared" si="6"/>
        <v>0</v>
      </c>
      <c r="L74" s="18">
        <f t="shared" si="0"/>
        <v>40.090000000000003</v>
      </c>
      <c r="M74" s="18">
        <f t="shared" si="8"/>
        <v>0</v>
      </c>
      <c r="N74" s="18">
        <f t="shared" si="1"/>
        <v>40.090000000000003</v>
      </c>
      <c r="O74" s="8"/>
    </row>
    <row r="75" spans="1:15">
      <c r="A75" s="1" t="s">
        <v>65</v>
      </c>
      <c r="B75" s="11"/>
      <c r="C75" s="11">
        <v>6644000</v>
      </c>
      <c r="D75" s="11">
        <v>6644000</v>
      </c>
      <c r="E75" s="11">
        <v>0</v>
      </c>
      <c r="F75" s="83">
        <f>Table21623[[#This Row],[Usage]]</f>
        <v>1000</v>
      </c>
      <c r="G75" s="17">
        <f t="shared" si="2"/>
        <v>40.090000000000003</v>
      </c>
      <c r="H75" s="17">
        <f t="shared" si="3"/>
        <v>0</v>
      </c>
      <c r="I75" s="17">
        <f t="shared" si="4"/>
        <v>0</v>
      </c>
      <c r="J75" s="18">
        <f t="shared" si="5"/>
        <v>0</v>
      </c>
      <c r="K75" s="18">
        <f t="shared" si="6"/>
        <v>0</v>
      </c>
      <c r="L75" s="18">
        <f t="shared" si="0"/>
        <v>40.090000000000003</v>
      </c>
      <c r="M75" s="18">
        <f t="shared" si="8"/>
        <v>0</v>
      </c>
      <c r="N75" s="18">
        <f t="shared" si="1"/>
        <v>40.090000000000003</v>
      </c>
      <c r="O75" s="8"/>
    </row>
    <row r="76" spans="1:15">
      <c r="A76" s="1" t="s">
        <v>66</v>
      </c>
      <c r="B76" s="11"/>
      <c r="C76" s="11">
        <v>9231000</v>
      </c>
      <c r="D76" s="11">
        <v>9231000</v>
      </c>
      <c r="E76" s="11">
        <v>0</v>
      </c>
      <c r="F76" s="83">
        <f>Table21623[[#This Row],[Usage]]</f>
        <v>4000</v>
      </c>
      <c r="G76" s="17">
        <f t="shared" si="2"/>
        <v>40.090000000000003</v>
      </c>
      <c r="H76" s="17">
        <f t="shared" si="3"/>
        <v>0</v>
      </c>
      <c r="I76" s="17">
        <f t="shared" si="4"/>
        <v>0</v>
      </c>
      <c r="J76" s="18">
        <f t="shared" si="5"/>
        <v>0</v>
      </c>
      <c r="K76" s="18">
        <f t="shared" si="6"/>
        <v>0</v>
      </c>
      <c r="L76" s="18">
        <f t="shared" ref="L76:L136" si="9">SUM(G76:K76)</f>
        <v>40.090000000000003</v>
      </c>
      <c r="M76" s="18">
        <f t="shared" si="8"/>
        <v>0</v>
      </c>
      <c r="N76" s="18">
        <f t="shared" ref="N76:N136" si="10">SUM(L76:M76)</f>
        <v>40.090000000000003</v>
      </c>
      <c r="O76" s="8"/>
    </row>
    <row r="77" spans="1:15">
      <c r="A77" s="1" t="s">
        <v>67</v>
      </c>
      <c r="B77" s="11" t="s">
        <v>138</v>
      </c>
      <c r="C77" s="11">
        <v>0</v>
      </c>
      <c r="D77" s="11">
        <v>0</v>
      </c>
      <c r="E77" s="11">
        <v>0</v>
      </c>
      <c r="F77" s="83">
        <f>Table21623[[#This Row],[Usage]]</f>
        <v>0</v>
      </c>
      <c r="G77" s="17">
        <f t="shared" si="2"/>
        <v>11.79</v>
      </c>
      <c r="H77" s="17">
        <f t="shared" si="3"/>
        <v>0</v>
      </c>
      <c r="I77" s="17">
        <f t="shared" si="4"/>
        <v>0</v>
      </c>
      <c r="J77" s="18">
        <f t="shared" si="5"/>
        <v>0</v>
      </c>
      <c r="K77" s="18">
        <f t="shared" si="6"/>
        <v>0</v>
      </c>
      <c r="L77" s="18">
        <f t="shared" si="9"/>
        <v>11.79</v>
      </c>
      <c r="M77" s="18">
        <f t="shared" si="8"/>
        <v>0</v>
      </c>
      <c r="N77" s="18">
        <f t="shared" si="10"/>
        <v>11.79</v>
      </c>
      <c r="O77" s="8"/>
    </row>
    <row r="78" spans="1:15">
      <c r="A78" s="1" t="s">
        <v>68</v>
      </c>
      <c r="B78" s="11"/>
      <c r="C78" s="11">
        <v>3587000</v>
      </c>
      <c r="D78" s="11">
        <v>3587000</v>
      </c>
      <c r="E78" s="11">
        <v>0</v>
      </c>
      <c r="F78" s="83">
        <f>Table21623[[#This Row],[Usage]]</f>
        <v>7000</v>
      </c>
      <c r="G78" s="17">
        <f t="shared" si="2"/>
        <v>40.090000000000003</v>
      </c>
      <c r="H78" s="17">
        <f t="shared" si="3"/>
        <v>0</v>
      </c>
      <c r="I78" s="17">
        <f t="shared" si="4"/>
        <v>0</v>
      </c>
      <c r="J78" s="18">
        <f t="shared" si="5"/>
        <v>0</v>
      </c>
      <c r="K78" s="18">
        <f t="shared" si="6"/>
        <v>0</v>
      </c>
      <c r="L78" s="18">
        <f t="shared" si="9"/>
        <v>40.090000000000003</v>
      </c>
      <c r="M78" s="18">
        <f t="shared" si="8"/>
        <v>0</v>
      </c>
      <c r="N78" s="18">
        <f t="shared" si="10"/>
        <v>40.090000000000003</v>
      </c>
      <c r="O78" s="8"/>
    </row>
    <row r="79" spans="1:15">
      <c r="A79" s="1" t="s">
        <v>69</v>
      </c>
      <c r="B79" s="11"/>
      <c r="C79" s="11">
        <v>2312000</v>
      </c>
      <c r="D79" s="11">
        <v>2312000</v>
      </c>
      <c r="E79" s="11">
        <v>0</v>
      </c>
      <c r="F79" s="83">
        <f>Table21623[[#This Row],[Usage]]</f>
        <v>16000</v>
      </c>
      <c r="G79" s="17">
        <f t="shared" si="2"/>
        <v>40.090000000000003</v>
      </c>
      <c r="H79" s="17">
        <f t="shared" si="3"/>
        <v>13.080000000000002</v>
      </c>
      <c r="I79" s="17">
        <f t="shared" si="4"/>
        <v>0</v>
      </c>
      <c r="J79" s="18">
        <f t="shared" si="5"/>
        <v>0</v>
      </c>
      <c r="K79" s="18">
        <f t="shared" si="6"/>
        <v>0</v>
      </c>
      <c r="L79" s="18">
        <f t="shared" si="9"/>
        <v>53.17</v>
      </c>
      <c r="M79" s="18">
        <f t="shared" si="8"/>
        <v>0</v>
      </c>
      <c r="N79" s="18">
        <f t="shared" si="10"/>
        <v>53.17</v>
      </c>
      <c r="O79" s="8"/>
    </row>
    <row r="80" spans="1:15">
      <c r="A80" s="1" t="s">
        <v>70</v>
      </c>
      <c r="B80" s="11"/>
      <c r="C80" s="11">
        <v>1414000</v>
      </c>
      <c r="D80" s="11">
        <v>1414000</v>
      </c>
      <c r="E80" s="11">
        <v>0</v>
      </c>
      <c r="F80" s="83">
        <f>Table21623[[#This Row],[Usage]]</f>
        <v>14000</v>
      </c>
      <c r="G80" s="17">
        <f t="shared" si="2"/>
        <v>40.090000000000003</v>
      </c>
      <c r="H80" s="17">
        <f t="shared" si="3"/>
        <v>8.7200000000000006</v>
      </c>
      <c r="I80" s="17">
        <f t="shared" si="4"/>
        <v>0</v>
      </c>
      <c r="J80" s="18">
        <f t="shared" si="5"/>
        <v>0</v>
      </c>
      <c r="K80" s="18">
        <f t="shared" si="6"/>
        <v>0</v>
      </c>
      <c r="L80" s="18">
        <f t="shared" si="9"/>
        <v>48.81</v>
      </c>
      <c r="M80" s="18">
        <f t="shared" si="8"/>
        <v>0</v>
      </c>
      <c r="N80" s="18">
        <f t="shared" si="10"/>
        <v>48.81</v>
      </c>
      <c r="O80" s="8"/>
    </row>
    <row r="81" spans="1:15">
      <c r="A81" s="1" t="s">
        <v>71</v>
      </c>
      <c r="B81" s="11" t="s">
        <v>138</v>
      </c>
      <c r="C81" s="11">
        <v>0</v>
      </c>
      <c r="D81" s="11">
        <v>0</v>
      </c>
      <c r="E81" s="11">
        <v>0</v>
      </c>
      <c r="F81" s="83">
        <f>Table21623[[#This Row],[Usage]]</f>
        <v>0</v>
      </c>
      <c r="G81" s="17">
        <f t="shared" ref="G81:G136" si="11">IF(OR($F81&gt;0,$B81=""),40.09,11.79)</f>
        <v>11.79</v>
      </c>
      <c r="H81" s="17">
        <f t="shared" ref="H81:H136" si="12">IF(AND((($F81-10000)&gt;=0),(($F81-10000)&lt;= 10000)),($F81-10000)/1000*2.18,IF(($F81-10000)&gt;=10000,2.18*10,0))</f>
        <v>0</v>
      </c>
      <c r="I81" s="17">
        <f t="shared" ref="I81:I136" si="13">IF(AND((($F81-20000)&gt;=0),(($F81-20000)&lt;=10000)),($F81-20000)/1000*2.53,IF(($F81-20000)&gt;=10000,2.53*10,0))</f>
        <v>0</v>
      </c>
      <c r="J81" s="18">
        <f t="shared" ref="J81:J136" si="14">IF(AND((($F81-30000)&gt;=0),(($F81-30000)&lt;=10000)),($F81-30000)/1000*2.95,IF(($F81-30000)&gt;=10000,2.95*10,0))</f>
        <v>0</v>
      </c>
      <c r="K81" s="18">
        <f t="shared" ref="K81:K136" si="15">IF((($F81-40000)&gt;=0),($F81-40000)/1000*3.42,0)</f>
        <v>0</v>
      </c>
      <c r="L81" s="18">
        <f t="shared" si="9"/>
        <v>11.79</v>
      </c>
      <c r="M81" s="18">
        <f t="shared" ref="M81:M112" si="16">IF(   $H$5=1,    IF((F81-$H$6)&gt;0,((F81-$H$6)/$N$7)*$E$8,0),   IF(F81&gt;0,(F81/$N$4)*$E$8,0)    )</f>
        <v>0</v>
      </c>
      <c r="N81" s="18">
        <f t="shared" si="10"/>
        <v>11.79</v>
      </c>
      <c r="O81" s="8"/>
    </row>
    <row r="82" spans="1:15">
      <c r="A82" s="1" t="s">
        <v>72</v>
      </c>
      <c r="B82" s="11"/>
      <c r="C82" s="11">
        <v>134000</v>
      </c>
      <c r="D82" s="11">
        <v>134000</v>
      </c>
      <c r="E82" s="11">
        <v>0</v>
      </c>
      <c r="F82" s="83">
        <f>Table21623[[#This Row],[Usage]]</f>
        <v>11000</v>
      </c>
      <c r="G82" s="17">
        <f t="shared" si="11"/>
        <v>40.090000000000003</v>
      </c>
      <c r="H82" s="17">
        <f t="shared" si="12"/>
        <v>2.1800000000000002</v>
      </c>
      <c r="I82" s="17">
        <f t="shared" si="13"/>
        <v>0</v>
      </c>
      <c r="J82" s="18">
        <f t="shared" si="14"/>
        <v>0</v>
      </c>
      <c r="K82" s="18">
        <f t="shared" si="15"/>
        <v>0</v>
      </c>
      <c r="L82" s="18">
        <f t="shared" si="9"/>
        <v>42.27</v>
      </c>
      <c r="M82" s="18">
        <f t="shared" si="16"/>
        <v>0</v>
      </c>
      <c r="N82" s="18">
        <f t="shared" si="10"/>
        <v>42.27</v>
      </c>
      <c r="O82" s="8" t="s">
        <v>139</v>
      </c>
    </row>
    <row r="83" spans="1:15">
      <c r="A83" s="1" t="s">
        <v>73</v>
      </c>
      <c r="B83" s="11"/>
      <c r="C83" s="11">
        <v>1943000</v>
      </c>
      <c r="D83" s="11">
        <v>1943000</v>
      </c>
      <c r="E83" s="11">
        <v>0</v>
      </c>
      <c r="F83" s="83">
        <f>Table21623[[#This Row],[Usage]]</f>
        <v>12000</v>
      </c>
      <c r="G83" s="17">
        <f t="shared" si="11"/>
        <v>40.090000000000003</v>
      </c>
      <c r="H83" s="17">
        <f t="shared" si="12"/>
        <v>4.3600000000000003</v>
      </c>
      <c r="I83" s="17">
        <f t="shared" si="13"/>
        <v>0</v>
      </c>
      <c r="J83" s="18">
        <f t="shared" si="14"/>
        <v>0</v>
      </c>
      <c r="K83" s="18">
        <f t="shared" si="15"/>
        <v>0</v>
      </c>
      <c r="L83" s="18">
        <f t="shared" si="9"/>
        <v>44.45</v>
      </c>
      <c r="M83" s="18">
        <f t="shared" si="16"/>
        <v>0</v>
      </c>
      <c r="N83" s="18">
        <f t="shared" si="10"/>
        <v>44.45</v>
      </c>
      <c r="O83" s="8"/>
    </row>
    <row r="84" spans="1:15">
      <c r="A84" s="1" t="s">
        <v>74</v>
      </c>
      <c r="B84" s="11" t="s">
        <v>138</v>
      </c>
      <c r="C84" s="11">
        <v>0</v>
      </c>
      <c r="D84" s="11">
        <v>0</v>
      </c>
      <c r="E84" s="11">
        <v>0</v>
      </c>
      <c r="F84" s="83">
        <f>Table21623[[#This Row],[Usage]]</f>
        <v>0</v>
      </c>
      <c r="G84" s="17">
        <f t="shared" si="11"/>
        <v>11.79</v>
      </c>
      <c r="H84" s="17">
        <f t="shared" si="12"/>
        <v>0</v>
      </c>
      <c r="I84" s="17">
        <f t="shared" si="13"/>
        <v>0</v>
      </c>
      <c r="J84" s="18">
        <f t="shared" si="14"/>
        <v>0</v>
      </c>
      <c r="K84" s="18">
        <f t="shared" si="15"/>
        <v>0</v>
      </c>
      <c r="L84" s="18">
        <f t="shared" si="9"/>
        <v>11.79</v>
      </c>
      <c r="M84" s="18">
        <f t="shared" si="16"/>
        <v>0</v>
      </c>
      <c r="N84" s="18">
        <f t="shared" si="10"/>
        <v>11.79</v>
      </c>
      <c r="O84" s="8"/>
    </row>
    <row r="85" spans="1:15">
      <c r="A85" s="1" t="s">
        <v>75</v>
      </c>
      <c r="B85" s="11"/>
      <c r="C85" s="11">
        <v>727000</v>
      </c>
      <c r="D85" s="11">
        <v>727000</v>
      </c>
      <c r="E85" s="11">
        <v>0</v>
      </c>
      <c r="F85" s="83">
        <f>Table21623[[#This Row],[Usage]]</f>
        <v>4000</v>
      </c>
      <c r="G85" s="17">
        <f t="shared" si="11"/>
        <v>40.090000000000003</v>
      </c>
      <c r="H85" s="17">
        <f t="shared" si="12"/>
        <v>0</v>
      </c>
      <c r="I85" s="17">
        <f t="shared" si="13"/>
        <v>0</v>
      </c>
      <c r="J85" s="18">
        <f t="shared" si="14"/>
        <v>0</v>
      </c>
      <c r="K85" s="18">
        <f t="shared" si="15"/>
        <v>0</v>
      </c>
      <c r="L85" s="18">
        <f t="shared" si="9"/>
        <v>40.090000000000003</v>
      </c>
      <c r="M85" s="18">
        <f t="shared" si="16"/>
        <v>0</v>
      </c>
      <c r="N85" s="18">
        <f t="shared" si="10"/>
        <v>40.090000000000003</v>
      </c>
      <c r="O85" s="8"/>
    </row>
    <row r="86" spans="1:15">
      <c r="A86" s="1" t="s">
        <v>76</v>
      </c>
      <c r="B86" s="11"/>
      <c r="C86" s="11">
        <v>134000</v>
      </c>
      <c r="D86" s="11">
        <v>134000</v>
      </c>
      <c r="E86" s="11">
        <v>0</v>
      </c>
      <c r="F86" s="83">
        <f>Table21623[[#This Row],[Usage]]</f>
        <v>11000</v>
      </c>
      <c r="G86" s="17">
        <f t="shared" si="11"/>
        <v>40.090000000000003</v>
      </c>
      <c r="H86" s="17">
        <f t="shared" si="12"/>
        <v>2.1800000000000002</v>
      </c>
      <c r="I86" s="17">
        <f t="shared" si="13"/>
        <v>0</v>
      </c>
      <c r="J86" s="18">
        <f t="shared" si="14"/>
        <v>0</v>
      </c>
      <c r="K86" s="18">
        <f t="shared" si="15"/>
        <v>0</v>
      </c>
      <c r="L86" s="18">
        <f t="shared" si="9"/>
        <v>42.27</v>
      </c>
      <c r="M86" s="18">
        <f t="shared" si="16"/>
        <v>0</v>
      </c>
      <c r="N86" s="18">
        <f t="shared" si="10"/>
        <v>42.27</v>
      </c>
      <c r="O86" s="8" t="s">
        <v>139</v>
      </c>
    </row>
    <row r="87" spans="1:15">
      <c r="A87" s="1" t="s">
        <v>77</v>
      </c>
      <c r="B87" s="11"/>
      <c r="C87" s="11">
        <v>102000</v>
      </c>
      <c r="D87" s="11">
        <v>102000</v>
      </c>
      <c r="E87" s="11">
        <v>0</v>
      </c>
      <c r="F87" s="83">
        <f>Table21623[[#This Row],[Usage]]</f>
        <v>6000</v>
      </c>
      <c r="G87" s="17">
        <f t="shared" si="11"/>
        <v>40.090000000000003</v>
      </c>
      <c r="H87" s="17">
        <f t="shared" si="12"/>
        <v>0</v>
      </c>
      <c r="I87" s="17">
        <f t="shared" si="13"/>
        <v>0</v>
      </c>
      <c r="J87" s="18">
        <f t="shared" si="14"/>
        <v>0</v>
      </c>
      <c r="K87" s="18">
        <f t="shared" si="15"/>
        <v>0</v>
      </c>
      <c r="L87" s="18">
        <f t="shared" si="9"/>
        <v>40.090000000000003</v>
      </c>
      <c r="M87" s="18">
        <f t="shared" si="16"/>
        <v>0</v>
      </c>
      <c r="N87" s="18">
        <f t="shared" si="10"/>
        <v>40.090000000000003</v>
      </c>
      <c r="O87" s="8"/>
    </row>
    <row r="88" spans="1:15">
      <c r="A88" s="1" t="s">
        <v>78</v>
      </c>
      <c r="B88" s="11"/>
      <c r="C88" s="11">
        <v>1248000</v>
      </c>
      <c r="D88" s="11">
        <v>1248000</v>
      </c>
      <c r="E88" s="11">
        <v>0</v>
      </c>
      <c r="F88" s="83">
        <f>Table21623[[#This Row],[Usage]]</f>
        <v>3000</v>
      </c>
      <c r="G88" s="17">
        <f t="shared" si="11"/>
        <v>40.090000000000003</v>
      </c>
      <c r="H88" s="17">
        <f t="shared" si="12"/>
        <v>0</v>
      </c>
      <c r="I88" s="17">
        <f t="shared" si="13"/>
        <v>0</v>
      </c>
      <c r="J88" s="18">
        <f t="shared" si="14"/>
        <v>0</v>
      </c>
      <c r="K88" s="18">
        <f t="shared" si="15"/>
        <v>0</v>
      </c>
      <c r="L88" s="18">
        <f t="shared" si="9"/>
        <v>40.090000000000003</v>
      </c>
      <c r="M88" s="18">
        <f t="shared" si="16"/>
        <v>0</v>
      </c>
      <c r="N88" s="18">
        <f t="shared" si="10"/>
        <v>40.090000000000003</v>
      </c>
      <c r="O88" s="8"/>
    </row>
    <row r="89" spans="1:15">
      <c r="A89" s="1" t="s">
        <v>79</v>
      </c>
      <c r="B89" s="11"/>
      <c r="C89" s="11">
        <v>3439000</v>
      </c>
      <c r="D89" s="11">
        <v>3439000</v>
      </c>
      <c r="E89" s="11">
        <v>0</v>
      </c>
      <c r="F89" s="83">
        <f>Table21623[[#This Row],[Usage]]</f>
        <v>6000</v>
      </c>
      <c r="G89" s="17">
        <f t="shared" si="11"/>
        <v>40.090000000000003</v>
      </c>
      <c r="H89" s="17">
        <f t="shared" si="12"/>
        <v>0</v>
      </c>
      <c r="I89" s="17">
        <f t="shared" si="13"/>
        <v>0</v>
      </c>
      <c r="J89" s="18">
        <f t="shared" si="14"/>
        <v>0</v>
      </c>
      <c r="K89" s="18">
        <f t="shared" si="15"/>
        <v>0</v>
      </c>
      <c r="L89" s="18">
        <f t="shared" si="9"/>
        <v>40.090000000000003</v>
      </c>
      <c r="M89" s="18">
        <f t="shared" si="16"/>
        <v>0</v>
      </c>
      <c r="N89" s="18">
        <f t="shared" si="10"/>
        <v>40.090000000000003</v>
      </c>
      <c r="O89" s="8"/>
    </row>
    <row r="90" spans="1:15">
      <c r="A90" s="1" t="s">
        <v>80</v>
      </c>
      <c r="B90" s="11"/>
      <c r="C90" s="11">
        <v>3022000</v>
      </c>
      <c r="D90" s="11">
        <v>3022000</v>
      </c>
      <c r="E90" s="11">
        <v>0</v>
      </c>
      <c r="F90" s="83">
        <f>Table21623[[#This Row],[Usage]]</f>
        <v>4000</v>
      </c>
      <c r="G90" s="17">
        <f t="shared" si="11"/>
        <v>40.090000000000003</v>
      </c>
      <c r="H90" s="17">
        <f t="shared" si="12"/>
        <v>0</v>
      </c>
      <c r="I90" s="17">
        <f t="shared" si="13"/>
        <v>0</v>
      </c>
      <c r="J90" s="18">
        <f t="shared" si="14"/>
        <v>0</v>
      </c>
      <c r="K90" s="18">
        <f t="shared" si="15"/>
        <v>0</v>
      </c>
      <c r="L90" s="18">
        <f t="shared" si="9"/>
        <v>40.090000000000003</v>
      </c>
      <c r="M90" s="18">
        <f t="shared" si="16"/>
        <v>0</v>
      </c>
      <c r="N90" s="18">
        <f t="shared" si="10"/>
        <v>40.090000000000003</v>
      </c>
      <c r="O90" s="8"/>
    </row>
    <row r="91" spans="1:15">
      <c r="A91" s="1" t="s">
        <v>81</v>
      </c>
      <c r="B91" s="11" t="s">
        <v>138</v>
      </c>
      <c r="C91" s="11">
        <v>0</v>
      </c>
      <c r="D91" s="11">
        <v>0</v>
      </c>
      <c r="E91" s="11">
        <v>0</v>
      </c>
      <c r="F91" s="83">
        <f>Table21623[[#This Row],[Usage]]</f>
        <v>0</v>
      </c>
      <c r="G91" s="17">
        <f t="shared" si="11"/>
        <v>11.79</v>
      </c>
      <c r="H91" s="17">
        <f t="shared" si="12"/>
        <v>0</v>
      </c>
      <c r="I91" s="17">
        <f t="shared" si="13"/>
        <v>0</v>
      </c>
      <c r="J91" s="18">
        <f t="shared" si="14"/>
        <v>0</v>
      </c>
      <c r="K91" s="18">
        <f t="shared" si="15"/>
        <v>0</v>
      </c>
      <c r="L91" s="18">
        <f t="shared" si="9"/>
        <v>11.79</v>
      </c>
      <c r="M91" s="18">
        <f t="shared" si="16"/>
        <v>0</v>
      </c>
      <c r="N91" s="18">
        <f t="shared" si="10"/>
        <v>11.79</v>
      </c>
      <c r="O91" s="8"/>
    </row>
    <row r="92" spans="1:15">
      <c r="A92" s="1" t="s">
        <v>82</v>
      </c>
      <c r="B92" s="11"/>
      <c r="C92" s="11">
        <v>3248000</v>
      </c>
      <c r="D92" s="11">
        <v>3248000</v>
      </c>
      <c r="E92" s="11">
        <v>0</v>
      </c>
      <c r="F92" s="83">
        <f>Table21623[[#This Row],[Usage]]</f>
        <v>7000</v>
      </c>
      <c r="G92" s="17">
        <f t="shared" si="11"/>
        <v>40.090000000000003</v>
      </c>
      <c r="H92" s="17">
        <f t="shared" si="12"/>
        <v>0</v>
      </c>
      <c r="I92" s="17">
        <f t="shared" si="13"/>
        <v>0</v>
      </c>
      <c r="J92" s="18">
        <f t="shared" si="14"/>
        <v>0</v>
      </c>
      <c r="K92" s="18">
        <f t="shared" si="15"/>
        <v>0</v>
      </c>
      <c r="L92" s="18">
        <f t="shared" si="9"/>
        <v>40.090000000000003</v>
      </c>
      <c r="M92" s="18">
        <f t="shared" si="16"/>
        <v>0</v>
      </c>
      <c r="N92" s="18">
        <f t="shared" si="10"/>
        <v>40.090000000000003</v>
      </c>
      <c r="O92" s="8"/>
    </row>
    <row r="93" spans="1:15">
      <c r="A93" s="1" t="s">
        <v>83</v>
      </c>
      <c r="B93" s="11"/>
      <c r="C93" s="11">
        <v>7562000</v>
      </c>
      <c r="D93" s="11">
        <v>7562000</v>
      </c>
      <c r="E93" s="11">
        <v>0</v>
      </c>
      <c r="F93" s="83">
        <f>Table21623[[#This Row],[Usage]]</f>
        <v>1000</v>
      </c>
      <c r="G93" s="17">
        <f t="shared" si="11"/>
        <v>40.090000000000003</v>
      </c>
      <c r="H93" s="17">
        <f t="shared" si="12"/>
        <v>0</v>
      </c>
      <c r="I93" s="17">
        <f t="shared" si="13"/>
        <v>0</v>
      </c>
      <c r="J93" s="18">
        <f t="shared" si="14"/>
        <v>0</v>
      </c>
      <c r="K93" s="18">
        <f t="shared" si="15"/>
        <v>0</v>
      </c>
      <c r="L93" s="18">
        <f t="shared" si="9"/>
        <v>40.090000000000003</v>
      </c>
      <c r="M93" s="18">
        <f t="shared" si="16"/>
        <v>0</v>
      </c>
      <c r="N93" s="18">
        <f t="shared" si="10"/>
        <v>40.090000000000003</v>
      </c>
      <c r="O93" s="8"/>
    </row>
    <row r="94" spans="1:15">
      <c r="A94" s="1" t="s">
        <v>84</v>
      </c>
      <c r="B94" s="11"/>
      <c r="C94" s="11">
        <v>3085000</v>
      </c>
      <c r="D94" s="11">
        <v>3085000</v>
      </c>
      <c r="E94" s="11">
        <v>0</v>
      </c>
      <c r="F94" s="83">
        <f>Table21623[[#This Row],[Usage]]</f>
        <v>3000</v>
      </c>
      <c r="G94" s="17">
        <f t="shared" si="11"/>
        <v>40.090000000000003</v>
      </c>
      <c r="H94" s="17">
        <f t="shared" si="12"/>
        <v>0</v>
      </c>
      <c r="I94" s="17">
        <f t="shared" si="13"/>
        <v>0</v>
      </c>
      <c r="J94" s="18">
        <f t="shared" si="14"/>
        <v>0</v>
      </c>
      <c r="K94" s="18">
        <f t="shared" si="15"/>
        <v>0</v>
      </c>
      <c r="L94" s="18">
        <f t="shared" si="9"/>
        <v>40.090000000000003</v>
      </c>
      <c r="M94" s="18">
        <f t="shared" si="16"/>
        <v>0</v>
      </c>
      <c r="N94" s="18">
        <f t="shared" si="10"/>
        <v>40.090000000000003</v>
      </c>
      <c r="O94" s="8"/>
    </row>
    <row r="95" spans="1:15">
      <c r="A95" s="1" t="s">
        <v>85</v>
      </c>
      <c r="B95" s="11"/>
      <c r="C95" s="11">
        <v>2017000</v>
      </c>
      <c r="D95" s="11">
        <v>2017000</v>
      </c>
      <c r="E95" s="11">
        <v>0</v>
      </c>
      <c r="F95" s="83">
        <f>Table21623[[#This Row],[Usage]]</f>
        <v>3000</v>
      </c>
      <c r="G95" s="17">
        <f t="shared" si="11"/>
        <v>40.090000000000003</v>
      </c>
      <c r="H95" s="17">
        <f t="shared" si="12"/>
        <v>0</v>
      </c>
      <c r="I95" s="17">
        <f t="shared" si="13"/>
        <v>0</v>
      </c>
      <c r="J95" s="18">
        <f t="shared" si="14"/>
        <v>0</v>
      </c>
      <c r="K95" s="18">
        <f t="shared" si="15"/>
        <v>0</v>
      </c>
      <c r="L95" s="18">
        <f t="shared" si="9"/>
        <v>40.090000000000003</v>
      </c>
      <c r="M95" s="18">
        <f t="shared" si="16"/>
        <v>0</v>
      </c>
      <c r="N95" s="18">
        <f t="shared" si="10"/>
        <v>40.090000000000003</v>
      </c>
      <c r="O95" s="8"/>
    </row>
    <row r="96" spans="1:15">
      <c r="A96" s="1" t="s">
        <v>86</v>
      </c>
      <c r="B96" s="11"/>
      <c r="C96" s="11">
        <v>1852000</v>
      </c>
      <c r="D96" s="11">
        <v>1852000</v>
      </c>
      <c r="E96" s="11">
        <v>0</v>
      </c>
      <c r="F96" s="83">
        <f>Table21623[[#This Row],[Usage]]</f>
        <v>5000</v>
      </c>
      <c r="G96" s="17">
        <f t="shared" si="11"/>
        <v>40.090000000000003</v>
      </c>
      <c r="H96" s="17">
        <f t="shared" si="12"/>
        <v>0</v>
      </c>
      <c r="I96" s="17">
        <f t="shared" si="13"/>
        <v>0</v>
      </c>
      <c r="J96" s="18">
        <f t="shared" si="14"/>
        <v>0</v>
      </c>
      <c r="K96" s="18">
        <f t="shared" si="15"/>
        <v>0</v>
      </c>
      <c r="L96" s="18">
        <f t="shared" si="9"/>
        <v>40.090000000000003</v>
      </c>
      <c r="M96" s="18">
        <f t="shared" si="16"/>
        <v>0</v>
      </c>
      <c r="N96" s="18">
        <f t="shared" si="10"/>
        <v>40.090000000000003</v>
      </c>
      <c r="O96" s="8"/>
    </row>
    <row r="97" spans="1:15">
      <c r="A97" s="1" t="s">
        <v>87</v>
      </c>
      <c r="B97" s="11" t="s">
        <v>138</v>
      </c>
      <c r="C97" s="11">
        <v>0</v>
      </c>
      <c r="D97" s="11">
        <v>0</v>
      </c>
      <c r="E97" s="11">
        <v>0</v>
      </c>
      <c r="F97" s="83">
        <f>Table21623[[#This Row],[Usage]]</f>
        <v>0</v>
      </c>
      <c r="G97" s="17">
        <f t="shared" si="11"/>
        <v>11.79</v>
      </c>
      <c r="H97" s="17">
        <f t="shared" si="12"/>
        <v>0</v>
      </c>
      <c r="I97" s="17">
        <f t="shared" si="13"/>
        <v>0</v>
      </c>
      <c r="J97" s="18">
        <f t="shared" si="14"/>
        <v>0</v>
      </c>
      <c r="K97" s="18">
        <f t="shared" si="15"/>
        <v>0</v>
      </c>
      <c r="L97" s="18">
        <f t="shared" si="9"/>
        <v>11.79</v>
      </c>
      <c r="M97" s="18">
        <f t="shared" si="16"/>
        <v>0</v>
      </c>
      <c r="N97" s="18">
        <f t="shared" si="10"/>
        <v>11.79</v>
      </c>
      <c r="O97" s="8"/>
    </row>
    <row r="98" spans="1:15">
      <c r="A98" s="1" t="s">
        <v>88</v>
      </c>
      <c r="B98" s="11"/>
      <c r="C98" s="11">
        <v>1231000</v>
      </c>
      <c r="D98" s="11">
        <v>1231000</v>
      </c>
      <c r="E98" s="11">
        <v>0</v>
      </c>
      <c r="F98" s="83">
        <f>Table21623[[#This Row],[Usage]]</f>
        <v>0</v>
      </c>
      <c r="G98" s="17">
        <f t="shared" si="11"/>
        <v>40.090000000000003</v>
      </c>
      <c r="H98" s="17">
        <f t="shared" si="12"/>
        <v>0</v>
      </c>
      <c r="I98" s="17">
        <f t="shared" si="13"/>
        <v>0</v>
      </c>
      <c r="J98" s="18">
        <f t="shared" si="14"/>
        <v>0</v>
      </c>
      <c r="K98" s="18">
        <f t="shared" si="15"/>
        <v>0</v>
      </c>
      <c r="L98" s="18">
        <f t="shared" si="9"/>
        <v>40.090000000000003</v>
      </c>
      <c r="M98" s="18">
        <f t="shared" si="16"/>
        <v>0</v>
      </c>
      <c r="N98" s="18">
        <f t="shared" si="10"/>
        <v>40.090000000000003</v>
      </c>
      <c r="O98" s="8"/>
    </row>
    <row r="99" spans="1:15">
      <c r="A99" s="1" t="s">
        <v>89</v>
      </c>
      <c r="B99" s="11"/>
      <c r="C99" s="11">
        <v>2262000</v>
      </c>
      <c r="D99" s="11">
        <v>2262000</v>
      </c>
      <c r="E99" s="11">
        <v>0</v>
      </c>
      <c r="F99" s="83">
        <f>Table21623[[#This Row],[Usage]]</f>
        <v>4000</v>
      </c>
      <c r="G99" s="17">
        <f t="shared" si="11"/>
        <v>40.090000000000003</v>
      </c>
      <c r="H99" s="17">
        <f t="shared" si="12"/>
        <v>0</v>
      </c>
      <c r="I99" s="17">
        <f t="shared" si="13"/>
        <v>0</v>
      </c>
      <c r="J99" s="18">
        <f t="shared" si="14"/>
        <v>0</v>
      </c>
      <c r="K99" s="18">
        <f t="shared" si="15"/>
        <v>0</v>
      </c>
      <c r="L99" s="18">
        <f t="shared" si="9"/>
        <v>40.090000000000003</v>
      </c>
      <c r="M99" s="18">
        <f t="shared" si="16"/>
        <v>0</v>
      </c>
      <c r="N99" s="18">
        <f t="shared" si="10"/>
        <v>40.090000000000003</v>
      </c>
      <c r="O99" s="8"/>
    </row>
    <row r="100" spans="1:15">
      <c r="A100" s="1" t="s">
        <v>90</v>
      </c>
      <c r="B100" s="11"/>
      <c r="C100" s="11">
        <v>1240000</v>
      </c>
      <c r="D100" s="11">
        <v>1240000</v>
      </c>
      <c r="E100" s="11">
        <v>0</v>
      </c>
      <c r="F100" s="83">
        <f>Table21623[[#This Row],[Usage]]</f>
        <v>3000</v>
      </c>
      <c r="G100" s="17">
        <f t="shared" si="11"/>
        <v>40.090000000000003</v>
      </c>
      <c r="H100" s="17">
        <f t="shared" si="12"/>
        <v>0</v>
      </c>
      <c r="I100" s="17">
        <f t="shared" si="13"/>
        <v>0</v>
      </c>
      <c r="J100" s="18">
        <f t="shared" si="14"/>
        <v>0</v>
      </c>
      <c r="K100" s="18">
        <f t="shared" si="15"/>
        <v>0</v>
      </c>
      <c r="L100" s="18">
        <f t="shared" si="9"/>
        <v>40.090000000000003</v>
      </c>
      <c r="M100" s="18">
        <f t="shared" si="16"/>
        <v>0</v>
      </c>
      <c r="N100" s="18">
        <f t="shared" si="10"/>
        <v>40.090000000000003</v>
      </c>
      <c r="O100" s="8"/>
    </row>
    <row r="101" spans="1:15">
      <c r="A101" s="1" t="s">
        <v>91</v>
      </c>
      <c r="B101" s="11"/>
      <c r="C101" s="11">
        <v>254000</v>
      </c>
      <c r="D101" s="11">
        <v>254000</v>
      </c>
      <c r="E101" s="11">
        <v>0</v>
      </c>
      <c r="F101" s="83">
        <f>Table21623[[#This Row],[Usage]]</f>
        <v>3000</v>
      </c>
      <c r="G101" s="17">
        <f t="shared" si="11"/>
        <v>40.090000000000003</v>
      </c>
      <c r="H101" s="17">
        <f t="shared" si="12"/>
        <v>0</v>
      </c>
      <c r="I101" s="17">
        <f t="shared" si="13"/>
        <v>0</v>
      </c>
      <c r="J101" s="18">
        <f t="shared" si="14"/>
        <v>0</v>
      </c>
      <c r="K101" s="18">
        <f t="shared" si="15"/>
        <v>0</v>
      </c>
      <c r="L101" s="18">
        <f t="shared" si="9"/>
        <v>40.090000000000003</v>
      </c>
      <c r="M101" s="18">
        <f t="shared" si="16"/>
        <v>0</v>
      </c>
      <c r="N101" s="18">
        <f t="shared" si="10"/>
        <v>40.090000000000003</v>
      </c>
      <c r="O101" s="8"/>
    </row>
    <row r="102" spans="1:15">
      <c r="A102" s="1" t="s">
        <v>92</v>
      </c>
      <c r="B102" s="11"/>
      <c r="C102" s="11">
        <v>2518000</v>
      </c>
      <c r="D102" s="11">
        <v>2518000</v>
      </c>
      <c r="E102" s="11">
        <v>0</v>
      </c>
      <c r="F102" s="83">
        <f>Table21623[[#This Row],[Usage]]</f>
        <v>5000</v>
      </c>
      <c r="G102" s="17">
        <f t="shared" si="11"/>
        <v>40.090000000000003</v>
      </c>
      <c r="H102" s="17">
        <f t="shared" si="12"/>
        <v>0</v>
      </c>
      <c r="I102" s="17">
        <f t="shared" si="13"/>
        <v>0</v>
      </c>
      <c r="J102" s="18">
        <f t="shared" si="14"/>
        <v>0</v>
      </c>
      <c r="K102" s="18">
        <f t="shared" si="15"/>
        <v>0</v>
      </c>
      <c r="L102" s="18">
        <f t="shared" si="9"/>
        <v>40.090000000000003</v>
      </c>
      <c r="M102" s="18">
        <f t="shared" si="16"/>
        <v>0</v>
      </c>
      <c r="N102" s="18">
        <f t="shared" si="10"/>
        <v>40.090000000000003</v>
      </c>
      <c r="O102" s="8"/>
    </row>
    <row r="103" spans="1:15">
      <c r="A103" s="1" t="s">
        <v>93</v>
      </c>
      <c r="B103" s="11" t="s">
        <v>138</v>
      </c>
      <c r="C103" s="11">
        <v>0</v>
      </c>
      <c r="D103" s="11">
        <v>0</v>
      </c>
      <c r="E103" s="11">
        <v>0</v>
      </c>
      <c r="F103" s="83">
        <f>Table21623[[#This Row],[Usage]]</f>
        <v>0</v>
      </c>
      <c r="G103" s="17">
        <f t="shared" si="11"/>
        <v>11.79</v>
      </c>
      <c r="H103" s="17">
        <f t="shared" si="12"/>
        <v>0</v>
      </c>
      <c r="I103" s="17">
        <f t="shared" si="13"/>
        <v>0</v>
      </c>
      <c r="J103" s="18">
        <f t="shared" si="14"/>
        <v>0</v>
      </c>
      <c r="K103" s="18">
        <f t="shared" si="15"/>
        <v>0</v>
      </c>
      <c r="L103" s="18">
        <f t="shared" si="9"/>
        <v>11.79</v>
      </c>
      <c r="M103" s="18">
        <f t="shared" si="16"/>
        <v>0</v>
      </c>
      <c r="N103" s="18">
        <f t="shared" si="10"/>
        <v>11.79</v>
      </c>
      <c r="O103" s="8"/>
    </row>
    <row r="104" spans="1:15">
      <c r="A104" s="1" t="s">
        <v>94</v>
      </c>
      <c r="B104" s="11" t="s">
        <v>138</v>
      </c>
      <c r="C104" s="11">
        <v>0</v>
      </c>
      <c r="D104" s="11">
        <v>0</v>
      </c>
      <c r="E104" s="11">
        <v>0</v>
      </c>
      <c r="F104" s="83">
        <f>Table21623[[#This Row],[Usage]]</f>
        <v>0</v>
      </c>
      <c r="G104" s="17">
        <f t="shared" si="11"/>
        <v>11.79</v>
      </c>
      <c r="H104" s="17">
        <f t="shared" si="12"/>
        <v>0</v>
      </c>
      <c r="I104" s="17">
        <f t="shared" si="13"/>
        <v>0</v>
      </c>
      <c r="J104" s="18">
        <f t="shared" si="14"/>
        <v>0</v>
      </c>
      <c r="K104" s="18">
        <f t="shared" si="15"/>
        <v>0</v>
      </c>
      <c r="L104" s="18">
        <f t="shared" si="9"/>
        <v>11.79</v>
      </c>
      <c r="M104" s="18">
        <f t="shared" si="16"/>
        <v>0</v>
      </c>
      <c r="N104" s="18">
        <f t="shared" si="10"/>
        <v>11.79</v>
      </c>
      <c r="O104" s="8"/>
    </row>
    <row r="105" spans="1:15">
      <c r="A105" s="1" t="s">
        <v>95</v>
      </c>
      <c r="B105" s="11" t="s">
        <v>138</v>
      </c>
      <c r="C105" s="11">
        <v>0</v>
      </c>
      <c r="D105" s="11">
        <v>0</v>
      </c>
      <c r="E105" s="11">
        <v>0</v>
      </c>
      <c r="F105" s="83">
        <f>Table21623[[#This Row],[Usage]]</f>
        <v>0</v>
      </c>
      <c r="G105" s="17">
        <f t="shared" si="11"/>
        <v>11.79</v>
      </c>
      <c r="H105" s="17">
        <f t="shared" si="12"/>
        <v>0</v>
      </c>
      <c r="I105" s="17">
        <f t="shared" si="13"/>
        <v>0</v>
      </c>
      <c r="J105" s="18">
        <f t="shared" si="14"/>
        <v>0</v>
      </c>
      <c r="K105" s="18">
        <f t="shared" si="15"/>
        <v>0</v>
      </c>
      <c r="L105" s="18">
        <f t="shared" si="9"/>
        <v>11.79</v>
      </c>
      <c r="M105" s="18">
        <f t="shared" si="16"/>
        <v>0</v>
      </c>
      <c r="N105" s="18">
        <f t="shared" si="10"/>
        <v>11.79</v>
      </c>
      <c r="O105" s="8"/>
    </row>
    <row r="106" spans="1:15">
      <c r="A106" s="1" t="s">
        <v>96</v>
      </c>
      <c r="B106" s="11"/>
      <c r="C106" s="11">
        <v>1842000</v>
      </c>
      <c r="D106" s="11">
        <v>1842000</v>
      </c>
      <c r="E106" s="11">
        <v>0</v>
      </c>
      <c r="F106" s="83">
        <f>Table21623[[#This Row],[Usage]]</f>
        <v>5000</v>
      </c>
      <c r="G106" s="17">
        <f t="shared" si="11"/>
        <v>40.090000000000003</v>
      </c>
      <c r="H106" s="17">
        <f t="shared" si="12"/>
        <v>0</v>
      </c>
      <c r="I106" s="17">
        <f t="shared" si="13"/>
        <v>0</v>
      </c>
      <c r="J106" s="18">
        <f t="shared" si="14"/>
        <v>0</v>
      </c>
      <c r="K106" s="18">
        <f t="shared" si="15"/>
        <v>0</v>
      </c>
      <c r="L106" s="18">
        <f t="shared" si="9"/>
        <v>40.090000000000003</v>
      </c>
      <c r="M106" s="18">
        <f t="shared" si="16"/>
        <v>0</v>
      </c>
      <c r="N106" s="18">
        <f t="shared" si="10"/>
        <v>40.090000000000003</v>
      </c>
      <c r="O106" s="8"/>
    </row>
    <row r="107" spans="1:15">
      <c r="A107" s="1" t="s">
        <v>97</v>
      </c>
      <c r="B107" s="11" t="s">
        <v>138</v>
      </c>
      <c r="C107" s="11">
        <v>0</v>
      </c>
      <c r="D107" s="11">
        <v>0</v>
      </c>
      <c r="E107" s="11">
        <v>0</v>
      </c>
      <c r="F107" s="83">
        <f>Table21623[[#This Row],[Usage]]</f>
        <v>0</v>
      </c>
      <c r="G107" s="17">
        <f t="shared" si="11"/>
        <v>11.79</v>
      </c>
      <c r="H107" s="17">
        <f t="shared" si="12"/>
        <v>0</v>
      </c>
      <c r="I107" s="17">
        <f t="shared" si="13"/>
        <v>0</v>
      </c>
      <c r="J107" s="18">
        <f t="shared" si="14"/>
        <v>0</v>
      </c>
      <c r="K107" s="18">
        <f t="shared" si="15"/>
        <v>0</v>
      </c>
      <c r="L107" s="18">
        <f t="shared" si="9"/>
        <v>11.79</v>
      </c>
      <c r="M107" s="18">
        <f t="shared" si="16"/>
        <v>0</v>
      </c>
      <c r="N107" s="18">
        <f t="shared" si="10"/>
        <v>11.79</v>
      </c>
      <c r="O107" s="8"/>
    </row>
    <row r="108" spans="1:15">
      <c r="A108" s="1" t="s">
        <v>98</v>
      </c>
      <c r="B108" s="11" t="s">
        <v>138</v>
      </c>
      <c r="C108" s="11">
        <v>0</v>
      </c>
      <c r="D108" s="11">
        <v>0</v>
      </c>
      <c r="E108" s="11">
        <v>0</v>
      </c>
      <c r="F108" s="83">
        <f>Table21623[[#This Row],[Usage]]</f>
        <v>0</v>
      </c>
      <c r="G108" s="17">
        <f t="shared" si="11"/>
        <v>11.79</v>
      </c>
      <c r="H108" s="17">
        <f t="shared" si="12"/>
        <v>0</v>
      </c>
      <c r="I108" s="17">
        <f t="shared" si="13"/>
        <v>0</v>
      </c>
      <c r="J108" s="18">
        <f t="shared" si="14"/>
        <v>0</v>
      </c>
      <c r="K108" s="18">
        <f t="shared" si="15"/>
        <v>0</v>
      </c>
      <c r="L108" s="18">
        <f t="shared" si="9"/>
        <v>11.79</v>
      </c>
      <c r="M108" s="18">
        <f t="shared" si="16"/>
        <v>0</v>
      </c>
      <c r="N108" s="18">
        <f t="shared" si="10"/>
        <v>11.79</v>
      </c>
      <c r="O108" s="8"/>
    </row>
    <row r="109" spans="1:15">
      <c r="A109" s="1" t="s">
        <v>99</v>
      </c>
      <c r="B109" s="11"/>
      <c r="C109" s="11">
        <v>1662000</v>
      </c>
      <c r="D109" s="11">
        <v>1662000</v>
      </c>
      <c r="E109" s="11">
        <v>0</v>
      </c>
      <c r="F109" s="83">
        <f>Table21623[[#This Row],[Usage]]</f>
        <v>5000</v>
      </c>
      <c r="G109" s="17">
        <f t="shared" si="11"/>
        <v>40.090000000000003</v>
      </c>
      <c r="H109" s="17">
        <f t="shared" si="12"/>
        <v>0</v>
      </c>
      <c r="I109" s="17">
        <f t="shared" si="13"/>
        <v>0</v>
      </c>
      <c r="J109" s="18">
        <f t="shared" si="14"/>
        <v>0</v>
      </c>
      <c r="K109" s="18">
        <f t="shared" si="15"/>
        <v>0</v>
      </c>
      <c r="L109" s="18">
        <f t="shared" si="9"/>
        <v>40.090000000000003</v>
      </c>
      <c r="M109" s="18">
        <f t="shared" si="16"/>
        <v>0</v>
      </c>
      <c r="N109" s="18">
        <f t="shared" si="10"/>
        <v>40.090000000000003</v>
      </c>
      <c r="O109" s="8"/>
    </row>
    <row r="110" spans="1:15">
      <c r="A110" s="1" t="s">
        <v>100</v>
      </c>
      <c r="B110" s="11"/>
      <c r="C110" s="11">
        <v>515000</v>
      </c>
      <c r="D110" s="11">
        <v>515000</v>
      </c>
      <c r="E110" s="11">
        <v>0</v>
      </c>
      <c r="F110" s="83">
        <f>Table21623[[#This Row],[Usage]]</f>
        <v>5000</v>
      </c>
      <c r="G110" s="17">
        <f t="shared" si="11"/>
        <v>40.090000000000003</v>
      </c>
      <c r="H110" s="17">
        <f t="shared" si="12"/>
        <v>0</v>
      </c>
      <c r="I110" s="17">
        <f t="shared" si="13"/>
        <v>0</v>
      </c>
      <c r="J110" s="18">
        <f t="shared" si="14"/>
        <v>0</v>
      </c>
      <c r="K110" s="18">
        <f t="shared" si="15"/>
        <v>0</v>
      </c>
      <c r="L110" s="18">
        <f t="shared" si="9"/>
        <v>40.090000000000003</v>
      </c>
      <c r="M110" s="18">
        <f t="shared" si="16"/>
        <v>0</v>
      </c>
      <c r="N110" s="18">
        <f t="shared" si="10"/>
        <v>40.090000000000003</v>
      </c>
      <c r="O110" s="8"/>
    </row>
    <row r="111" spans="1:15">
      <c r="A111" s="1" t="s">
        <v>101</v>
      </c>
      <c r="B111" s="11"/>
      <c r="C111" s="11">
        <v>4548000</v>
      </c>
      <c r="D111" s="11">
        <v>4548000</v>
      </c>
      <c r="E111" s="11">
        <v>0</v>
      </c>
      <c r="F111" s="83">
        <f>Table21623[[#This Row],[Usage]]</f>
        <v>3000</v>
      </c>
      <c r="G111" s="17">
        <f t="shared" si="11"/>
        <v>40.090000000000003</v>
      </c>
      <c r="H111" s="17">
        <f t="shared" si="12"/>
        <v>0</v>
      </c>
      <c r="I111" s="17">
        <f t="shared" si="13"/>
        <v>0</v>
      </c>
      <c r="J111" s="18">
        <f t="shared" si="14"/>
        <v>0</v>
      </c>
      <c r="K111" s="18">
        <f t="shared" si="15"/>
        <v>0</v>
      </c>
      <c r="L111" s="18">
        <f t="shared" si="9"/>
        <v>40.090000000000003</v>
      </c>
      <c r="M111" s="18">
        <f t="shared" si="16"/>
        <v>0</v>
      </c>
      <c r="N111" s="18">
        <f t="shared" si="10"/>
        <v>40.090000000000003</v>
      </c>
      <c r="O111" s="8"/>
    </row>
    <row r="112" spans="1:15">
      <c r="A112" s="1" t="s">
        <v>102</v>
      </c>
      <c r="B112" s="11" t="s">
        <v>138</v>
      </c>
      <c r="C112" s="11">
        <v>0</v>
      </c>
      <c r="D112" s="11">
        <v>0</v>
      </c>
      <c r="E112" s="11">
        <v>0</v>
      </c>
      <c r="F112" s="83">
        <f>Table21623[[#This Row],[Usage]]</f>
        <v>0</v>
      </c>
      <c r="G112" s="17">
        <f t="shared" si="11"/>
        <v>11.79</v>
      </c>
      <c r="H112" s="17">
        <f t="shared" si="12"/>
        <v>0</v>
      </c>
      <c r="I112" s="17">
        <f t="shared" si="13"/>
        <v>0</v>
      </c>
      <c r="J112" s="18">
        <f t="shared" si="14"/>
        <v>0</v>
      </c>
      <c r="K112" s="18">
        <f t="shared" si="15"/>
        <v>0</v>
      </c>
      <c r="L112" s="18">
        <f t="shared" si="9"/>
        <v>11.79</v>
      </c>
      <c r="M112" s="18">
        <f t="shared" si="16"/>
        <v>0</v>
      </c>
      <c r="N112" s="18">
        <f t="shared" si="10"/>
        <v>11.79</v>
      </c>
      <c r="O112" s="8"/>
    </row>
    <row r="113" spans="1:15">
      <c r="A113" s="1" t="s">
        <v>103</v>
      </c>
      <c r="B113" s="11"/>
      <c r="C113" s="11">
        <v>1201000</v>
      </c>
      <c r="D113" s="11">
        <v>1201000</v>
      </c>
      <c r="E113" s="11">
        <v>0</v>
      </c>
      <c r="F113" s="83">
        <f>Table21623[[#This Row],[Usage]]</f>
        <v>7000</v>
      </c>
      <c r="G113" s="17">
        <f t="shared" si="11"/>
        <v>40.090000000000003</v>
      </c>
      <c r="H113" s="17">
        <f t="shared" si="12"/>
        <v>0</v>
      </c>
      <c r="I113" s="17">
        <f t="shared" si="13"/>
        <v>0</v>
      </c>
      <c r="J113" s="18">
        <f t="shared" si="14"/>
        <v>0</v>
      </c>
      <c r="K113" s="18">
        <f t="shared" si="15"/>
        <v>0</v>
      </c>
      <c r="L113" s="18">
        <f t="shared" si="9"/>
        <v>40.090000000000003</v>
      </c>
      <c r="M113" s="18">
        <f t="shared" ref="M113:M136" si="17">IF(   $H$5=1,    IF((F113-$H$6)&gt;0,((F113-$H$6)/$N$7)*$E$8,0),   IF(F113&gt;0,(F113/$N$4)*$E$8,0)    )</f>
        <v>0</v>
      </c>
      <c r="N113" s="18">
        <f t="shared" si="10"/>
        <v>40.090000000000003</v>
      </c>
      <c r="O113" s="8"/>
    </row>
    <row r="114" spans="1:15">
      <c r="A114" s="1" t="s">
        <v>104</v>
      </c>
      <c r="B114" s="11" t="s">
        <v>138</v>
      </c>
      <c r="C114" s="11">
        <v>0</v>
      </c>
      <c r="D114" s="11">
        <v>0</v>
      </c>
      <c r="E114" s="11">
        <v>0</v>
      </c>
      <c r="F114" s="83">
        <f>Table21623[[#This Row],[Usage]]</f>
        <v>0</v>
      </c>
      <c r="G114" s="17">
        <f t="shared" si="11"/>
        <v>11.79</v>
      </c>
      <c r="H114" s="17">
        <f t="shared" si="12"/>
        <v>0</v>
      </c>
      <c r="I114" s="17">
        <f t="shared" si="13"/>
        <v>0</v>
      </c>
      <c r="J114" s="18">
        <f t="shared" si="14"/>
        <v>0</v>
      </c>
      <c r="K114" s="18">
        <f t="shared" si="15"/>
        <v>0</v>
      </c>
      <c r="L114" s="18">
        <f t="shared" si="9"/>
        <v>11.79</v>
      </c>
      <c r="M114" s="18">
        <f t="shared" si="17"/>
        <v>0</v>
      </c>
      <c r="N114" s="18">
        <f t="shared" si="10"/>
        <v>11.79</v>
      </c>
      <c r="O114" s="8"/>
    </row>
    <row r="115" spans="1:15">
      <c r="A115" s="1" t="s">
        <v>105</v>
      </c>
      <c r="B115" s="11"/>
      <c r="C115" s="11">
        <v>1467000</v>
      </c>
      <c r="D115" s="11">
        <v>1467000</v>
      </c>
      <c r="E115" s="11">
        <v>0</v>
      </c>
      <c r="F115" s="83">
        <f>Table21623[[#This Row],[Usage]]</f>
        <v>3000</v>
      </c>
      <c r="G115" s="17">
        <f t="shared" si="11"/>
        <v>40.090000000000003</v>
      </c>
      <c r="H115" s="17">
        <f t="shared" si="12"/>
        <v>0</v>
      </c>
      <c r="I115" s="17">
        <f t="shared" si="13"/>
        <v>0</v>
      </c>
      <c r="J115" s="18">
        <f t="shared" si="14"/>
        <v>0</v>
      </c>
      <c r="K115" s="18">
        <f t="shared" si="15"/>
        <v>0</v>
      </c>
      <c r="L115" s="18">
        <f t="shared" si="9"/>
        <v>40.090000000000003</v>
      </c>
      <c r="M115" s="18">
        <f t="shared" si="17"/>
        <v>0</v>
      </c>
      <c r="N115" s="18">
        <f t="shared" si="10"/>
        <v>40.090000000000003</v>
      </c>
      <c r="O115" s="8"/>
    </row>
    <row r="116" spans="1:15">
      <c r="A116" s="1" t="s">
        <v>106</v>
      </c>
      <c r="B116" s="11"/>
      <c r="C116" s="11">
        <v>1791000</v>
      </c>
      <c r="D116" s="11">
        <v>1791000</v>
      </c>
      <c r="E116" s="11">
        <v>0</v>
      </c>
      <c r="F116" s="83">
        <f>Table21623[[#This Row],[Usage]]</f>
        <v>1000</v>
      </c>
      <c r="G116" s="17">
        <f t="shared" si="11"/>
        <v>40.090000000000003</v>
      </c>
      <c r="H116" s="17">
        <f t="shared" si="12"/>
        <v>0</v>
      </c>
      <c r="I116" s="17">
        <f t="shared" si="13"/>
        <v>0</v>
      </c>
      <c r="J116" s="18">
        <f t="shared" si="14"/>
        <v>0</v>
      </c>
      <c r="K116" s="18">
        <f t="shared" si="15"/>
        <v>0</v>
      </c>
      <c r="L116" s="18">
        <f t="shared" si="9"/>
        <v>40.090000000000003</v>
      </c>
      <c r="M116" s="18">
        <f t="shared" si="17"/>
        <v>0</v>
      </c>
      <c r="N116" s="18">
        <f t="shared" si="10"/>
        <v>40.090000000000003</v>
      </c>
      <c r="O116" s="8"/>
    </row>
    <row r="117" spans="1:15">
      <c r="A117" s="1" t="s">
        <v>107</v>
      </c>
      <c r="B117" s="11"/>
      <c r="C117" s="11">
        <v>322000</v>
      </c>
      <c r="D117" s="11">
        <v>322000</v>
      </c>
      <c r="E117" s="11">
        <v>0</v>
      </c>
      <c r="F117" s="83">
        <f>Table21623[[#This Row],[Usage]]</f>
        <v>3000</v>
      </c>
      <c r="G117" s="17">
        <f t="shared" si="11"/>
        <v>40.090000000000003</v>
      </c>
      <c r="H117" s="17">
        <f t="shared" si="12"/>
        <v>0</v>
      </c>
      <c r="I117" s="17">
        <f t="shared" si="13"/>
        <v>0</v>
      </c>
      <c r="J117" s="18">
        <f t="shared" si="14"/>
        <v>0</v>
      </c>
      <c r="K117" s="18">
        <f t="shared" si="15"/>
        <v>0</v>
      </c>
      <c r="L117" s="18">
        <f t="shared" si="9"/>
        <v>40.090000000000003</v>
      </c>
      <c r="M117" s="18">
        <f t="shared" si="17"/>
        <v>0</v>
      </c>
      <c r="N117" s="18">
        <f t="shared" si="10"/>
        <v>40.090000000000003</v>
      </c>
      <c r="O117" s="8"/>
    </row>
    <row r="118" spans="1:15">
      <c r="A118" s="1" t="s">
        <v>108</v>
      </c>
      <c r="B118" s="11"/>
      <c r="C118" s="11">
        <v>2588000</v>
      </c>
      <c r="D118" s="11">
        <v>2588000</v>
      </c>
      <c r="E118" s="11">
        <v>0</v>
      </c>
      <c r="F118" s="83">
        <f>Table21623[[#This Row],[Usage]]</f>
        <v>7000</v>
      </c>
      <c r="G118" s="17">
        <f t="shared" si="11"/>
        <v>40.090000000000003</v>
      </c>
      <c r="H118" s="17">
        <f t="shared" si="12"/>
        <v>0</v>
      </c>
      <c r="I118" s="17">
        <f t="shared" si="13"/>
        <v>0</v>
      </c>
      <c r="J118" s="18">
        <f t="shared" si="14"/>
        <v>0</v>
      </c>
      <c r="K118" s="18">
        <f t="shared" si="15"/>
        <v>0</v>
      </c>
      <c r="L118" s="18">
        <f t="shared" si="9"/>
        <v>40.090000000000003</v>
      </c>
      <c r="M118" s="18">
        <f t="shared" si="17"/>
        <v>0</v>
      </c>
      <c r="N118" s="18">
        <f t="shared" si="10"/>
        <v>40.090000000000003</v>
      </c>
      <c r="O118" s="8"/>
    </row>
    <row r="119" spans="1:15">
      <c r="A119" s="1" t="s">
        <v>109</v>
      </c>
      <c r="B119" s="11" t="s">
        <v>138</v>
      </c>
      <c r="C119" s="11">
        <v>0</v>
      </c>
      <c r="D119" s="11">
        <v>0</v>
      </c>
      <c r="E119" s="11">
        <v>0</v>
      </c>
      <c r="F119" s="83">
        <f>Table21623[[#This Row],[Usage]]</f>
        <v>0</v>
      </c>
      <c r="G119" s="17">
        <f t="shared" si="11"/>
        <v>11.79</v>
      </c>
      <c r="H119" s="17">
        <f t="shared" si="12"/>
        <v>0</v>
      </c>
      <c r="I119" s="17">
        <f t="shared" si="13"/>
        <v>0</v>
      </c>
      <c r="J119" s="18">
        <f t="shared" si="14"/>
        <v>0</v>
      </c>
      <c r="K119" s="18">
        <f t="shared" si="15"/>
        <v>0</v>
      </c>
      <c r="L119" s="18">
        <f t="shared" si="9"/>
        <v>11.79</v>
      </c>
      <c r="M119" s="18">
        <f t="shared" si="17"/>
        <v>0</v>
      </c>
      <c r="N119" s="18">
        <f t="shared" si="10"/>
        <v>11.79</v>
      </c>
      <c r="O119" s="8"/>
    </row>
    <row r="120" spans="1:15">
      <c r="A120" s="1" t="s">
        <v>110</v>
      </c>
      <c r="B120" s="11"/>
      <c r="C120" s="11">
        <v>3793000</v>
      </c>
      <c r="D120" s="11">
        <v>3793000</v>
      </c>
      <c r="E120" s="11">
        <v>0</v>
      </c>
      <c r="F120" s="83">
        <f>Table21623[[#This Row],[Usage]]</f>
        <v>14000</v>
      </c>
      <c r="G120" s="17">
        <f t="shared" si="11"/>
        <v>40.090000000000003</v>
      </c>
      <c r="H120" s="17">
        <f t="shared" si="12"/>
        <v>8.7200000000000006</v>
      </c>
      <c r="I120" s="17">
        <f t="shared" si="13"/>
        <v>0</v>
      </c>
      <c r="J120" s="18">
        <f t="shared" si="14"/>
        <v>0</v>
      </c>
      <c r="K120" s="18">
        <f t="shared" si="15"/>
        <v>0</v>
      </c>
      <c r="L120" s="18">
        <f t="shared" si="9"/>
        <v>48.81</v>
      </c>
      <c r="M120" s="18">
        <f t="shared" si="17"/>
        <v>0</v>
      </c>
      <c r="N120" s="18">
        <f t="shared" si="10"/>
        <v>48.81</v>
      </c>
      <c r="O120" s="8"/>
    </row>
    <row r="121" spans="1:15">
      <c r="A121" s="1" t="s">
        <v>111</v>
      </c>
      <c r="B121" s="11"/>
      <c r="C121" s="11">
        <v>3508000</v>
      </c>
      <c r="D121" s="11">
        <v>3508000</v>
      </c>
      <c r="E121" s="11">
        <v>0</v>
      </c>
      <c r="F121" s="83">
        <f>Table21623[[#This Row],[Usage]]</f>
        <v>5000</v>
      </c>
      <c r="G121" s="17">
        <f t="shared" si="11"/>
        <v>40.090000000000003</v>
      </c>
      <c r="H121" s="17">
        <f t="shared" si="12"/>
        <v>0</v>
      </c>
      <c r="I121" s="17">
        <f t="shared" si="13"/>
        <v>0</v>
      </c>
      <c r="J121" s="18">
        <f t="shared" si="14"/>
        <v>0</v>
      </c>
      <c r="K121" s="18">
        <f t="shared" si="15"/>
        <v>0</v>
      </c>
      <c r="L121" s="18">
        <f t="shared" si="9"/>
        <v>40.090000000000003</v>
      </c>
      <c r="M121" s="18">
        <f t="shared" si="17"/>
        <v>0</v>
      </c>
      <c r="N121" s="18">
        <f t="shared" si="10"/>
        <v>40.090000000000003</v>
      </c>
      <c r="O121" s="8"/>
    </row>
    <row r="122" spans="1:15">
      <c r="A122" s="1" t="s">
        <v>112</v>
      </c>
      <c r="B122" s="11"/>
      <c r="C122" s="11">
        <v>341000</v>
      </c>
      <c r="D122" s="11">
        <v>341000</v>
      </c>
      <c r="E122" s="11">
        <v>0</v>
      </c>
      <c r="F122" s="83">
        <f>Table21623[[#This Row],[Usage]]</f>
        <v>3000</v>
      </c>
      <c r="G122" s="17">
        <f t="shared" si="11"/>
        <v>40.090000000000003</v>
      </c>
      <c r="H122" s="17">
        <f t="shared" si="12"/>
        <v>0</v>
      </c>
      <c r="I122" s="17">
        <f t="shared" si="13"/>
        <v>0</v>
      </c>
      <c r="J122" s="18">
        <f t="shared" si="14"/>
        <v>0</v>
      </c>
      <c r="K122" s="18">
        <f t="shared" si="15"/>
        <v>0</v>
      </c>
      <c r="L122" s="18">
        <f t="shared" si="9"/>
        <v>40.090000000000003</v>
      </c>
      <c r="M122" s="18">
        <f t="shared" si="17"/>
        <v>0</v>
      </c>
      <c r="N122" s="18">
        <f t="shared" si="10"/>
        <v>40.090000000000003</v>
      </c>
      <c r="O122" s="8"/>
    </row>
    <row r="123" spans="1:15">
      <c r="A123" s="1" t="s">
        <v>113</v>
      </c>
      <c r="B123" s="11"/>
      <c r="C123" s="11">
        <v>1443000</v>
      </c>
      <c r="D123" s="11">
        <v>1443000</v>
      </c>
      <c r="E123" s="11">
        <v>0</v>
      </c>
      <c r="F123" s="83">
        <f>Table21623[[#This Row],[Usage]]</f>
        <v>6000</v>
      </c>
      <c r="G123" s="17">
        <f t="shared" si="11"/>
        <v>40.090000000000003</v>
      </c>
      <c r="H123" s="17">
        <f t="shared" si="12"/>
        <v>0</v>
      </c>
      <c r="I123" s="17">
        <f t="shared" si="13"/>
        <v>0</v>
      </c>
      <c r="J123" s="18">
        <f t="shared" si="14"/>
        <v>0</v>
      </c>
      <c r="K123" s="18">
        <f t="shared" si="15"/>
        <v>0</v>
      </c>
      <c r="L123" s="18">
        <f t="shared" si="9"/>
        <v>40.090000000000003</v>
      </c>
      <c r="M123" s="18">
        <f t="shared" si="17"/>
        <v>0</v>
      </c>
      <c r="N123" s="18">
        <f t="shared" si="10"/>
        <v>40.090000000000003</v>
      </c>
      <c r="O123" s="8"/>
    </row>
    <row r="124" spans="1:15">
      <c r="A124" s="1" t="s">
        <v>114</v>
      </c>
      <c r="B124" s="11"/>
      <c r="C124" s="11">
        <v>2578000</v>
      </c>
      <c r="D124" s="11">
        <v>2578000</v>
      </c>
      <c r="E124" s="11">
        <v>0</v>
      </c>
      <c r="F124" s="83">
        <f>Table21623[[#This Row],[Usage]]</f>
        <v>3000</v>
      </c>
      <c r="G124" s="17">
        <f t="shared" si="11"/>
        <v>40.090000000000003</v>
      </c>
      <c r="H124" s="17">
        <f t="shared" si="12"/>
        <v>0</v>
      </c>
      <c r="I124" s="17">
        <f t="shared" si="13"/>
        <v>0</v>
      </c>
      <c r="J124" s="18">
        <f t="shared" si="14"/>
        <v>0</v>
      </c>
      <c r="K124" s="18">
        <f t="shared" si="15"/>
        <v>0</v>
      </c>
      <c r="L124" s="18">
        <f t="shared" si="9"/>
        <v>40.090000000000003</v>
      </c>
      <c r="M124" s="18">
        <f t="shared" si="17"/>
        <v>0</v>
      </c>
      <c r="N124" s="18">
        <f t="shared" si="10"/>
        <v>40.090000000000003</v>
      </c>
      <c r="O124" s="8"/>
    </row>
    <row r="125" spans="1:15">
      <c r="A125" s="1" t="s">
        <v>115</v>
      </c>
      <c r="B125" s="11"/>
      <c r="C125" s="11">
        <v>2468000</v>
      </c>
      <c r="D125" s="11">
        <v>2468000</v>
      </c>
      <c r="E125" s="11">
        <v>0</v>
      </c>
      <c r="F125" s="83">
        <f>Table21623[[#This Row],[Usage]]</f>
        <v>11000</v>
      </c>
      <c r="G125" s="17">
        <f t="shared" si="11"/>
        <v>40.090000000000003</v>
      </c>
      <c r="H125" s="17">
        <f t="shared" si="12"/>
        <v>2.1800000000000002</v>
      </c>
      <c r="I125" s="17">
        <f t="shared" si="13"/>
        <v>0</v>
      </c>
      <c r="J125" s="18">
        <f t="shared" si="14"/>
        <v>0</v>
      </c>
      <c r="K125" s="18">
        <f t="shared" si="15"/>
        <v>0</v>
      </c>
      <c r="L125" s="18">
        <f t="shared" si="9"/>
        <v>42.27</v>
      </c>
      <c r="M125" s="18">
        <f t="shared" si="17"/>
        <v>0</v>
      </c>
      <c r="N125" s="18">
        <f t="shared" si="10"/>
        <v>42.27</v>
      </c>
      <c r="O125" s="8"/>
    </row>
    <row r="126" spans="1:15">
      <c r="A126" s="1" t="s">
        <v>116</v>
      </c>
      <c r="B126" s="11"/>
      <c r="C126" s="11">
        <v>4257000</v>
      </c>
      <c r="D126" s="11">
        <v>4257000</v>
      </c>
      <c r="E126" s="11">
        <v>0</v>
      </c>
      <c r="F126" s="83">
        <f>Table21623[[#This Row],[Usage]]</f>
        <v>2000</v>
      </c>
      <c r="G126" s="17">
        <f t="shared" si="11"/>
        <v>40.090000000000003</v>
      </c>
      <c r="H126" s="17">
        <f t="shared" si="12"/>
        <v>0</v>
      </c>
      <c r="I126" s="17">
        <f t="shared" si="13"/>
        <v>0</v>
      </c>
      <c r="J126" s="18">
        <f t="shared" si="14"/>
        <v>0</v>
      </c>
      <c r="K126" s="18">
        <f t="shared" si="15"/>
        <v>0</v>
      </c>
      <c r="L126" s="18">
        <f t="shared" si="9"/>
        <v>40.090000000000003</v>
      </c>
      <c r="M126" s="18">
        <f t="shared" si="17"/>
        <v>0</v>
      </c>
      <c r="N126" s="18">
        <f t="shared" si="10"/>
        <v>40.090000000000003</v>
      </c>
      <c r="O126" s="8"/>
    </row>
    <row r="127" spans="1:15">
      <c r="A127" s="1" t="s">
        <v>117</v>
      </c>
      <c r="B127" s="11"/>
      <c r="C127" s="11">
        <v>1890000</v>
      </c>
      <c r="D127" s="11">
        <v>1890000</v>
      </c>
      <c r="E127" s="11">
        <v>0</v>
      </c>
      <c r="F127" s="83">
        <f>Table21623[[#This Row],[Usage]]</f>
        <v>7000</v>
      </c>
      <c r="G127" s="17">
        <f t="shared" si="11"/>
        <v>40.090000000000003</v>
      </c>
      <c r="H127" s="17">
        <f t="shared" si="12"/>
        <v>0</v>
      </c>
      <c r="I127" s="17">
        <f t="shared" si="13"/>
        <v>0</v>
      </c>
      <c r="J127" s="18">
        <f t="shared" si="14"/>
        <v>0</v>
      </c>
      <c r="K127" s="18">
        <f t="shared" si="15"/>
        <v>0</v>
      </c>
      <c r="L127" s="18">
        <f t="shared" si="9"/>
        <v>40.090000000000003</v>
      </c>
      <c r="M127" s="18">
        <f t="shared" si="17"/>
        <v>0</v>
      </c>
      <c r="N127" s="18">
        <f t="shared" si="10"/>
        <v>40.090000000000003</v>
      </c>
      <c r="O127" s="8"/>
    </row>
    <row r="128" spans="1:15">
      <c r="A128" s="1" t="s">
        <v>118</v>
      </c>
      <c r="B128" s="11"/>
      <c r="C128" s="11">
        <v>1179000</v>
      </c>
      <c r="D128" s="11">
        <v>1179000</v>
      </c>
      <c r="E128" s="11">
        <v>0</v>
      </c>
      <c r="F128" s="83">
        <f>Table21623[[#This Row],[Usage]]</f>
        <v>8000</v>
      </c>
      <c r="G128" s="17">
        <f t="shared" si="11"/>
        <v>40.090000000000003</v>
      </c>
      <c r="H128" s="17">
        <f t="shared" si="12"/>
        <v>0</v>
      </c>
      <c r="I128" s="17">
        <f t="shared" si="13"/>
        <v>0</v>
      </c>
      <c r="J128" s="18">
        <f t="shared" si="14"/>
        <v>0</v>
      </c>
      <c r="K128" s="18">
        <f t="shared" si="15"/>
        <v>0</v>
      </c>
      <c r="L128" s="18">
        <f t="shared" si="9"/>
        <v>40.090000000000003</v>
      </c>
      <c r="M128" s="18">
        <f t="shared" si="17"/>
        <v>0</v>
      </c>
      <c r="N128" s="18">
        <f t="shared" si="10"/>
        <v>40.090000000000003</v>
      </c>
      <c r="O128" s="8" t="s">
        <v>174</v>
      </c>
    </row>
    <row r="129" spans="1:15">
      <c r="A129" s="1" t="s">
        <v>119</v>
      </c>
      <c r="B129" s="11"/>
      <c r="C129" s="11">
        <v>6840000</v>
      </c>
      <c r="D129" s="11">
        <v>6840000</v>
      </c>
      <c r="E129" s="11">
        <v>0</v>
      </c>
      <c r="F129" s="83">
        <f>Table21623[[#This Row],[Usage]]</f>
        <v>4000</v>
      </c>
      <c r="G129" s="17">
        <f t="shared" si="11"/>
        <v>40.090000000000003</v>
      </c>
      <c r="H129" s="17">
        <f t="shared" si="12"/>
        <v>0</v>
      </c>
      <c r="I129" s="17">
        <f t="shared" si="13"/>
        <v>0</v>
      </c>
      <c r="J129" s="18">
        <f t="shared" si="14"/>
        <v>0</v>
      </c>
      <c r="K129" s="18">
        <f t="shared" si="15"/>
        <v>0</v>
      </c>
      <c r="L129" s="18">
        <f t="shared" si="9"/>
        <v>40.090000000000003</v>
      </c>
      <c r="M129" s="18">
        <f t="shared" si="17"/>
        <v>0</v>
      </c>
      <c r="N129" s="18">
        <f t="shared" si="10"/>
        <v>40.090000000000003</v>
      </c>
      <c r="O129" s="8"/>
    </row>
    <row r="130" spans="1:15">
      <c r="A130" s="1" t="s">
        <v>120</v>
      </c>
      <c r="B130" s="11"/>
      <c r="C130" s="11">
        <v>3693000</v>
      </c>
      <c r="D130" s="11">
        <v>3693000</v>
      </c>
      <c r="E130" s="11">
        <v>0</v>
      </c>
      <c r="F130" s="83">
        <f>Table21623[[#This Row],[Usage]]</f>
        <v>3000</v>
      </c>
      <c r="G130" s="17">
        <f t="shared" si="11"/>
        <v>40.090000000000003</v>
      </c>
      <c r="H130" s="17">
        <f t="shared" si="12"/>
        <v>0</v>
      </c>
      <c r="I130" s="17">
        <f t="shared" si="13"/>
        <v>0</v>
      </c>
      <c r="J130" s="18">
        <f t="shared" si="14"/>
        <v>0</v>
      </c>
      <c r="K130" s="18">
        <f t="shared" si="15"/>
        <v>0</v>
      </c>
      <c r="L130" s="18">
        <f t="shared" si="9"/>
        <v>40.090000000000003</v>
      </c>
      <c r="M130" s="18">
        <f t="shared" si="17"/>
        <v>0</v>
      </c>
      <c r="N130" s="18">
        <f t="shared" si="10"/>
        <v>40.090000000000003</v>
      </c>
      <c r="O130" s="8"/>
    </row>
    <row r="131" spans="1:15">
      <c r="A131" s="1" t="s">
        <v>121</v>
      </c>
      <c r="B131" s="11" t="s">
        <v>138</v>
      </c>
      <c r="C131" s="11">
        <v>0</v>
      </c>
      <c r="D131" s="11">
        <v>0</v>
      </c>
      <c r="E131" s="11">
        <v>0</v>
      </c>
      <c r="F131" s="83">
        <f>Table21623[[#This Row],[Usage]]</f>
        <v>0</v>
      </c>
      <c r="G131" s="17">
        <f t="shared" si="11"/>
        <v>11.79</v>
      </c>
      <c r="H131" s="17">
        <f t="shared" si="12"/>
        <v>0</v>
      </c>
      <c r="I131" s="17">
        <f t="shared" si="13"/>
        <v>0</v>
      </c>
      <c r="J131" s="18">
        <f t="shared" si="14"/>
        <v>0</v>
      </c>
      <c r="K131" s="18">
        <f t="shared" si="15"/>
        <v>0</v>
      </c>
      <c r="L131" s="18">
        <f t="shared" si="9"/>
        <v>11.79</v>
      </c>
      <c r="M131" s="18">
        <f t="shared" si="17"/>
        <v>0</v>
      </c>
      <c r="N131" s="18">
        <f t="shared" si="10"/>
        <v>11.79</v>
      </c>
      <c r="O131" s="8"/>
    </row>
    <row r="132" spans="1:15">
      <c r="A132" s="1" t="s">
        <v>122</v>
      </c>
      <c r="B132" s="11"/>
      <c r="C132" s="11">
        <v>1297000</v>
      </c>
      <c r="D132" s="11">
        <v>1297000</v>
      </c>
      <c r="E132" s="11">
        <v>0</v>
      </c>
      <c r="F132" s="83">
        <f>Table21623[[#This Row],[Usage]]</f>
        <v>12000</v>
      </c>
      <c r="G132" s="17">
        <f t="shared" si="11"/>
        <v>40.090000000000003</v>
      </c>
      <c r="H132" s="17">
        <f t="shared" si="12"/>
        <v>4.3600000000000003</v>
      </c>
      <c r="I132" s="17">
        <f t="shared" si="13"/>
        <v>0</v>
      </c>
      <c r="J132" s="18">
        <f t="shared" si="14"/>
        <v>0</v>
      </c>
      <c r="K132" s="18">
        <f t="shared" si="15"/>
        <v>0</v>
      </c>
      <c r="L132" s="18">
        <f t="shared" si="9"/>
        <v>44.45</v>
      </c>
      <c r="M132" s="18">
        <f t="shared" si="17"/>
        <v>0</v>
      </c>
      <c r="N132" s="18">
        <f t="shared" si="10"/>
        <v>44.45</v>
      </c>
      <c r="O132" s="8"/>
    </row>
    <row r="133" spans="1:15">
      <c r="A133" s="1" t="s">
        <v>123</v>
      </c>
      <c r="B133" s="11" t="s">
        <v>138</v>
      </c>
      <c r="C133" s="11">
        <v>0</v>
      </c>
      <c r="D133" s="11">
        <v>0</v>
      </c>
      <c r="E133" s="11">
        <v>0</v>
      </c>
      <c r="F133" s="83">
        <f>Table21623[[#This Row],[Usage]]</f>
        <v>0</v>
      </c>
      <c r="G133" s="17">
        <f t="shared" si="11"/>
        <v>11.79</v>
      </c>
      <c r="H133" s="17">
        <f t="shared" si="12"/>
        <v>0</v>
      </c>
      <c r="I133" s="17">
        <f t="shared" si="13"/>
        <v>0</v>
      </c>
      <c r="J133" s="18">
        <f t="shared" si="14"/>
        <v>0</v>
      </c>
      <c r="K133" s="18">
        <f t="shared" si="15"/>
        <v>0</v>
      </c>
      <c r="L133" s="18">
        <f t="shared" si="9"/>
        <v>11.79</v>
      </c>
      <c r="M133" s="18">
        <f t="shared" si="17"/>
        <v>0</v>
      </c>
      <c r="N133" s="18">
        <f t="shared" si="10"/>
        <v>11.79</v>
      </c>
      <c r="O133" s="8"/>
    </row>
    <row r="134" spans="1:15">
      <c r="A134" s="1" t="s">
        <v>124</v>
      </c>
      <c r="B134" s="11" t="s">
        <v>138</v>
      </c>
      <c r="C134" s="11">
        <v>0</v>
      </c>
      <c r="D134" s="11">
        <v>0</v>
      </c>
      <c r="E134" s="11">
        <v>0</v>
      </c>
      <c r="F134" s="83">
        <f>Table21623[[#This Row],[Usage]]</f>
        <v>0</v>
      </c>
      <c r="G134" s="17">
        <f t="shared" si="11"/>
        <v>11.79</v>
      </c>
      <c r="H134" s="17">
        <f t="shared" si="12"/>
        <v>0</v>
      </c>
      <c r="I134" s="17">
        <f t="shared" si="13"/>
        <v>0</v>
      </c>
      <c r="J134" s="18">
        <f t="shared" si="14"/>
        <v>0</v>
      </c>
      <c r="K134" s="18">
        <f t="shared" si="15"/>
        <v>0</v>
      </c>
      <c r="L134" s="18">
        <f t="shared" si="9"/>
        <v>11.79</v>
      </c>
      <c r="M134" s="18">
        <f t="shared" si="17"/>
        <v>0</v>
      </c>
      <c r="N134" s="18">
        <f t="shared" si="10"/>
        <v>11.79</v>
      </c>
      <c r="O134" s="8"/>
    </row>
    <row r="135" spans="1:15">
      <c r="A135" s="1" t="s">
        <v>125</v>
      </c>
      <c r="B135" s="11" t="s">
        <v>138</v>
      </c>
      <c r="C135" s="11">
        <v>0</v>
      </c>
      <c r="D135" s="11">
        <v>0</v>
      </c>
      <c r="E135" s="11">
        <v>0</v>
      </c>
      <c r="F135" s="83">
        <f>Table21623[[#This Row],[Usage]]</f>
        <v>0</v>
      </c>
      <c r="G135" s="17">
        <f t="shared" si="11"/>
        <v>11.79</v>
      </c>
      <c r="H135" s="17">
        <f t="shared" si="12"/>
        <v>0</v>
      </c>
      <c r="I135" s="17">
        <f t="shared" si="13"/>
        <v>0</v>
      </c>
      <c r="J135" s="18">
        <f t="shared" si="14"/>
        <v>0</v>
      </c>
      <c r="K135" s="18">
        <f t="shared" si="15"/>
        <v>0</v>
      </c>
      <c r="L135" s="18">
        <f t="shared" si="9"/>
        <v>11.79</v>
      </c>
      <c r="M135" s="18">
        <f t="shared" si="17"/>
        <v>0</v>
      </c>
      <c r="N135" s="18">
        <f t="shared" si="10"/>
        <v>11.79</v>
      </c>
      <c r="O135" s="8"/>
    </row>
    <row r="136" spans="1:15">
      <c r="A136" s="1" t="s">
        <v>126</v>
      </c>
      <c r="B136" s="11"/>
      <c r="C136" s="11">
        <v>1003000</v>
      </c>
      <c r="D136" s="11">
        <v>1003000</v>
      </c>
      <c r="E136" s="11">
        <v>0</v>
      </c>
      <c r="F136" s="83">
        <f>Table21623[[#This Row],[Usage]]</f>
        <v>13000</v>
      </c>
      <c r="G136" s="17">
        <f t="shared" si="11"/>
        <v>40.090000000000003</v>
      </c>
      <c r="H136" s="17">
        <f t="shared" si="12"/>
        <v>6.5400000000000009</v>
      </c>
      <c r="I136" s="17">
        <f t="shared" si="13"/>
        <v>0</v>
      </c>
      <c r="J136" s="18">
        <f t="shared" si="14"/>
        <v>0</v>
      </c>
      <c r="K136" s="18">
        <f t="shared" si="15"/>
        <v>0</v>
      </c>
      <c r="L136" s="18">
        <f t="shared" si="9"/>
        <v>46.63</v>
      </c>
      <c r="M136" s="18">
        <f t="shared" si="17"/>
        <v>0</v>
      </c>
      <c r="N136" s="18">
        <f t="shared" si="10"/>
        <v>46.63</v>
      </c>
      <c r="O136" s="8"/>
    </row>
    <row r="137" spans="1:15">
      <c r="B137" s="11"/>
      <c r="C137" s="11"/>
      <c r="D137" s="83">
        <f>SUM(Table24[December])</f>
        <v>236682000</v>
      </c>
      <c r="E137" s="11"/>
      <c r="F137" s="11"/>
      <c r="G137" s="85"/>
      <c r="H137" s="85"/>
      <c r="I137" s="85"/>
      <c r="J137" s="85"/>
      <c r="K137" s="85"/>
      <c r="L137" s="85"/>
      <c r="M137" s="85"/>
      <c r="N137" s="85"/>
    </row>
    <row r="138" spans="1:15">
      <c r="J138" s="1" t="s">
        <v>136</v>
      </c>
      <c r="M138" s="27">
        <f>SUM(M11:M136)</f>
        <v>0</v>
      </c>
      <c r="N138" s="5">
        <f>SUM(N11:N136)</f>
        <v>4972.3200000000061</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18">SUM(F11:F136)</f>
        <v>937000</v>
      </c>
      <c r="G140" s="75">
        <f t="shared" si="18"/>
        <v>4196.7500000000045</v>
      </c>
      <c r="H140" s="75">
        <f t="shared" si="18"/>
        <v>358.01000000000016</v>
      </c>
      <c r="I140" s="75">
        <f t="shared" si="18"/>
        <v>101.19999999999999</v>
      </c>
      <c r="J140" s="75">
        <f t="shared" si="18"/>
        <v>118</v>
      </c>
      <c r="K140" s="75">
        <f t="shared" si="18"/>
        <v>198.36</v>
      </c>
      <c r="L140" s="75">
        <f t="shared" si="18"/>
        <v>4972.3200000000061</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0</v>
      </c>
      <c r="G143" s="25">
        <f>SUM(G18:G130)-G145</f>
        <v>3287.3800000000028</v>
      </c>
      <c r="H143" s="80">
        <f>SUM(H18:H130)-H145</f>
        <v>100.28000000000002</v>
      </c>
      <c r="I143" s="25">
        <f>SUM(I18:I130)-I145</f>
        <v>0</v>
      </c>
      <c r="J143" s="25">
        <f>SUM(J18:J130)-J145</f>
        <v>0</v>
      </c>
      <c r="K143" s="25">
        <f>SUM(K18:K130)-K145</f>
        <v>0</v>
      </c>
      <c r="L143" s="25">
        <f>SUM(F143:K143)</f>
        <v>3387.660000000003</v>
      </c>
      <c r="M143" s="1"/>
    </row>
    <row r="144" spans="1:15" customFormat="1">
      <c r="A144" t="s">
        <v>255</v>
      </c>
      <c r="D144">
        <v>8</v>
      </c>
      <c r="E144" s="25">
        <f>SUM(M11:M15)+M17+SUM(M131:M136)</f>
        <v>0</v>
      </c>
      <c r="G144" s="34">
        <f>SUM(G11:G15)+G17+G132+G136</f>
        <v>320.72000000000003</v>
      </c>
      <c r="H144" s="34">
        <f>SUM(H11:H15)+H17+H132+H136</f>
        <v>104.64000000000001</v>
      </c>
      <c r="I144" s="34">
        <f>SUM(I11:I15)+I17+I132+I136</f>
        <v>101.19999999999999</v>
      </c>
      <c r="J144" s="34">
        <f>SUM(J11:J15)+J17+J132+J136</f>
        <v>118</v>
      </c>
      <c r="K144" s="34">
        <f>SUM(K11:K15)+K17+K132+K136</f>
        <v>198.36</v>
      </c>
      <c r="L144" s="25">
        <f t="shared" ref="L144:L147" si="19">SUM(F144:K144)</f>
        <v>842.92</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19"/>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19"/>
        <v>47.16</v>
      </c>
      <c r="M146" s="1"/>
    </row>
    <row r="147" spans="1:13" customFormat="1">
      <c r="A147" t="s">
        <v>253</v>
      </c>
      <c r="D147">
        <v>1</v>
      </c>
      <c r="E147" s="25">
        <f>M16</f>
        <v>0</v>
      </c>
      <c r="G147" s="25">
        <f>G16</f>
        <v>176</v>
      </c>
      <c r="H147" s="25">
        <f>H16</f>
        <v>153.09</v>
      </c>
      <c r="I147" s="25">
        <f>I16</f>
        <v>0</v>
      </c>
      <c r="J147" s="25">
        <f>J16</f>
        <v>0</v>
      </c>
      <c r="K147" s="25">
        <f>K16</f>
        <v>0</v>
      </c>
      <c r="L147" s="25">
        <f t="shared" si="19"/>
        <v>329.09000000000003</v>
      </c>
      <c r="M147" s="1"/>
    </row>
    <row r="148" spans="1:13" customFormat="1" ht="15.75" thickBot="1">
      <c r="B148" t="s">
        <v>257</v>
      </c>
      <c r="D148" s="73">
        <f>SUM(D143:D147)</f>
        <v>126</v>
      </c>
      <c r="E148" s="74">
        <f>SUM(E143:E147)</f>
        <v>0</v>
      </c>
      <c r="F148" s="73"/>
      <c r="G148" s="74">
        <f t="shared" ref="G148:L148" si="20">SUM(G143:G147)</f>
        <v>4196.7500000000036</v>
      </c>
      <c r="H148" s="74">
        <f t="shared" si="20"/>
        <v>358.01</v>
      </c>
      <c r="I148" s="74">
        <f t="shared" si="20"/>
        <v>101.19999999999999</v>
      </c>
      <c r="J148" s="74">
        <f t="shared" si="20"/>
        <v>118</v>
      </c>
      <c r="K148" s="74">
        <f t="shared" si="20"/>
        <v>198.36</v>
      </c>
      <c r="L148" s="74">
        <f t="shared" si="20"/>
        <v>4972.3200000000024</v>
      </c>
      <c r="M148" s="1"/>
    </row>
    <row r="149" spans="1:13" customFormat="1" ht="15.75" thickTop="1">
      <c r="D149" s="78"/>
      <c r="E149" s="78"/>
      <c r="F149" s="78"/>
      <c r="G149" s="79"/>
      <c r="H149" s="79"/>
      <c r="I149" s="79"/>
      <c r="J149" s="79"/>
      <c r="K149" s="79"/>
      <c r="L149" s="79"/>
      <c r="M149" s="1"/>
    </row>
    <row r="150" spans="1:13" customFormat="1">
      <c r="A150" t="s">
        <v>262</v>
      </c>
      <c r="D150" s="75"/>
      <c r="E150" s="81">
        <v>0</v>
      </c>
      <c r="F150" s="75"/>
      <c r="G150" s="81">
        <f>F140-G151-G152-(SUM(H153:K153))</f>
        <v>454000</v>
      </c>
      <c r="H150" s="81">
        <f>H143/2.18*1000</f>
        <v>46000.000000000007</v>
      </c>
      <c r="I150" s="81">
        <f>I143/2.53*1000</f>
        <v>0</v>
      </c>
      <c r="J150" s="81">
        <f>J143/2.95*1000</f>
        <v>0</v>
      </c>
      <c r="K150" s="81">
        <f>K143/3.42*1000</f>
        <v>0</v>
      </c>
      <c r="L150" s="81">
        <f>SUM(G150:K150)</f>
        <v>500000</v>
      </c>
      <c r="M150" s="1"/>
    </row>
    <row r="151" spans="1:13" customFormat="1">
      <c r="A151" t="s">
        <v>263</v>
      </c>
      <c r="D151" s="75"/>
      <c r="E151" s="81">
        <v>0</v>
      </c>
      <c r="F151" s="75"/>
      <c r="G151" s="81">
        <f>(SUM(F11:F15)+F17+SUM(F131:F136)-H151-I151-J151-K151)</f>
        <v>70000</v>
      </c>
      <c r="H151" s="81">
        <f>H144/2.18*1000</f>
        <v>48000</v>
      </c>
      <c r="I151" s="81">
        <f>I144/2.53*1000</f>
        <v>40000</v>
      </c>
      <c r="J151" s="81">
        <f>J144/2.95*1000</f>
        <v>40000</v>
      </c>
      <c r="K151" s="81">
        <f>K144/3.42*1000</f>
        <v>58000.000000000007</v>
      </c>
      <c r="L151" s="81">
        <f>SUM(G151:K151)</f>
        <v>256000</v>
      </c>
      <c r="M151" s="1"/>
    </row>
    <row r="152" spans="1:13" customFormat="1">
      <c r="A152" t="s">
        <v>264</v>
      </c>
      <c r="D152" s="75"/>
      <c r="E152" s="81">
        <v>0</v>
      </c>
      <c r="F152" s="75"/>
      <c r="G152" s="81">
        <f>IF(F16&gt;100000,100000,F16)</f>
        <v>100000</v>
      </c>
      <c r="H152" s="81">
        <f>H147/1.89*1000</f>
        <v>81000</v>
      </c>
      <c r="I152" s="81" t="s">
        <v>259</v>
      </c>
      <c r="J152" s="81" t="s">
        <v>259</v>
      </c>
      <c r="K152" s="81" t="s">
        <v>259</v>
      </c>
      <c r="L152" s="81">
        <f>SUM(G152:K152)</f>
        <v>181000</v>
      </c>
      <c r="M152" s="1"/>
    </row>
    <row r="153" spans="1:13" customFormat="1" ht="15.75" thickBot="1">
      <c r="B153" t="s">
        <v>265</v>
      </c>
      <c r="D153" s="77"/>
      <c r="E153" s="82">
        <f>SUM(E150:E152)</f>
        <v>0</v>
      </c>
      <c r="F153" s="77"/>
      <c r="G153" s="82">
        <f>G150+G151+G152</f>
        <v>624000</v>
      </c>
      <c r="H153" s="82">
        <f>SUM(H150:H152)</f>
        <v>175000</v>
      </c>
      <c r="I153" s="82">
        <f>SUM(I150:I152)</f>
        <v>40000</v>
      </c>
      <c r="J153" s="82">
        <f>SUM(J150:J152)</f>
        <v>40000</v>
      </c>
      <c r="K153" s="82">
        <f>SUM(K150:K152)</f>
        <v>58000.000000000007</v>
      </c>
      <c r="L153" s="82">
        <f>SUM(L150:L152)</f>
        <v>937000</v>
      </c>
      <c r="M153" s="1"/>
    </row>
    <row r="154" spans="1:13" ht="15.75" thickTop="1">
      <c r="E154" s="1" t="s">
        <v>274</v>
      </c>
    </row>
    <row r="155" spans="1:13">
      <c r="E155" s="75" t="s">
        <v>275</v>
      </c>
    </row>
    <row r="156" spans="1:13">
      <c r="E156" s="75" t="s">
        <v>273</v>
      </c>
    </row>
    <row r="157" spans="1:13">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19.xml><?xml version="1.0" encoding="utf-8"?>
<worksheet xmlns="http://schemas.openxmlformats.org/spreadsheetml/2006/main" xmlns:r="http://schemas.openxmlformats.org/officeDocument/2006/relationships">
  <sheetPr>
    <pageSetUpPr fitToPage="1"/>
  </sheetPr>
  <dimension ref="A1:O157"/>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23">
        <v>40909</v>
      </c>
      <c r="D4" s="1" t="s">
        <v>146</v>
      </c>
      <c r="G4" s="1" t="s">
        <v>156</v>
      </c>
      <c r="K4" s="1" t="s">
        <v>149</v>
      </c>
      <c r="N4" s="1">
        <f>SUM(F11:F136)</f>
        <v>0</v>
      </c>
    </row>
    <row r="5" spans="1:15">
      <c r="A5" s="1" t="s">
        <v>165</v>
      </c>
      <c r="B5" s="24" t="s">
        <v>179</v>
      </c>
      <c r="D5" s="1" t="s">
        <v>144</v>
      </c>
      <c r="G5" s="1" t="s">
        <v>155</v>
      </c>
      <c r="H5" s="1">
        <v>0</v>
      </c>
      <c r="K5" s="1" t="s">
        <v>154</v>
      </c>
      <c r="N5" s="1">
        <f>N4-F16</f>
        <v>0</v>
      </c>
    </row>
    <row r="6" spans="1:15">
      <c r="B6" s="4"/>
      <c r="D6" s="1" t="s">
        <v>145</v>
      </c>
      <c r="G6" s="1" t="s">
        <v>158</v>
      </c>
      <c r="H6" s="1">
        <v>35000</v>
      </c>
      <c r="K6" s="1" t="s">
        <v>160</v>
      </c>
      <c r="N6" s="1">
        <f>SUMIF(F11:F15,"&gt;" &amp; $H$6)+SUMIF(F17:F136,"&gt;" &amp; $H$6)+SUMIF(F16,"&gt;" &amp; $H$7)</f>
        <v>0</v>
      </c>
    </row>
    <row r="7" spans="1:15">
      <c r="B7" s="4"/>
      <c r="D7" s="1" t="s">
        <v>150</v>
      </c>
      <c r="E7" s="12">
        <f>E6-E5</f>
        <v>0</v>
      </c>
      <c r="G7" s="1" t="s">
        <v>159</v>
      </c>
      <c r="H7" s="12">
        <v>100000</v>
      </c>
      <c r="K7" s="1" t="s">
        <v>161</v>
      </c>
      <c r="N7" s="1">
        <f>(SUMIF(F11:F15,"&gt;" &amp; $H$6)-(COUNTIF(F11:F15,"&gt;" &amp; $H$6)*$H$6))+(SUMIF(F17:F136,"&gt;" &amp; $H$6)-(COUNTIF(F17:F136,"&gt;" &amp; $H$6)*$H$6))+(SUMIF(F16,"&gt;" &amp; $H$7)-(COUNTIF(F16,"&gt;" &amp; $H$7)*$H$7))</f>
        <v>0</v>
      </c>
    </row>
    <row r="8" spans="1:15">
      <c r="D8" s="1" t="s">
        <v>147</v>
      </c>
      <c r="E8" s="25">
        <v>0</v>
      </c>
      <c r="H8" s="6"/>
    </row>
    <row r="10" spans="1:15">
      <c r="A10" s="7" t="s">
        <v>0</v>
      </c>
      <c r="B10" s="10" t="s">
        <v>137</v>
      </c>
      <c r="C10" s="13" t="s">
        <v>177</v>
      </c>
      <c r="D10" s="26" t="s">
        <v>180</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7771000</v>
      </c>
      <c r="D11" s="11">
        <v>7771000</v>
      </c>
      <c r="E11" s="11">
        <v>0</v>
      </c>
      <c r="F11" s="11">
        <f t="shared" ref="F11:F74" si="0">($D11-$C11)+$E11</f>
        <v>0</v>
      </c>
      <c r="G11" s="17">
        <f>IF(OR($F11&gt;0,$B11=""),40.09,11.79)</f>
        <v>40.090000000000003</v>
      </c>
      <c r="H11" s="17">
        <f>IF(AND((($F11-10000)&gt;=0),(($F11-10000)&lt;= 10000)),($F11-10000)/1000*2.18,IF(($F11-10000)&gt;=10000,2.18*10,0))</f>
        <v>0</v>
      </c>
      <c r="I11" s="17">
        <f>IF(AND((($F11-20000)&gt;=0),(($F11-20000)&lt;=10000)),($F11-20000)/1000*2.53,IF(($F11-20000)&gt;=10000,2.53*10,0))</f>
        <v>0</v>
      </c>
      <c r="J11" s="18">
        <f>IF(AND((($F11-30000)&gt;=0),(($F11-30000)&lt;=10000)),($F11-30000)/1000*2.95,IF(($F11-30000)&gt;=10000,2.95*10,0))</f>
        <v>0</v>
      </c>
      <c r="K11" s="18">
        <f>IF((($F11-40000)&gt;=0),($F11-40000)/1000*3.42,0)</f>
        <v>0</v>
      </c>
      <c r="L11" s="18">
        <f>SUM(G11:K11)</f>
        <v>40.090000000000003</v>
      </c>
      <c r="M11" s="18">
        <f>IF(   $H$5=1,    IF((F11-$H$6)&gt;0,((F11-$H$6)/$N$7)*$E$8,0),   IF(F11&gt;0,(F11/$N$4)*$E$8,0)    )</f>
        <v>0</v>
      </c>
      <c r="N11" s="18">
        <f>SUM(L11:M11)</f>
        <v>40.090000000000003</v>
      </c>
      <c r="O11" s="8"/>
    </row>
    <row r="12" spans="1:15">
      <c r="A12" s="1" t="s">
        <v>2</v>
      </c>
      <c r="B12" s="11"/>
      <c r="C12" s="11">
        <v>6677000</v>
      </c>
      <c r="D12" s="11">
        <v>6677000</v>
      </c>
      <c r="E12" s="11">
        <v>0</v>
      </c>
      <c r="F12" s="11">
        <f t="shared" si="0"/>
        <v>0</v>
      </c>
      <c r="G12" s="17">
        <f>IF(OR($F12&gt;0,$B12=""),40.09,11.79)</f>
        <v>40.090000000000003</v>
      </c>
      <c r="H12" s="17">
        <f>IF(AND((($F12-10000)&gt;=0),(($F12-10000)&lt;= 10000)),($F12-10000)/1000*2.18,IF(($F12-10000)&gt;=10000,2.18*10,0))</f>
        <v>0</v>
      </c>
      <c r="I12" s="17">
        <f>IF(AND((($F12-20000)&gt;=0),(($F12-20000)&lt;=10000)),($F12-20000)/1000*2.53,IF(($F12-20000)&gt;=10000,2.53*10,0))</f>
        <v>0</v>
      </c>
      <c r="J12" s="18">
        <f>IF(AND((($F12-30000)&gt;=0),(($F12-30000)&lt;=10000)),($F12-30000)/1000*2.95,IF(($F12-30000)&gt;=10000,2.95*10,0))</f>
        <v>0</v>
      </c>
      <c r="K12" s="18">
        <f>IF((($F12-40000)&gt;=0),($F12-40000)/1000*3.42,0)</f>
        <v>0</v>
      </c>
      <c r="L12" s="18">
        <f t="shared" ref="L12:L75" si="1">SUM(G12:K12)</f>
        <v>40.090000000000003</v>
      </c>
      <c r="M12" s="18">
        <f>IF(   $H$5=1,    IF((F12-$H$6)&gt;0,((F12-$H$6)/$N$7)*$E$8,0),   IF(F12&gt;0,(F12/$N$4)*$E$8,0)    )</f>
        <v>0</v>
      </c>
      <c r="N12" s="18">
        <f t="shared" ref="N12:N75" si="2">SUM(L12:M12)</f>
        <v>40.090000000000003</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3358000</v>
      </c>
      <c r="D14" s="11">
        <v>3358000</v>
      </c>
      <c r="E14" s="11">
        <v>0</v>
      </c>
      <c r="F14" s="11">
        <f t="shared" si="0"/>
        <v>0</v>
      </c>
      <c r="G14" s="17">
        <f>IF(OR($F14&gt;0,$B14=""),40.09,11.79)</f>
        <v>40.090000000000003</v>
      </c>
      <c r="H14" s="17">
        <f>IF(AND((($F14-10000)&gt;=0),(($F14-10000)&lt;= 10000)),($F14-10000)/1000*2.18,IF(($F14-10000)&gt;=10000,2.18*10,0))</f>
        <v>0</v>
      </c>
      <c r="I14" s="17">
        <f>IF(AND((($F14-20000)&gt;=0),(($F14-20000)&lt;=10000)),($F14-20000)/1000*2.53,IF(($F14-20000)&gt;=10000,2.53*10,0))</f>
        <v>0</v>
      </c>
      <c r="J14" s="18">
        <f>IF(AND((($F14-30000)&gt;=0),(($F14-30000)&lt;=10000)),($F14-30000)/1000*2.95,IF(($F14-30000)&gt;=10000,2.95*10,0))</f>
        <v>0</v>
      </c>
      <c r="K14" s="18">
        <f>IF((($F14-40000)&gt;=0),($F14-40000)/1000*3.42,0)</f>
        <v>0</v>
      </c>
      <c r="L14" s="18">
        <f t="shared" si="1"/>
        <v>40.090000000000003</v>
      </c>
      <c r="M14" s="18">
        <f>IF(   $H$5=1,    IF((F14-$H$6)&gt;0,((F14-$H$6)/$N$7)*$E$8,0),   IF(F14&gt;0,(F14/$N$4)*$E$8,0)    )</f>
        <v>0</v>
      </c>
      <c r="N14" s="18">
        <f t="shared" si="2"/>
        <v>40.090000000000003</v>
      </c>
      <c r="O14" s="8"/>
    </row>
    <row r="15" spans="1:15">
      <c r="A15" s="1" t="s">
        <v>5</v>
      </c>
      <c r="B15" s="11"/>
      <c r="C15" s="11">
        <v>2280000</v>
      </c>
      <c r="D15" s="11">
        <v>2280000</v>
      </c>
      <c r="E15" s="11">
        <v>0</v>
      </c>
      <c r="F15" s="11">
        <f t="shared" si="0"/>
        <v>0</v>
      </c>
      <c r="G15" s="17">
        <f>IF(OR($F15&gt;0,$B15=""),40.09,11.79)</f>
        <v>40.090000000000003</v>
      </c>
      <c r="H15" s="17">
        <f>IF(AND((($F15-10000)&gt;=0),(($F15-10000)&lt;= 10000)),($F15-10000)/1000*2.18,IF(($F15-10000)&gt;=10000,2.18*10,0))</f>
        <v>0</v>
      </c>
      <c r="I15" s="17">
        <f>IF(AND((($F15-20000)&gt;=0),(($F15-20000)&lt;=10000)),($F15-20000)/1000*2.53,IF(($F15-20000)&gt;=10000,2.53*10,0))</f>
        <v>0</v>
      </c>
      <c r="J15" s="18">
        <f>IF(AND((($F15-30000)&gt;=0),(($F15-30000)&lt;=10000)),($F15-30000)/1000*2.95,IF(($F15-30000)&gt;=10000,2.95*10,0))</f>
        <v>0</v>
      </c>
      <c r="K15" s="18">
        <f>IF((($F15-40000)&gt;=0),($F15-40000)/1000*3.42,0)</f>
        <v>0</v>
      </c>
      <c r="L15" s="18">
        <f t="shared" si="1"/>
        <v>40.090000000000003</v>
      </c>
      <c r="M15" s="18">
        <f>IF(   $H$5=1,    IF((F15-$H$6)&gt;0,((F15-$H$6)/$N$7)*$E$8,0),   IF(F15&gt;0,(F15/$N$4)*$E$8,0)    )</f>
        <v>0</v>
      </c>
      <c r="N15" s="18">
        <f t="shared" si="2"/>
        <v>40.090000000000003</v>
      </c>
      <c r="O15" s="8"/>
    </row>
    <row r="16" spans="1:15">
      <c r="A16" s="1" t="s">
        <v>6</v>
      </c>
      <c r="B16" s="11"/>
      <c r="C16" s="11">
        <v>25128000</v>
      </c>
      <c r="D16" s="11">
        <v>25128000</v>
      </c>
      <c r="E16" s="11">
        <v>0</v>
      </c>
      <c r="F16" s="11">
        <f t="shared" si="0"/>
        <v>0</v>
      </c>
      <c r="G16" s="17">
        <v>176</v>
      </c>
      <c r="H16" s="17">
        <f>IF(($F16-100000)&gt;=0,($F16-100000)/1000*1.89,0)</f>
        <v>0</v>
      </c>
      <c r="I16" s="17"/>
      <c r="J16" s="18"/>
      <c r="K16" s="18"/>
      <c r="L16" s="18">
        <f t="shared" si="1"/>
        <v>176</v>
      </c>
      <c r="M16" s="18">
        <f>IF(   $H$5=1,     IF((F16-$H$7)&gt;0,((F16-$H$7)/$N$7)*$E$8,0),   IF(F16&gt;0,(F16/$N$4)*$E$8,0)    )</f>
        <v>0</v>
      </c>
      <c r="N16" s="18">
        <f t="shared" si="2"/>
        <v>176</v>
      </c>
      <c r="O16" s="8" t="s">
        <v>133</v>
      </c>
    </row>
    <row r="17" spans="1:15">
      <c r="A17" s="1" t="s">
        <v>7</v>
      </c>
      <c r="B17" s="11"/>
      <c r="C17" s="11">
        <v>550000</v>
      </c>
      <c r="D17" s="11">
        <v>550000</v>
      </c>
      <c r="E17" s="11">
        <v>0</v>
      </c>
      <c r="F17" s="11">
        <f t="shared" si="0"/>
        <v>0</v>
      </c>
      <c r="G17" s="17">
        <f t="shared" ref="G17:G80" si="3">IF(OR($F17&gt;0,$B17=""),40.09,11.79)</f>
        <v>40.090000000000003</v>
      </c>
      <c r="H17" s="17">
        <f t="shared" ref="H17:H80" si="4">IF(AND((($F17-10000)&gt;=0),(($F17-10000)&lt;= 10000)),($F17-10000)/1000*2.18,IF(($F17-10000)&gt;=10000,2.18*10,0))</f>
        <v>0</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40.090000000000003</v>
      </c>
      <c r="M17" s="18">
        <f t="shared" ref="M17:M48" si="8">IF(   $H$5=1,    IF((F17-$H$6)&gt;0,((F17-$H$6)/$N$7)*$E$8,0),   IF(F17&gt;0,(F17/$N$4)*$E$8,0)    )</f>
        <v>0</v>
      </c>
      <c r="N17" s="18">
        <f t="shared" si="2"/>
        <v>40.090000000000003</v>
      </c>
      <c r="O17" s="8"/>
    </row>
    <row r="18" spans="1:15">
      <c r="A18" s="1" t="s">
        <v>8</v>
      </c>
      <c r="B18" s="11"/>
      <c r="C18" s="11">
        <v>2218000</v>
      </c>
      <c r="D18" s="11">
        <v>2218000</v>
      </c>
      <c r="E18" s="11">
        <v>0</v>
      </c>
      <c r="F18" s="11">
        <f t="shared" si="0"/>
        <v>0</v>
      </c>
      <c r="G18" s="17">
        <f t="shared" si="3"/>
        <v>40.090000000000003</v>
      </c>
      <c r="H18" s="17">
        <f t="shared" si="4"/>
        <v>0</v>
      </c>
      <c r="I18" s="17">
        <f t="shared" si="5"/>
        <v>0</v>
      </c>
      <c r="J18" s="18">
        <f t="shared" si="6"/>
        <v>0</v>
      </c>
      <c r="K18" s="18">
        <f t="shared" si="7"/>
        <v>0</v>
      </c>
      <c r="L18" s="18">
        <f t="shared" si="1"/>
        <v>40.090000000000003</v>
      </c>
      <c r="M18" s="18">
        <f t="shared" si="8"/>
        <v>0</v>
      </c>
      <c r="N18" s="18">
        <f t="shared" si="2"/>
        <v>40.090000000000003</v>
      </c>
      <c r="O18" s="8" t="s">
        <v>174</v>
      </c>
    </row>
    <row r="19" spans="1:15">
      <c r="A19" s="1" t="s">
        <v>9</v>
      </c>
      <c r="B19" s="11"/>
      <c r="C19" s="11">
        <v>227000</v>
      </c>
      <c r="D19" s="11">
        <v>227000</v>
      </c>
      <c r="E19" s="11">
        <v>0</v>
      </c>
      <c r="F19" s="11">
        <f t="shared" si="0"/>
        <v>0</v>
      </c>
      <c r="G19" s="17">
        <f t="shared" si="3"/>
        <v>40.090000000000003</v>
      </c>
      <c r="H19" s="17">
        <f t="shared" si="4"/>
        <v>0</v>
      </c>
      <c r="I19" s="17">
        <f t="shared" si="5"/>
        <v>0</v>
      </c>
      <c r="J19" s="18">
        <f t="shared" si="6"/>
        <v>0</v>
      </c>
      <c r="K19" s="18">
        <f t="shared" si="7"/>
        <v>0</v>
      </c>
      <c r="L19" s="18">
        <f t="shared" si="1"/>
        <v>40.090000000000003</v>
      </c>
      <c r="M19" s="18">
        <f t="shared" si="8"/>
        <v>0</v>
      </c>
      <c r="N19" s="18">
        <f t="shared" si="2"/>
        <v>40.090000000000003</v>
      </c>
      <c r="O19" s="8"/>
    </row>
    <row r="20" spans="1:15">
      <c r="A20" s="1" t="s">
        <v>10</v>
      </c>
      <c r="B20" s="11"/>
      <c r="C20" s="11">
        <v>1529000</v>
      </c>
      <c r="D20" s="11">
        <v>1529000</v>
      </c>
      <c r="E20" s="11">
        <v>0</v>
      </c>
      <c r="F20" s="11">
        <f t="shared" si="0"/>
        <v>0</v>
      </c>
      <c r="G20" s="17">
        <f t="shared" si="3"/>
        <v>40.090000000000003</v>
      </c>
      <c r="H20" s="17">
        <f t="shared" si="4"/>
        <v>0</v>
      </c>
      <c r="I20" s="17">
        <f t="shared" si="5"/>
        <v>0</v>
      </c>
      <c r="J20" s="18">
        <f t="shared" si="6"/>
        <v>0</v>
      </c>
      <c r="K20" s="18">
        <f t="shared" si="7"/>
        <v>0</v>
      </c>
      <c r="L20" s="18">
        <f t="shared" si="1"/>
        <v>40.090000000000003</v>
      </c>
      <c r="M20" s="18">
        <f t="shared" si="8"/>
        <v>0</v>
      </c>
      <c r="N20" s="18">
        <f t="shared" si="2"/>
        <v>40.090000000000003</v>
      </c>
      <c r="O20" s="8"/>
    </row>
    <row r="21" spans="1:15">
      <c r="A21" s="1" t="s">
        <v>11</v>
      </c>
      <c r="B21" s="11"/>
      <c r="C21" s="11">
        <v>1980000</v>
      </c>
      <c r="D21" s="11">
        <v>1980000</v>
      </c>
      <c r="E21" s="11">
        <v>0</v>
      </c>
      <c r="F21" s="11">
        <f t="shared" si="0"/>
        <v>0</v>
      </c>
      <c r="G21" s="17">
        <f t="shared" si="3"/>
        <v>40.090000000000003</v>
      </c>
      <c r="H21" s="17">
        <f t="shared" si="4"/>
        <v>0</v>
      </c>
      <c r="I21" s="17">
        <f t="shared" si="5"/>
        <v>0</v>
      </c>
      <c r="J21" s="18">
        <f t="shared" si="6"/>
        <v>0</v>
      </c>
      <c r="K21" s="18">
        <f t="shared" si="7"/>
        <v>0</v>
      </c>
      <c r="L21" s="18">
        <f t="shared" si="1"/>
        <v>40.090000000000003</v>
      </c>
      <c r="M21" s="18">
        <f t="shared" si="8"/>
        <v>0</v>
      </c>
      <c r="N21" s="18">
        <f t="shared" si="2"/>
        <v>40.090000000000003</v>
      </c>
      <c r="O21" s="8"/>
    </row>
    <row r="22" spans="1:15">
      <c r="A22" s="1" t="s">
        <v>12</v>
      </c>
      <c r="B22" s="11"/>
      <c r="C22" s="11">
        <v>2238000</v>
      </c>
      <c r="D22" s="11">
        <v>2238000</v>
      </c>
      <c r="E22" s="11">
        <v>0</v>
      </c>
      <c r="F22" s="11">
        <f t="shared" si="0"/>
        <v>0</v>
      </c>
      <c r="G22" s="17">
        <f t="shared" si="3"/>
        <v>40.090000000000003</v>
      </c>
      <c r="H22" s="17">
        <f t="shared" si="4"/>
        <v>0</v>
      </c>
      <c r="I22" s="17">
        <f t="shared" si="5"/>
        <v>0</v>
      </c>
      <c r="J22" s="18">
        <f t="shared" si="6"/>
        <v>0</v>
      </c>
      <c r="K22" s="18">
        <f t="shared" si="7"/>
        <v>0</v>
      </c>
      <c r="L22" s="18">
        <f t="shared" si="1"/>
        <v>40.090000000000003</v>
      </c>
      <c r="M22" s="18">
        <f t="shared" si="8"/>
        <v>0</v>
      </c>
      <c r="N22" s="18">
        <f t="shared" si="2"/>
        <v>40.090000000000003</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6412000</v>
      </c>
      <c r="D24" s="11">
        <v>6412000</v>
      </c>
      <c r="E24" s="11">
        <v>0</v>
      </c>
      <c r="F24" s="11">
        <f t="shared" si="0"/>
        <v>0</v>
      </c>
      <c r="G24" s="17">
        <f t="shared" si="3"/>
        <v>40.090000000000003</v>
      </c>
      <c r="H24" s="17">
        <f t="shared" si="4"/>
        <v>0</v>
      </c>
      <c r="I24" s="17">
        <f t="shared" si="5"/>
        <v>0</v>
      </c>
      <c r="J24" s="18">
        <f t="shared" si="6"/>
        <v>0</v>
      </c>
      <c r="K24" s="18">
        <f t="shared" si="7"/>
        <v>0</v>
      </c>
      <c r="L24" s="18">
        <f t="shared" si="1"/>
        <v>40.090000000000003</v>
      </c>
      <c r="M24" s="18">
        <f t="shared" si="8"/>
        <v>0</v>
      </c>
      <c r="N24" s="18">
        <f t="shared" si="2"/>
        <v>40.090000000000003</v>
      </c>
      <c r="O24" s="8"/>
    </row>
    <row r="25" spans="1:15">
      <c r="A25" s="1" t="s">
        <v>15</v>
      </c>
      <c r="B25" s="11"/>
      <c r="C25" s="11">
        <v>2666000</v>
      </c>
      <c r="D25" s="11">
        <v>2666000</v>
      </c>
      <c r="E25" s="11">
        <v>0</v>
      </c>
      <c r="F25" s="11">
        <f t="shared" si="0"/>
        <v>0</v>
      </c>
      <c r="G25" s="17">
        <f t="shared" si="3"/>
        <v>40.090000000000003</v>
      </c>
      <c r="H25" s="17">
        <f t="shared" si="4"/>
        <v>0</v>
      </c>
      <c r="I25" s="17">
        <f t="shared" si="5"/>
        <v>0</v>
      </c>
      <c r="J25" s="18">
        <f t="shared" si="6"/>
        <v>0</v>
      </c>
      <c r="K25" s="18">
        <f>IF((($F25-40000)&gt;=0),($F25-40000)/1000*3.42,0)</f>
        <v>0</v>
      </c>
      <c r="L25" s="18">
        <f t="shared" si="1"/>
        <v>40.090000000000003</v>
      </c>
      <c r="M25" s="18">
        <f t="shared" si="8"/>
        <v>0</v>
      </c>
      <c r="N25" s="18">
        <f t="shared" si="2"/>
        <v>40.090000000000003</v>
      </c>
      <c r="O25" s="8"/>
    </row>
    <row r="26" spans="1:15">
      <c r="A26" s="1" t="s">
        <v>16</v>
      </c>
      <c r="B26" s="11"/>
      <c r="C26" s="11">
        <v>1585000</v>
      </c>
      <c r="D26" s="11">
        <v>1585000</v>
      </c>
      <c r="E26" s="11">
        <v>0</v>
      </c>
      <c r="F26" s="11">
        <f t="shared" si="0"/>
        <v>0</v>
      </c>
      <c r="G26" s="17">
        <f t="shared" si="3"/>
        <v>40.090000000000003</v>
      </c>
      <c r="H26" s="17">
        <f t="shared" si="4"/>
        <v>0</v>
      </c>
      <c r="I26" s="17">
        <f t="shared" si="5"/>
        <v>0</v>
      </c>
      <c r="J26" s="18">
        <f t="shared" si="6"/>
        <v>0</v>
      </c>
      <c r="K26" s="18">
        <f t="shared" si="7"/>
        <v>0</v>
      </c>
      <c r="L26" s="18">
        <f t="shared" si="1"/>
        <v>40.090000000000003</v>
      </c>
      <c r="M26" s="18">
        <f t="shared" si="8"/>
        <v>0</v>
      </c>
      <c r="N26" s="18">
        <f t="shared" si="2"/>
        <v>40.090000000000003</v>
      </c>
      <c r="O26" s="8"/>
    </row>
    <row r="27" spans="1:15">
      <c r="A27" s="1" t="s">
        <v>17</v>
      </c>
      <c r="B27" s="11"/>
      <c r="C27" s="11">
        <v>1176000</v>
      </c>
      <c r="D27" s="11">
        <v>1176000</v>
      </c>
      <c r="E27" s="11">
        <v>0</v>
      </c>
      <c r="F27" s="11">
        <f t="shared" si="0"/>
        <v>0</v>
      </c>
      <c r="G27" s="17">
        <f t="shared" si="3"/>
        <v>40.090000000000003</v>
      </c>
      <c r="H27" s="17">
        <f t="shared" si="4"/>
        <v>0</v>
      </c>
      <c r="I27" s="17">
        <f t="shared" si="5"/>
        <v>0</v>
      </c>
      <c r="J27" s="18">
        <f t="shared" si="6"/>
        <v>0</v>
      </c>
      <c r="K27" s="18">
        <f t="shared" si="7"/>
        <v>0</v>
      </c>
      <c r="L27" s="18">
        <f t="shared" si="1"/>
        <v>40.090000000000003</v>
      </c>
      <c r="M27" s="18">
        <f t="shared" si="8"/>
        <v>0</v>
      </c>
      <c r="N27" s="18">
        <f t="shared" si="2"/>
        <v>40.090000000000003</v>
      </c>
      <c r="O27" s="8"/>
    </row>
    <row r="28" spans="1:15">
      <c r="A28" s="1" t="s">
        <v>18</v>
      </c>
      <c r="B28" s="11"/>
      <c r="C28" s="11">
        <v>4038000</v>
      </c>
      <c r="D28" s="11">
        <v>4038000</v>
      </c>
      <c r="E28" s="11">
        <v>0</v>
      </c>
      <c r="F28" s="11">
        <f t="shared" si="0"/>
        <v>0</v>
      </c>
      <c r="G28" s="17">
        <f t="shared" si="3"/>
        <v>40.090000000000003</v>
      </c>
      <c r="H28" s="17">
        <f t="shared" si="4"/>
        <v>0</v>
      </c>
      <c r="I28" s="17">
        <f t="shared" si="5"/>
        <v>0</v>
      </c>
      <c r="J28" s="18">
        <f t="shared" si="6"/>
        <v>0</v>
      </c>
      <c r="K28" s="18">
        <f t="shared" si="7"/>
        <v>0</v>
      </c>
      <c r="L28" s="18">
        <f t="shared" si="1"/>
        <v>40.090000000000003</v>
      </c>
      <c r="M28" s="18">
        <f t="shared" si="8"/>
        <v>0</v>
      </c>
      <c r="N28" s="18">
        <f t="shared" si="2"/>
        <v>40.090000000000003</v>
      </c>
      <c r="O28" s="8"/>
    </row>
    <row r="29" spans="1:15">
      <c r="A29" s="1" t="s">
        <v>19</v>
      </c>
      <c r="B29" s="11"/>
      <c r="C29" s="11">
        <v>1169000</v>
      </c>
      <c r="D29" s="11">
        <v>1169000</v>
      </c>
      <c r="E29" s="11">
        <v>0</v>
      </c>
      <c r="F29" s="11">
        <f t="shared" si="0"/>
        <v>0</v>
      </c>
      <c r="G29" s="17">
        <f t="shared" si="3"/>
        <v>40.090000000000003</v>
      </c>
      <c r="H29" s="17">
        <f t="shared" si="4"/>
        <v>0</v>
      </c>
      <c r="I29" s="17">
        <f t="shared" si="5"/>
        <v>0</v>
      </c>
      <c r="J29" s="18">
        <f t="shared" si="6"/>
        <v>0</v>
      </c>
      <c r="K29" s="18">
        <f t="shared" si="7"/>
        <v>0</v>
      </c>
      <c r="L29" s="18">
        <f t="shared" si="1"/>
        <v>40.090000000000003</v>
      </c>
      <c r="M29" s="18">
        <f t="shared" si="8"/>
        <v>0</v>
      </c>
      <c r="N29" s="18">
        <f t="shared" si="2"/>
        <v>40.090000000000003</v>
      </c>
      <c r="O29" s="8"/>
    </row>
    <row r="30" spans="1:15">
      <c r="A30" s="1" t="s">
        <v>20</v>
      </c>
      <c r="B30" s="11"/>
      <c r="C30" s="11">
        <v>2219000</v>
      </c>
      <c r="D30" s="11">
        <v>2219000</v>
      </c>
      <c r="E30" s="11">
        <v>0</v>
      </c>
      <c r="F30" s="11">
        <f t="shared" si="0"/>
        <v>0</v>
      </c>
      <c r="G30" s="17">
        <f t="shared" si="3"/>
        <v>40.090000000000003</v>
      </c>
      <c r="H30" s="17">
        <f t="shared" si="4"/>
        <v>0</v>
      </c>
      <c r="I30" s="17">
        <f t="shared" si="5"/>
        <v>0</v>
      </c>
      <c r="J30" s="18">
        <f t="shared" si="6"/>
        <v>0</v>
      </c>
      <c r="K30" s="18">
        <f t="shared" si="7"/>
        <v>0</v>
      </c>
      <c r="L30" s="18">
        <f t="shared" si="1"/>
        <v>40.090000000000003</v>
      </c>
      <c r="M30" s="18">
        <f t="shared" si="8"/>
        <v>0</v>
      </c>
      <c r="N30" s="18">
        <f t="shared" si="2"/>
        <v>40.090000000000003</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635000</v>
      </c>
      <c r="D32" s="11">
        <v>635000</v>
      </c>
      <c r="E32" s="11">
        <v>0</v>
      </c>
      <c r="F32" s="11">
        <f t="shared" si="0"/>
        <v>0</v>
      </c>
      <c r="G32" s="17">
        <f t="shared" si="3"/>
        <v>40.090000000000003</v>
      </c>
      <c r="H32" s="17">
        <f t="shared" si="4"/>
        <v>0</v>
      </c>
      <c r="I32" s="17">
        <f t="shared" si="5"/>
        <v>0</v>
      </c>
      <c r="J32" s="18">
        <f t="shared" si="6"/>
        <v>0</v>
      </c>
      <c r="K32" s="18">
        <f t="shared" si="7"/>
        <v>0</v>
      </c>
      <c r="L32" s="18">
        <f t="shared" si="1"/>
        <v>40.090000000000003</v>
      </c>
      <c r="M32" s="18">
        <f t="shared" si="8"/>
        <v>0</v>
      </c>
      <c r="N32" s="18">
        <f t="shared" si="2"/>
        <v>40.090000000000003</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2401000</v>
      </c>
      <c r="D35" s="11">
        <v>2401000</v>
      </c>
      <c r="E35" s="11">
        <v>0</v>
      </c>
      <c r="F35" s="11">
        <f t="shared" si="0"/>
        <v>0</v>
      </c>
      <c r="G35" s="17">
        <f t="shared" si="3"/>
        <v>40.090000000000003</v>
      </c>
      <c r="H35" s="17">
        <f t="shared" si="4"/>
        <v>0</v>
      </c>
      <c r="I35" s="17">
        <f t="shared" si="5"/>
        <v>0</v>
      </c>
      <c r="J35" s="18">
        <f t="shared" si="6"/>
        <v>0</v>
      </c>
      <c r="K35" s="18">
        <f t="shared" si="7"/>
        <v>0</v>
      </c>
      <c r="L35" s="18">
        <f t="shared" si="1"/>
        <v>40.090000000000003</v>
      </c>
      <c r="M35" s="18">
        <f t="shared" si="8"/>
        <v>0</v>
      </c>
      <c r="N35" s="18">
        <f t="shared" si="2"/>
        <v>40.090000000000003</v>
      </c>
      <c r="O35" s="8"/>
    </row>
    <row r="36" spans="1:15">
      <c r="A36" s="1" t="s">
        <v>26</v>
      </c>
      <c r="B36" s="11"/>
      <c r="C36" s="11">
        <v>371000</v>
      </c>
      <c r="D36" s="11">
        <v>371000</v>
      </c>
      <c r="E36" s="11">
        <v>0</v>
      </c>
      <c r="F36" s="11">
        <f t="shared" si="0"/>
        <v>0</v>
      </c>
      <c r="G36" s="17">
        <f t="shared" si="3"/>
        <v>40.090000000000003</v>
      </c>
      <c r="H36" s="17">
        <f t="shared" si="4"/>
        <v>0</v>
      </c>
      <c r="I36" s="17">
        <f t="shared" si="5"/>
        <v>0</v>
      </c>
      <c r="J36" s="18">
        <f t="shared" si="6"/>
        <v>0</v>
      </c>
      <c r="K36" s="18">
        <f t="shared" si="7"/>
        <v>0</v>
      </c>
      <c r="L36" s="18">
        <f t="shared" si="1"/>
        <v>40.090000000000003</v>
      </c>
      <c r="M36" s="18">
        <f t="shared" si="8"/>
        <v>0</v>
      </c>
      <c r="N36" s="18">
        <f t="shared" si="2"/>
        <v>40.090000000000003</v>
      </c>
      <c r="O36" s="8"/>
    </row>
    <row r="37" spans="1:15">
      <c r="A37" s="1" t="s">
        <v>27</v>
      </c>
      <c r="B37" s="11"/>
      <c r="C37" s="11">
        <v>2135000</v>
      </c>
      <c r="D37" s="11">
        <v>2135000</v>
      </c>
      <c r="E37" s="11">
        <v>0</v>
      </c>
      <c r="F37" s="11">
        <f t="shared" si="0"/>
        <v>0</v>
      </c>
      <c r="G37" s="17">
        <f t="shared" si="3"/>
        <v>40.090000000000003</v>
      </c>
      <c r="H37" s="17">
        <f t="shared" si="4"/>
        <v>0</v>
      </c>
      <c r="I37" s="17">
        <f t="shared" si="5"/>
        <v>0</v>
      </c>
      <c r="J37" s="18">
        <f t="shared" si="6"/>
        <v>0</v>
      </c>
      <c r="K37" s="18">
        <f t="shared" si="7"/>
        <v>0</v>
      </c>
      <c r="L37" s="18">
        <f t="shared" si="1"/>
        <v>40.090000000000003</v>
      </c>
      <c r="M37" s="18">
        <f t="shared" si="8"/>
        <v>0</v>
      </c>
      <c r="N37" s="18">
        <f t="shared" si="2"/>
        <v>40.090000000000003</v>
      </c>
      <c r="O37" s="8"/>
    </row>
    <row r="38" spans="1:15">
      <c r="A38" s="1" t="s">
        <v>28</v>
      </c>
      <c r="B38" s="11"/>
      <c r="C38" s="11">
        <v>1354000</v>
      </c>
      <c r="D38" s="11">
        <v>1354000</v>
      </c>
      <c r="E38" s="11">
        <v>0</v>
      </c>
      <c r="F38" s="11">
        <f t="shared" si="0"/>
        <v>0</v>
      </c>
      <c r="G38" s="17">
        <f t="shared" si="3"/>
        <v>40.090000000000003</v>
      </c>
      <c r="H38" s="17">
        <f t="shared" si="4"/>
        <v>0</v>
      </c>
      <c r="I38" s="17">
        <f t="shared" si="5"/>
        <v>0</v>
      </c>
      <c r="J38" s="18">
        <f t="shared" si="6"/>
        <v>0</v>
      </c>
      <c r="K38" s="18">
        <f t="shared" si="7"/>
        <v>0</v>
      </c>
      <c r="L38" s="18">
        <f t="shared" si="1"/>
        <v>40.090000000000003</v>
      </c>
      <c r="M38" s="18">
        <f t="shared" si="8"/>
        <v>0</v>
      </c>
      <c r="N38" s="18">
        <f t="shared" si="2"/>
        <v>40.090000000000003</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519000</v>
      </c>
      <c r="D41" s="11">
        <v>519000</v>
      </c>
      <c r="E41" s="11">
        <v>0</v>
      </c>
      <c r="F41" s="11">
        <f t="shared" si="0"/>
        <v>0</v>
      </c>
      <c r="G41" s="17">
        <f t="shared" si="3"/>
        <v>40.090000000000003</v>
      </c>
      <c r="H41" s="17">
        <f t="shared" si="4"/>
        <v>0</v>
      </c>
      <c r="I41" s="17">
        <f t="shared" si="5"/>
        <v>0</v>
      </c>
      <c r="J41" s="18">
        <f t="shared" si="6"/>
        <v>0</v>
      </c>
      <c r="K41" s="18">
        <f t="shared" si="7"/>
        <v>0</v>
      </c>
      <c r="L41" s="18">
        <f t="shared" si="1"/>
        <v>40.090000000000003</v>
      </c>
      <c r="M41" s="18">
        <f t="shared" si="8"/>
        <v>0</v>
      </c>
      <c r="N41" s="18">
        <f t="shared" si="2"/>
        <v>40.090000000000003</v>
      </c>
      <c r="O41" s="8"/>
    </row>
    <row r="42" spans="1:15">
      <c r="A42" s="1" t="s">
        <v>32</v>
      </c>
      <c r="B42" s="11"/>
      <c r="C42" s="11">
        <v>3880000</v>
      </c>
      <c r="D42" s="11">
        <v>3880000</v>
      </c>
      <c r="E42" s="11">
        <v>0</v>
      </c>
      <c r="F42" s="11">
        <f t="shared" si="0"/>
        <v>0</v>
      </c>
      <c r="G42" s="17">
        <f t="shared" si="3"/>
        <v>40.090000000000003</v>
      </c>
      <c r="H42" s="17">
        <f t="shared" si="4"/>
        <v>0</v>
      </c>
      <c r="I42" s="17">
        <f t="shared" si="5"/>
        <v>0</v>
      </c>
      <c r="J42" s="18">
        <f t="shared" si="6"/>
        <v>0</v>
      </c>
      <c r="K42" s="18">
        <f t="shared" si="7"/>
        <v>0</v>
      </c>
      <c r="L42" s="18">
        <f t="shared" si="1"/>
        <v>40.090000000000003</v>
      </c>
      <c r="M42" s="18">
        <f t="shared" si="8"/>
        <v>0</v>
      </c>
      <c r="N42" s="18">
        <f t="shared" si="2"/>
        <v>40.090000000000003</v>
      </c>
      <c r="O42" s="8"/>
    </row>
    <row r="43" spans="1:15">
      <c r="A43" s="1" t="s">
        <v>33</v>
      </c>
      <c r="B43" s="11"/>
      <c r="C43" s="11">
        <v>1187000</v>
      </c>
      <c r="D43" s="11">
        <v>1187000</v>
      </c>
      <c r="E43" s="11">
        <v>0</v>
      </c>
      <c r="F43" s="11">
        <f t="shared" si="0"/>
        <v>0</v>
      </c>
      <c r="G43" s="17">
        <f t="shared" si="3"/>
        <v>40.090000000000003</v>
      </c>
      <c r="H43" s="17">
        <f t="shared" si="4"/>
        <v>0</v>
      </c>
      <c r="I43" s="17">
        <f t="shared" si="5"/>
        <v>0</v>
      </c>
      <c r="J43" s="18">
        <f t="shared" si="6"/>
        <v>0</v>
      </c>
      <c r="K43" s="18">
        <f t="shared" si="7"/>
        <v>0</v>
      </c>
      <c r="L43" s="18">
        <f t="shared" si="1"/>
        <v>40.090000000000003</v>
      </c>
      <c r="M43" s="18">
        <f t="shared" si="8"/>
        <v>0</v>
      </c>
      <c r="N43" s="18">
        <f t="shared" si="2"/>
        <v>40.090000000000003</v>
      </c>
      <c r="O43" s="8"/>
    </row>
    <row r="44" spans="1:15">
      <c r="A44" s="14" t="s">
        <v>34</v>
      </c>
      <c r="B44" s="15"/>
      <c r="C44" s="15">
        <v>224000</v>
      </c>
      <c r="D44" s="15">
        <v>224000</v>
      </c>
      <c r="E44" s="15">
        <v>0</v>
      </c>
      <c r="F44" s="15">
        <f t="shared" si="0"/>
        <v>0</v>
      </c>
      <c r="G44" s="19">
        <f t="shared" si="3"/>
        <v>40.090000000000003</v>
      </c>
      <c r="H44" s="19">
        <f t="shared" si="4"/>
        <v>0</v>
      </c>
      <c r="I44" s="19">
        <f t="shared" si="5"/>
        <v>0</v>
      </c>
      <c r="J44" s="20">
        <f t="shared" si="6"/>
        <v>0</v>
      </c>
      <c r="K44" s="20">
        <f t="shared" si="7"/>
        <v>0</v>
      </c>
      <c r="L44" s="20">
        <f t="shared" si="1"/>
        <v>40.090000000000003</v>
      </c>
      <c r="M44" s="20">
        <f t="shared" si="8"/>
        <v>0</v>
      </c>
      <c r="N44" s="20">
        <f t="shared" si="2"/>
        <v>40.090000000000003</v>
      </c>
      <c r="O44" s="16" t="s">
        <v>178</v>
      </c>
    </row>
    <row r="45" spans="1:15">
      <c r="A45" s="1" t="s">
        <v>35</v>
      </c>
      <c r="B45" s="11"/>
      <c r="C45" s="11">
        <v>1534000</v>
      </c>
      <c r="D45" s="11">
        <v>1534000</v>
      </c>
      <c r="E45" s="11">
        <v>0</v>
      </c>
      <c r="F45" s="11">
        <f t="shared" si="0"/>
        <v>0</v>
      </c>
      <c r="G45" s="17">
        <f t="shared" si="3"/>
        <v>40.090000000000003</v>
      </c>
      <c r="H45" s="17">
        <f t="shared" si="4"/>
        <v>0</v>
      </c>
      <c r="I45" s="17">
        <f t="shared" si="5"/>
        <v>0</v>
      </c>
      <c r="J45" s="18">
        <f t="shared" si="6"/>
        <v>0</v>
      </c>
      <c r="K45" s="18">
        <f t="shared" si="7"/>
        <v>0</v>
      </c>
      <c r="L45" s="18">
        <f t="shared" si="1"/>
        <v>40.090000000000003</v>
      </c>
      <c r="M45" s="18">
        <f t="shared" si="8"/>
        <v>0</v>
      </c>
      <c r="N45" s="18">
        <f t="shared" si="2"/>
        <v>40.090000000000003</v>
      </c>
      <c r="O45" s="8"/>
    </row>
    <row r="46" spans="1:15">
      <c r="A46" s="1" t="s">
        <v>36</v>
      </c>
      <c r="B46" s="11"/>
      <c r="C46" s="11">
        <v>1596000</v>
      </c>
      <c r="D46" s="11">
        <v>1596000</v>
      </c>
      <c r="E46" s="11">
        <v>0</v>
      </c>
      <c r="F46" s="11">
        <f t="shared" si="0"/>
        <v>0</v>
      </c>
      <c r="G46" s="17">
        <f t="shared" si="3"/>
        <v>40.090000000000003</v>
      </c>
      <c r="H46" s="17">
        <f t="shared" si="4"/>
        <v>0</v>
      </c>
      <c r="I46" s="17">
        <f t="shared" si="5"/>
        <v>0</v>
      </c>
      <c r="J46" s="18">
        <f t="shared" si="6"/>
        <v>0</v>
      </c>
      <c r="K46" s="18">
        <f t="shared" si="7"/>
        <v>0</v>
      </c>
      <c r="L46" s="18">
        <f t="shared" si="1"/>
        <v>40.090000000000003</v>
      </c>
      <c r="M46" s="18">
        <f t="shared" si="8"/>
        <v>0</v>
      </c>
      <c r="N46" s="18">
        <f t="shared" si="2"/>
        <v>40.090000000000003</v>
      </c>
      <c r="O46" s="8"/>
    </row>
    <row r="47" spans="1:15">
      <c r="A47" s="1" t="s">
        <v>37</v>
      </c>
      <c r="B47" s="11"/>
      <c r="C47" s="11">
        <v>1896000</v>
      </c>
      <c r="D47" s="11">
        <v>1896000</v>
      </c>
      <c r="E47" s="11">
        <v>0</v>
      </c>
      <c r="F47" s="11">
        <f t="shared" si="0"/>
        <v>0</v>
      </c>
      <c r="G47" s="17">
        <f t="shared" si="3"/>
        <v>40.090000000000003</v>
      </c>
      <c r="H47" s="17">
        <f t="shared" si="4"/>
        <v>0</v>
      </c>
      <c r="I47" s="17">
        <f t="shared" si="5"/>
        <v>0</v>
      </c>
      <c r="J47" s="18">
        <f t="shared" si="6"/>
        <v>0</v>
      </c>
      <c r="K47" s="18">
        <f t="shared" si="7"/>
        <v>0</v>
      </c>
      <c r="L47" s="18">
        <f t="shared" si="1"/>
        <v>40.090000000000003</v>
      </c>
      <c r="M47" s="18">
        <f t="shared" si="8"/>
        <v>0</v>
      </c>
      <c r="N47" s="18">
        <f t="shared" si="2"/>
        <v>40.090000000000003</v>
      </c>
      <c r="O47" s="8"/>
    </row>
    <row r="48" spans="1:15">
      <c r="A48" s="1" t="s">
        <v>38</v>
      </c>
      <c r="B48" s="11"/>
      <c r="C48" s="11">
        <v>1703000</v>
      </c>
      <c r="D48" s="11">
        <v>1703000</v>
      </c>
      <c r="E48" s="11">
        <v>0</v>
      </c>
      <c r="F48" s="11">
        <f t="shared" si="0"/>
        <v>0</v>
      </c>
      <c r="G48" s="17">
        <f t="shared" si="3"/>
        <v>40.090000000000003</v>
      </c>
      <c r="H48" s="17">
        <f t="shared" si="4"/>
        <v>0</v>
      </c>
      <c r="I48" s="17">
        <f t="shared" si="5"/>
        <v>0</v>
      </c>
      <c r="J48" s="18">
        <f t="shared" si="6"/>
        <v>0</v>
      </c>
      <c r="K48" s="18">
        <f t="shared" si="7"/>
        <v>0</v>
      </c>
      <c r="L48" s="18">
        <f t="shared" si="1"/>
        <v>40.090000000000003</v>
      </c>
      <c r="M48" s="18">
        <f t="shared" si="8"/>
        <v>0</v>
      </c>
      <c r="N48" s="18">
        <f t="shared" si="2"/>
        <v>40.090000000000003</v>
      </c>
      <c r="O48" s="8"/>
    </row>
    <row r="49" spans="1:15">
      <c r="A49" s="1" t="s">
        <v>39</v>
      </c>
      <c r="B49" s="11" t="s">
        <v>138</v>
      </c>
      <c r="C49" s="11">
        <v>0</v>
      </c>
      <c r="D49" s="11">
        <v>0</v>
      </c>
      <c r="E49" s="11">
        <v>0</v>
      </c>
      <c r="F49" s="11">
        <f t="shared" si="0"/>
        <v>0</v>
      </c>
      <c r="G49" s="17">
        <f t="shared" si="3"/>
        <v>11.79</v>
      </c>
      <c r="H49" s="17">
        <f t="shared" si="4"/>
        <v>0</v>
      </c>
      <c r="I49" s="17">
        <f t="shared" si="5"/>
        <v>0</v>
      </c>
      <c r="J49" s="18">
        <f t="shared" si="6"/>
        <v>0</v>
      </c>
      <c r="K49" s="18">
        <f t="shared" si="7"/>
        <v>0</v>
      </c>
      <c r="L49" s="18">
        <f t="shared" si="1"/>
        <v>11.79</v>
      </c>
      <c r="M49" s="18">
        <f t="shared" ref="M49:M80" si="9">IF(   $H$5=1,    IF((F49-$H$6)&gt;0,((F49-$H$6)/$N$7)*$E$8,0),   IF(F49&gt;0,(F49/$N$4)*$E$8,0)    )</f>
        <v>0</v>
      </c>
      <c r="N49" s="18">
        <f t="shared" si="2"/>
        <v>11.79</v>
      </c>
      <c r="O49" s="8"/>
    </row>
    <row r="50" spans="1:15">
      <c r="A50" s="1" t="s">
        <v>40</v>
      </c>
      <c r="B50" s="11" t="s">
        <v>138</v>
      </c>
      <c r="C50" s="11">
        <v>0</v>
      </c>
      <c r="D50" s="11">
        <v>0</v>
      </c>
      <c r="E50" s="11">
        <v>0</v>
      </c>
      <c r="F50" s="11">
        <f t="shared" si="0"/>
        <v>0</v>
      </c>
      <c r="G50" s="17">
        <f t="shared" si="3"/>
        <v>11.79</v>
      </c>
      <c r="H50" s="17">
        <f t="shared" si="4"/>
        <v>0</v>
      </c>
      <c r="I50" s="17">
        <f t="shared" si="5"/>
        <v>0</v>
      </c>
      <c r="J50" s="18">
        <f t="shared" si="6"/>
        <v>0</v>
      </c>
      <c r="K50" s="18">
        <f t="shared" si="7"/>
        <v>0</v>
      </c>
      <c r="L50" s="18">
        <f t="shared" si="1"/>
        <v>11.79</v>
      </c>
      <c r="M50" s="18">
        <f t="shared" si="9"/>
        <v>0</v>
      </c>
      <c r="N50" s="18">
        <f t="shared" si="2"/>
        <v>11.79</v>
      </c>
      <c r="O50" s="8"/>
    </row>
    <row r="51" spans="1:15">
      <c r="A51" s="1" t="s">
        <v>41</v>
      </c>
      <c r="B51" s="11" t="s">
        <v>138</v>
      </c>
      <c r="C51" s="11">
        <v>0</v>
      </c>
      <c r="D51" s="11">
        <v>0</v>
      </c>
      <c r="E51" s="11">
        <v>0</v>
      </c>
      <c r="F51" s="11">
        <f t="shared" si="0"/>
        <v>0</v>
      </c>
      <c r="G51" s="17">
        <f t="shared" si="3"/>
        <v>11.79</v>
      </c>
      <c r="H51" s="17">
        <f t="shared" si="4"/>
        <v>0</v>
      </c>
      <c r="I51" s="17">
        <f t="shared" si="5"/>
        <v>0</v>
      </c>
      <c r="J51" s="18">
        <f t="shared" si="6"/>
        <v>0</v>
      </c>
      <c r="K51" s="18">
        <f t="shared" si="7"/>
        <v>0</v>
      </c>
      <c r="L51" s="18">
        <f t="shared" si="1"/>
        <v>11.79</v>
      </c>
      <c r="M51" s="18">
        <f t="shared" si="9"/>
        <v>0</v>
      </c>
      <c r="N51" s="18">
        <f t="shared" si="2"/>
        <v>11.79</v>
      </c>
      <c r="O51" s="8"/>
    </row>
    <row r="52" spans="1:15">
      <c r="A52" s="1" t="s">
        <v>42</v>
      </c>
      <c r="B52" s="11"/>
      <c r="C52" s="11">
        <v>3071000</v>
      </c>
      <c r="D52" s="11">
        <v>3071000</v>
      </c>
      <c r="E52" s="11">
        <v>0</v>
      </c>
      <c r="F52" s="11">
        <f t="shared" si="0"/>
        <v>0</v>
      </c>
      <c r="G52" s="17">
        <f t="shared" si="3"/>
        <v>40.090000000000003</v>
      </c>
      <c r="H52" s="17">
        <f t="shared" si="4"/>
        <v>0</v>
      </c>
      <c r="I52" s="17">
        <f t="shared" si="5"/>
        <v>0</v>
      </c>
      <c r="J52" s="18">
        <f t="shared" si="6"/>
        <v>0</v>
      </c>
      <c r="K52" s="18">
        <f t="shared" si="7"/>
        <v>0</v>
      </c>
      <c r="L52" s="18">
        <f t="shared" si="1"/>
        <v>40.090000000000003</v>
      </c>
      <c r="M52" s="18">
        <f t="shared" si="9"/>
        <v>0</v>
      </c>
      <c r="N52" s="18">
        <f t="shared" si="2"/>
        <v>40.090000000000003</v>
      </c>
      <c r="O52" s="8"/>
    </row>
    <row r="53" spans="1:15">
      <c r="A53" s="1" t="s">
        <v>43</v>
      </c>
      <c r="B53" s="11"/>
      <c r="C53" s="11">
        <v>3255000</v>
      </c>
      <c r="D53" s="11">
        <v>3255000</v>
      </c>
      <c r="E53" s="11">
        <v>0</v>
      </c>
      <c r="F53" s="11">
        <f t="shared" si="0"/>
        <v>0</v>
      </c>
      <c r="G53" s="17">
        <f t="shared" si="3"/>
        <v>40.090000000000003</v>
      </c>
      <c r="H53" s="17">
        <f t="shared" si="4"/>
        <v>0</v>
      </c>
      <c r="I53" s="17">
        <f t="shared" si="5"/>
        <v>0</v>
      </c>
      <c r="J53" s="18">
        <f t="shared" si="6"/>
        <v>0</v>
      </c>
      <c r="K53" s="18">
        <f t="shared" si="7"/>
        <v>0</v>
      </c>
      <c r="L53" s="18">
        <f t="shared" si="1"/>
        <v>40.090000000000003</v>
      </c>
      <c r="M53" s="18">
        <f t="shared" si="9"/>
        <v>0</v>
      </c>
      <c r="N53" s="18">
        <f t="shared" si="2"/>
        <v>40.090000000000003</v>
      </c>
      <c r="O53" s="8"/>
    </row>
    <row r="54" spans="1:15">
      <c r="A54" s="1" t="s">
        <v>44</v>
      </c>
      <c r="B54" s="11"/>
      <c r="C54" s="11">
        <v>4061000</v>
      </c>
      <c r="D54" s="11">
        <v>4061000</v>
      </c>
      <c r="E54" s="11">
        <v>0</v>
      </c>
      <c r="F54" s="11">
        <f t="shared" si="0"/>
        <v>0</v>
      </c>
      <c r="G54" s="17">
        <f t="shared" si="3"/>
        <v>40.090000000000003</v>
      </c>
      <c r="H54" s="17">
        <f t="shared" si="4"/>
        <v>0</v>
      </c>
      <c r="I54" s="17">
        <f t="shared" si="5"/>
        <v>0</v>
      </c>
      <c r="J54" s="18">
        <f t="shared" si="6"/>
        <v>0</v>
      </c>
      <c r="K54" s="18">
        <f t="shared" si="7"/>
        <v>0</v>
      </c>
      <c r="L54" s="18">
        <f t="shared" si="1"/>
        <v>40.090000000000003</v>
      </c>
      <c r="M54" s="18">
        <f t="shared" si="9"/>
        <v>0</v>
      </c>
      <c r="N54" s="18">
        <f t="shared" si="2"/>
        <v>40.090000000000003</v>
      </c>
      <c r="O54" s="8"/>
    </row>
    <row r="55" spans="1:15">
      <c r="A55" s="1" t="s">
        <v>45</v>
      </c>
      <c r="B55" s="11" t="s">
        <v>138</v>
      </c>
      <c r="C55" s="11">
        <v>0</v>
      </c>
      <c r="D55" s="11">
        <v>0</v>
      </c>
      <c r="E55" s="11">
        <v>0</v>
      </c>
      <c r="F55" s="11">
        <f t="shared" si="0"/>
        <v>0</v>
      </c>
      <c r="G55" s="17">
        <f t="shared" si="3"/>
        <v>11.79</v>
      </c>
      <c r="H55" s="17">
        <f t="shared" si="4"/>
        <v>0</v>
      </c>
      <c r="I55" s="17">
        <f t="shared" si="5"/>
        <v>0</v>
      </c>
      <c r="J55" s="18">
        <f t="shared" si="6"/>
        <v>0</v>
      </c>
      <c r="K55" s="18">
        <f t="shared" si="7"/>
        <v>0</v>
      </c>
      <c r="L55" s="18">
        <f t="shared" si="1"/>
        <v>11.79</v>
      </c>
      <c r="M55" s="18">
        <f t="shared" si="9"/>
        <v>0</v>
      </c>
      <c r="N55" s="18">
        <f t="shared" si="2"/>
        <v>11.79</v>
      </c>
      <c r="O55" s="8"/>
    </row>
    <row r="56" spans="1:15">
      <c r="A56" s="1" t="s">
        <v>46</v>
      </c>
      <c r="B56" s="11" t="s">
        <v>138</v>
      </c>
      <c r="C56" s="11">
        <v>0</v>
      </c>
      <c r="D56" s="11">
        <v>0</v>
      </c>
      <c r="E56" s="11">
        <v>0</v>
      </c>
      <c r="F56" s="11">
        <f t="shared" si="0"/>
        <v>0</v>
      </c>
      <c r="G56" s="17">
        <f t="shared" si="3"/>
        <v>11.79</v>
      </c>
      <c r="H56" s="17">
        <f t="shared" si="4"/>
        <v>0</v>
      </c>
      <c r="I56" s="17">
        <f t="shared" si="5"/>
        <v>0</v>
      </c>
      <c r="J56" s="18">
        <f t="shared" si="6"/>
        <v>0</v>
      </c>
      <c r="K56" s="18">
        <f t="shared" si="7"/>
        <v>0</v>
      </c>
      <c r="L56" s="18">
        <f t="shared" si="1"/>
        <v>11.79</v>
      </c>
      <c r="M56" s="18">
        <f t="shared" si="9"/>
        <v>0</v>
      </c>
      <c r="N56" s="18">
        <f t="shared" si="2"/>
        <v>11.79</v>
      </c>
      <c r="O56" s="8"/>
    </row>
    <row r="57" spans="1:15">
      <c r="A57" s="1" t="s">
        <v>47</v>
      </c>
      <c r="B57" s="11" t="s">
        <v>138</v>
      </c>
      <c r="C57" s="11">
        <v>0</v>
      </c>
      <c r="D57" s="11">
        <v>0</v>
      </c>
      <c r="E57" s="11">
        <v>0</v>
      </c>
      <c r="F57" s="11">
        <f t="shared" si="0"/>
        <v>0</v>
      </c>
      <c r="G57" s="17">
        <f t="shared" si="3"/>
        <v>11.79</v>
      </c>
      <c r="H57" s="17">
        <f t="shared" si="4"/>
        <v>0</v>
      </c>
      <c r="I57" s="17">
        <f t="shared" si="5"/>
        <v>0</v>
      </c>
      <c r="J57" s="18">
        <f t="shared" si="6"/>
        <v>0</v>
      </c>
      <c r="K57" s="18">
        <f t="shared" si="7"/>
        <v>0</v>
      </c>
      <c r="L57" s="18">
        <f t="shared" si="1"/>
        <v>11.79</v>
      </c>
      <c r="M57" s="18">
        <f t="shared" si="9"/>
        <v>0</v>
      </c>
      <c r="N57" s="18">
        <f t="shared" si="2"/>
        <v>11.79</v>
      </c>
      <c r="O57" s="8"/>
    </row>
    <row r="58" spans="1:15">
      <c r="A58" s="1" t="s">
        <v>48</v>
      </c>
      <c r="B58" s="11"/>
      <c r="C58" s="11">
        <v>1123000</v>
      </c>
      <c r="D58" s="11">
        <v>1123000</v>
      </c>
      <c r="E58" s="11">
        <v>0</v>
      </c>
      <c r="F58" s="11">
        <f t="shared" si="0"/>
        <v>0</v>
      </c>
      <c r="G58" s="17">
        <f t="shared" si="3"/>
        <v>40.090000000000003</v>
      </c>
      <c r="H58" s="17">
        <f t="shared" si="4"/>
        <v>0</v>
      </c>
      <c r="I58" s="17">
        <f t="shared" si="5"/>
        <v>0</v>
      </c>
      <c r="J58" s="18">
        <f t="shared" si="6"/>
        <v>0</v>
      </c>
      <c r="K58" s="18">
        <f t="shared" si="7"/>
        <v>0</v>
      </c>
      <c r="L58" s="18">
        <f t="shared" si="1"/>
        <v>40.090000000000003</v>
      </c>
      <c r="M58" s="18">
        <f t="shared" si="9"/>
        <v>0</v>
      </c>
      <c r="N58" s="18">
        <f t="shared" si="2"/>
        <v>40.090000000000003</v>
      </c>
      <c r="O58" s="8"/>
    </row>
    <row r="59" spans="1:15">
      <c r="A59" s="1" t="s">
        <v>49</v>
      </c>
      <c r="B59" s="11"/>
      <c r="C59" s="11">
        <v>903000</v>
      </c>
      <c r="D59" s="11">
        <v>903000</v>
      </c>
      <c r="E59" s="11">
        <v>0</v>
      </c>
      <c r="F59" s="11">
        <f t="shared" si="0"/>
        <v>0</v>
      </c>
      <c r="G59" s="17">
        <f t="shared" si="3"/>
        <v>40.090000000000003</v>
      </c>
      <c r="H59" s="17">
        <f t="shared" si="4"/>
        <v>0</v>
      </c>
      <c r="I59" s="17">
        <f t="shared" si="5"/>
        <v>0</v>
      </c>
      <c r="J59" s="18">
        <f t="shared" si="6"/>
        <v>0</v>
      </c>
      <c r="K59" s="18">
        <f t="shared" si="7"/>
        <v>0</v>
      </c>
      <c r="L59" s="18">
        <f t="shared" si="1"/>
        <v>40.090000000000003</v>
      </c>
      <c r="M59" s="18">
        <f t="shared" si="9"/>
        <v>0</v>
      </c>
      <c r="N59" s="18">
        <f t="shared" si="2"/>
        <v>40.090000000000003</v>
      </c>
      <c r="O59" s="8"/>
    </row>
    <row r="60" spans="1:15">
      <c r="A60" s="1" t="s">
        <v>50</v>
      </c>
      <c r="B60" s="11"/>
      <c r="C60" s="11">
        <v>3492000</v>
      </c>
      <c r="D60" s="11">
        <v>3492000</v>
      </c>
      <c r="E60" s="11">
        <v>0</v>
      </c>
      <c r="F60" s="11">
        <f t="shared" si="0"/>
        <v>0</v>
      </c>
      <c r="G60" s="17">
        <f t="shared" si="3"/>
        <v>40.090000000000003</v>
      </c>
      <c r="H60" s="17">
        <f t="shared" si="4"/>
        <v>0</v>
      </c>
      <c r="I60" s="17">
        <f t="shared" si="5"/>
        <v>0</v>
      </c>
      <c r="J60" s="18">
        <f t="shared" si="6"/>
        <v>0</v>
      </c>
      <c r="K60" s="18">
        <f t="shared" si="7"/>
        <v>0</v>
      </c>
      <c r="L60" s="18">
        <f t="shared" si="1"/>
        <v>40.090000000000003</v>
      </c>
      <c r="M60" s="18">
        <f t="shared" si="9"/>
        <v>0</v>
      </c>
      <c r="N60" s="18">
        <f t="shared" si="2"/>
        <v>40.090000000000003</v>
      </c>
      <c r="O60" s="8"/>
    </row>
    <row r="61" spans="1:15">
      <c r="A61" s="1" t="s">
        <v>51</v>
      </c>
      <c r="B61" s="11" t="s">
        <v>138</v>
      </c>
      <c r="C61" s="11">
        <v>0</v>
      </c>
      <c r="D61" s="11">
        <v>0</v>
      </c>
      <c r="E61" s="11">
        <v>0</v>
      </c>
      <c r="F61" s="11">
        <f t="shared" si="0"/>
        <v>0</v>
      </c>
      <c r="G61" s="17">
        <f t="shared" si="3"/>
        <v>11.79</v>
      </c>
      <c r="H61" s="17">
        <f t="shared" si="4"/>
        <v>0</v>
      </c>
      <c r="I61" s="17">
        <f t="shared" si="5"/>
        <v>0</v>
      </c>
      <c r="J61" s="18">
        <f t="shared" si="6"/>
        <v>0</v>
      </c>
      <c r="K61" s="18">
        <f t="shared" si="7"/>
        <v>0</v>
      </c>
      <c r="L61" s="18">
        <f t="shared" si="1"/>
        <v>11.79</v>
      </c>
      <c r="M61" s="18">
        <f t="shared" si="9"/>
        <v>0</v>
      </c>
      <c r="N61" s="18">
        <f t="shared" si="2"/>
        <v>11.79</v>
      </c>
      <c r="O61" s="8"/>
    </row>
    <row r="62" spans="1:15">
      <c r="A62" s="1" t="s">
        <v>52</v>
      </c>
      <c r="B62" s="11"/>
      <c r="C62" s="11">
        <v>1710000</v>
      </c>
      <c r="D62" s="11">
        <v>1710000</v>
      </c>
      <c r="E62" s="11">
        <v>0</v>
      </c>
      <c r="F62" s="11">
        <f t="shared" si="0"/>
        <v>0</v>
      </c>
      <c r="G62" s="17">
        <f t="shared" si="3"/>
        <v>40.090000000000003</v>
      </c>
      <c r="H62" s="17">
        <f t="shared" si="4"/>
        <v>0</v>
      </c>
      <c r="I62" s="17">
        <f t="shared" si="5"/>
        <v>0</v>
      </c>
      <c r="J62" s="18">
        <f t="shared" si="6"/>
        <v>0</v>
      </c>
      <c r="K62" s="18">
        <f t="shared" si="7"/>
        <v>0</v>
      </c>
      <c r="L62" s="18">
        <f t="shared" si="1"/>
        <v>40.090000000000003</v>
      </c>
      <c r="M62" s="18">
        <f t="shared" si="9"/>
        <v>0</v>
      </c>
      <c r="N62" s="18">
        <f t="shared" si="2"/>
        <v>40.090000000000003</v>
      </c>
      <c r="O62" s="8"/>
    </row>
    <row r="63" spans="1:15">
      <c r="A63" s="1" t="s">
        <v>53</v>
      </c>
      <c r="B63" s="11"/>
      <c r="C63" s="11">
        <v>2330000</v>
      </c>
      <c r="D63" s="11">
        <v>2330000</v>
      </c>
      <c r="E63" s="11">
        <v>0</v>
      </c>
      <c r="F63" s="11">
        <f t="shared" si="0"/>
        <v>0</v>
      </c>
      <c r="G63" s="17">
        <f t="shared" si="3"/>
        <v>40.090000000000003</v>
      </c>
      <c r="H63" s="17">
        <f t="shared" si="4"/>
        <v>0</v>
      </c>
      <c r="I63" s="17">
        <f t="shared" si="5"/>
        <v>0</v>
      </c>
      <c r="J63" s="18">
        <f t="shared" si="6"/>
        <v>0</v>
      </c>
      <c r="K63" s="18">
        <f t="shared" si="7"/>
        <v>0</v>
      </c>
      <c r="L63" s="18">
        <f t="shared" si="1"/>
        <v>40.090000000000003</v>
      </c>
      <c r="M63" s="18">
        <f t="shared" si="9"/>
        <v>0</v>
      </c>
      <c r="N63" s="18">
        <f t="shared" si="2"/>
        <v>40.090000000000003</v>
      </c>
      <c r="O63" s="8"/>
    </row>
    <row r="64" spans="1:15">
      <c r="A64" s="1" t="s">
        <v>54</v>
      </c>
      <c r="B64" s="11"/>
      <c r="C64" s="11">
        <v>3340000</v>
      </c>
      <c r="D64" s="11">
        <v>3340000</v>
      </c>
      <c r="E64" s="11">
        <v>0</v>
      </c>
      <c r="F64" s="11">
        <f t="shared" si="0"/>
        <v>0</v>
      </c>
      <c r="G64" s="17">
        <f t="shared" si="3"/>
        <v>40.090000000000003</v>
      </c>
      <c r="H64" s="17">
        <f t="shared" si="4"/>
        <v>0</v>
      </c>
      <c r="I64" s="17">
        <f t="shared" si="5"/>
        <v>0</v>
      </c>
      <c r="J64" s="18">
        <f t="shared" si="6"/>
        <v>0</v>
      </c>
      <c r="K64" s="18">
        <f t="shared" si="7"/>
        <v>0</v>
      </c>
      <c r="L64" s="18">
        <f t="shared" si="1"/>
        <v>40.090000000000003</v>
      </c>
      <c r="M64" s="18">
        <f t="shared" si="9"/>
        <v>0</v>
      </c>
      <c r="N64" s="18">
        <f t="shared" si="2"/>
        <v>40.090000000000003</v>
      </c>
      <c r="O64" s="8"/>
    </row>
    <row r="65" spans="1:15">
      <c r="A65" s="1" t="s">
        <v>55</v>
      </c>
      <c r="B65" s="11" t="s">
        <v>138</v>
      </c>
      <c r="C65" s="11">
        <v>0</v>
      </c>
      <c r="D65" s="11">
        <v>0</v>
      </c>
      <c r="E65" s="11">
        <v>0</v>
      </c>
      <c r="F65" s="11">
        <f t="shared" si="0"/>
        <v>0</v>
      </c>
      <c r="G65" s="17">
        <f t="shared" si="3"/>
        <v>11.79</v>
      </c>
      <c r="H65" s="17">
        <f t="shared" si="4"/>
        <v>0</v>
      </c>
      <c r="I65" s="17">
        <f t="shared" si="5"/>
        <v>0</v>
      </c>
      <c r="J65" s="18">
        <f t="shared" si="6"/>
        <v>0</v>
      </c>
      <c r="K65" s="18">
        <f t="shared" si="7"/>
        <v>0</v>
      </c>
      <c r="L65" s="18">
        <f t="shared" si="1"/>
        <v>11.79</v>
      </c>
      <c r="M65" s="18">
        <f t="shared" si="9"/>
        <v>0</v>
      </c>
      <c r="N65" s="18">
        <f t="shared" si="2"/>
        <v>11.79</v>
      </c>
      <c r="O65" s="8"/>
    </row>
    <row r="66" spans="1:15">
      <c r="A66" s="1" t="s">
        <v>56</v>
      </c>
      <c r="B66" s="11"/>
      <c r="C66" s="11">
        <v>1518000</v>
      </c>
      <c r="D66" s="11">
        <v>1518000</v>
      </c>
      <c r="E66" s="11">
        <v>0</v>
      </c>
      <c r="F66" s="11">
        <f t="shared" si="0"/>
        <v>0</v>
      </c>
      <c r="G66" s="17">
        <f t="shared" si="3"/>
        <v>40.090000000000003</v>
      </c>
      <c r="H66" s="17">
        <f t="shared" si="4"/>
        <v>0</v>
      </c>
      <c r="I66" s="17">
        <f t="shared" si="5"/>
        <v>0</v>
      </c>
      <c r="J66" s="18">
        <f t="shared" si="6"/>
        <v>0</v>
      </c>
      <c r="K66" s="18">
        <f t="shared" si="7"/>
        <v>0</v>
      </c>
      <c r="L66" s="18">
        <f t="shared" si="1"/>
        <v>40.090000000000003</v>
      </c>
      <c r="M66" s="18">
        <f t="shared" si="9"/>
        <v>0</v>
      </c>
      <c r="N66" s="18">
        <f t="shared" si="2"/>
        <v>40.090000000000003</v>
      </c>
      <c r="O66" s="8"/>
    </row>
    <row r="67" spans="1:15">
      <c r="A67" s="1" t="s">
        <v>57</v>
      </c>
      <c r="B67" s="11"/>
      <c r="C67" s="11">
        <v>1616000</v>
      </c>
      <c r="D67" s="11">
        <v>1616000</v>
      </c>
      <c r="E67" s="11">
        <v>0</v>
      </c>
      <c r="F67" s="11">
        <f t="shared" si="0"/>
        <v>0</v>
      </c>
      <c r="G67" s="17">
        <f t="shared" si="3"/>
        <v>40.090000000000003</v>
      </c>
      <c r="H67" s="17">
        <f t="shared" si="4"/>
        <v>0</v>
      </c>
      <c r="I67" s="17">
        <f t="shared" si="5"/>
        <v>0</v>
      </c>
      <c r="J67" s="18">
        <f t="shared" si="6"/>
        <v>0</v>
      </c>
      <c r="K67" s="18">
        <f t="shared" si="7"/>
        <v>0</v>
      </c>
      <c r="L67" s="18">
        <f t="shared" si="1"/>
        <v>40.090000000000003</v>
      </c>
      <c r="M67" s="18">
        <f t="shared" si="9"/>
        <v>0</v>
      </c>
      <c r="N67" s="18">
        <f t="shared" si="2"/>
        <v>40.090000000000003</v>
      </c>
      <c r="O67" s="8"/>
    </row>
    <row r="68" spans="1:15">
      <c r="A68" s="1" t="s">
        <v>58</v>
      </c>
      <c r="B68" s="11" t="s">
        <v>138</v>
      </c>
      <c r="C68" s="11">
        <v>0</v>
      </c>
      <c r="D68" s="11">
        <v>0</v>
      </c>
      <c r="E68" s="11">
        <v>0</v>
      </c>
      <c r="F68" s="11">
        <f t="shared" si="0"/>
        <v>0</v>
      </c>
      <c r="G68" s="17">
        <f t="shared" si="3"/>
        <v>11.79</v>
      </c>
      <c r="H68" s="17">
        <f t="shared" si="4"/>
        <v>0</v>
      </c>
      <c r="I68" s="17">
        <f t="shared" si="5"/>
        <v>0</v>
      </c>
      <c r="J68" s="18">
        <f t="shared" si="6"/>
        <v>0</v>
      </c>
      <c r="K68" s="18">
        <f t="shared" si="7"/>
        <v>0</v>
      </c>
      <c r="L68" s="18">
        <f t="shared" si="1"/>
        <v>11.79</v>
      </c>
      <c r="M68" s="18">
        <f t="shared" si="9"/>
        <v>0</v>
      </c>
      <c r="N68" s="18">
        <f t="shared" si="2"/>
        <v>11.79</v>
      </c>
      <c r="O68" s="8"/>
    </row>
    <row r="69" spans="1:15">
      <c r="A69" s="1" t="s">
        <v>59</v>
      </c>
      <c r="B69" s="11" t="s">
        <v>138</v>
      </c>
      <c r="C69" s="11">
        <v>0</v>
      </c>
      <c r="D69" s="11">
        <v>0</v>
      </c>
      <c r="E69" s="11">
        <v>0</v>
      </c>
      <c r="F69" s="11">
        <f t="shared" si="0"/>
        <v>0</v>
      </c>
      <c r="G69" s="17">
        <f t="shared" si="3"/>
        <v>11.79</v>
      </c>
      <c r="H69" s="17">
        <f t="shared" si="4"/>
        <v>0</v>
      </c>
      <c r="I69" s="17">
        <f t="shared" si="5"/>
        <v>0</v>
      </c>
      <c r="J69" s="18">
        <f t="shared" si="6"/>
        <v>0</v>
      </c>
      <c r="K69" s="18">
        <f t="shared" si="7"/>
        <v>0</v>
      </c>
      <c r="L69" s="18">
        <f t="shared" si="1"/>
        <v>11.79</v>
      </c>
      <c r="M69" s="18">
        <f t="shared" si="9"/>
        <v>0</v>
      </c>
      <c r="N69" s="18">
        <f t="shared" si="2"/>
        <v>11.79</v>
      </c>
      <c r="O69" s="8"/>
    </row>
    <row r="70" spans="1:15">
      <c r="A70" s="1" t="s">
        <v>60</v>
      </c>
      <c r="B70" s="11" t="s">
        <v>138</v>
      </c>
      <c r="C70" s="11">
        <v>0</v>
      </c>
      <c r="D70" s="11">
        <v>0</v>
      </c>
      <c r="E70" s="11">
        <v>0</v>
      </c>
      <c r="F70" s="11">
        <f t="shared" si="0"/>
        <v>0</v>
      </c>
      <c r="G70" s="17">
        <f t="shared" si="3"/>
        <v>11.79</v>
      </c>
      <c r="H70" s="17">
        <f t="shared" si="4"/>
        <v>0</v>
      </c>
      <c r="I70" s="17">
        <f t="shared" si="5"/>
        <v>0</v>
      </c>
      <c r="J70" s="18">
        <f t="shared" si="6"/>
        <v>0</v>
      </c>
      <c r="K70" s="18">
        <f t="shared" si="7"/>
        <v>0</v>
      </c>
      <c r="L70" s="18">
        <f t="shared" si="1"/>
        <v>11.79</v>
      </c>
      <c r="M70" s="18">
        <f t="shared" si="9"/>
        <v>0</v>
      </c>
      <c r="N70" s="18">
        <f t="shared" si="2"/>
        <v>11.79</v>
      </c>
      <c r="O70" s="8"/>
    </row>
    <row r="71" spans="1:15">
      <c r="A71" s="1" t="s">
        <v>61</v>
      </c>
      <c r="B71" s="11"/>
      <c r="C71" s="11">
        <v>1347000</v>
      </c>
      <c r="D71" s="11">
        <v>1347000</v>
      </c>
      <c r="E71" s="11">
        <v>0</v>
      </c>
      <c r="F71" s="11">
        <f t="shared" si="0"/>
        <v>0</v>
      </c>
      <c r="G71" s="17">
        <f t="shared" si="3"/>
        <v>40.090000000000003</v>
      </c>
      <c r="H71" s="17">
        <f t="shared" si="4"/>
        <v>0</v>
      </c>
      <c r="I71" s="17">
        <f t="shared" si="5"/>
        <v>0</v>
      </c>
      <c r="J71" s="18">
        <f t="shared" si="6"/>
        <v>0</v>
      </c>
      <c r="K71" s="18">
        <f t="shared" si="7"/>
        <v>0</v>
      </c>
      <c r="L71" s="18">
        <f t="shared" si="1"/>
        <v>40.090000000000003</v>
      </c>
      <c r="M71" s="18">
        <f t="shared" si="9"/>
        <v>0</v>
      </c>
      <c r="N71" s="18">
        <f t="shared" si="2"/>
        <v>40.090000000000003</v>
      </c>
      <c r="O71" s="8"/>
    </row>
    <row r="72" spans="1:15">
      <c r="A72" s="1" t="s">
        <v>62</v>
      </c>
      <c r="B72" s="11"/>
      <c r="C72" s="11">
        <v>1909000</v>
      </c>
      <c r="D72" s="11">
        <v>1909000</v>
      </c>
      <c r="E72" s="11">
        <v>0</v>
      </c>
      <c r="F72" s="11">
        <f t="shared" si="0"/>
        <v>0</v>
      </c>
      <c r="G72" s="17">
        <f t="shared" si="3"/>
        <v>40.090000000000003</v>
      </c>
      <c r="H72" s="17">
        <f t="shared" si="4"/>
        <v>0</v>
      </c>
      <c r="I72" s="17">
        <f t="shared" si="5"/>
        <v>0</v>
      </c>
      <c r="J72" s="18">
        <f t="shared" si="6"/>
        <v>0</v>
      </c>
      <c r="K72" s="18">
        <f t="shared" si="7"/>
        <v>0</v>
      </c>
      <c r="L72" s="18">
        <f t="shared" si="1"/>
        <v>40.090000000000003</v>
      </c>
      <c r="M72" s="18">
        <f t="shared" si="9"/>
        <v>0</v>
      </c>
      <c r="N72" s="18">
        <f t="shared" si="2"/>
        <v>40.090000000000003</v>
      </c>
      <c r="O72" s="8"/>
    </row>
    <row r="73" spans="1:15">
      <c r="A73" s="1" t="s">
        <v>63</v>
      </c>
      <c r="B73" s="11" t="s">
        <v>138</v>
      </c>
      <c r="C73" s="11">
        <v>0</v>
      </c>
      <c r="D73" s="11">
        <v>0</v>
      </c>
      <c r="E73" s="11">
        <v>0</v>
      </c>
      <c r="F73" s="11">
        <f t="shared" si="0"/>
        <v>0</v>
      </c>
      <c r="G73" s="17">
        <f t="shared" si="3"/>
        <v>11.79</v>
      </c>
      <c r="H73" s="17">
        <f t="shared" si="4"/>
        <v>0</v>
      </c>
      <c r="I73" s="17">
        <f t="shared" si="5"/>
        <v>0</v>
      </c>
      <c r="J73" s="18">
        <f t="shared" si="6"/>
        <v>0</v>
      </c>
      <c r="K73" s="18">
        <f t="shared" si="7"/>
        <v>0</v>
      </c>
      <c r="L73" s="18">
        <f t="shared" si="1"/>
        <v>11.79</v>
      </c>
      <c r="M73" s="18">
        <f t="shared" si="9"/>
        <v>0</v>
      </c>
      <c r="N73" s="18">
        <f t="shared" si="2"/>
        <v>11.79</v>
      </c>
      <c r="O73" s="8"/>
    </row>
    <row r="74" spans="1:15">
      <c r="A74" s="1" t="s">
        <v>64</v>
      </c>
      <c r="B74" s="11"/>
      <c r="C74" s="11">
        <v>4919000</v>
      </c>
      <c r="D74" s="11">
        <v>4919000</v>
      </c>
      <c r="E74" s="11">
        <v>0</v>
      </c>
      <c r="F74" s="11">
        <f t="shared" si="0"/>
        <v>0</v>
      </c>
      <c r="G74" s="17">
        <f t="shared" si="3"/>
        <v>40.090000000000003</v>
      </c>
      <c r="H74" s="17">
        <f t="shared" si="4"/>
        <v>0</v>
      </c>
      <c r="I74" s="17">
        <f t="shared" si="5"/>
        <v>0</v>
      </c>
      <c r="J74" s="18">
        <f t="shared" si="6"/>
        <v>0</v>
      </c>
      <c r="K74" s="18">
        <f t="shared" si="7"/>
        <v>0</v>
      </c>
      <c r="L74" s="18">
        <f t="shared" si="1"/>
        <v>40.090000000000003</v>
      </c>
      <c r="M74" s="18">
        <f t="shared" si="9"/>
        <v>0</v>
      </c>
      <c r="N74" s="18">
        <f t="shared" si="2"/>
        <v>40.090000000000003</v>
      </c>
      <c r="O74" s="8"/>
    </row>
    <row r="75" spans="1:15">
      <c r="A75" s="1" t="s">
        <v>65</v>
      </c>
      <c r="B75" s="11"/>
      <c r="C75" s="11">
        <v>6644000</v>
      </c>
      <c r="D75" s="11">
        <v>6644000</v>
      </c>
      <c r="E75" s="11">
        <v>0</v>
      </c>
      <c r="F75" s="11">
        <f t="shared" ref="F75:F136" si="10">($D75-$C75)+$E75</f>
        <v>0</v>
      </c>
      <c r="G75" s="17">
        <f t="shared" si="3"/>
        <v>40.090000000000003</v>
      </c>
      <c r="H75" s="17">
        <f t="shared" si="4"/>
        <v>0</v>
      </c>
      <c r="I75" s="17">
        <f t="shared" si="5"/>
        <v>0</v>
      </c>
      <c r="J75" s="18">
        <f t="shared" si="6"/>
        <v>0</v>
      </c>
      <c r="K75" s="18">
        <f t="shared" si="7"/>
        <v>0</v>
      </c>
      <c r="L75" s="18">
        <f t="shared" si="1"/>
        <v>40.090000000000003</v>
      </c>
      <c r="M75" s="18">
        <f t="shared" si="9"/>
        <v>0</v>
      </c>
      <c r="N75" s="18">
        <f t="shared" si="2"/>
        <v>40.090000000000003</v>
      </c>
      <c r="O75" s="8"/>
    </row>
    <row r="76" spans="1:15">
      <c r="A76" s="1" t="s">
        <v>66</v>
      </c>
      <c r="B76" s="11"/>
      <c r="C76" s="11">
        <v>9231000</v>
      </c>
      <c r="D76" s="11">
        <v>9231000</v>
      </c>
      <c r="E76" s="11">
        <v>0</v>
      </c>
      <c r="F76" s="11">
        <f t="shared" si="10"/>
        <v>0</v>
      </c>
      <c r="G76" s="17">
        <f t="shared" si="3"/>
        <v>40.090000000000003</v>
      </c>
      <c r="H76" s="17">
        <f t="shared" si="4"/>
        <v>0</v>
      </c>
      <c r="I76" s="17">
        <f t="shared" si="5"/>
        <v>0</v>
      </c>
      <c r="J76" s="18">
        <f t="shared" si="6"/>
        <v>0</v>
      </c>
      <c r="K76" s="18">
        <f t="shared" si="7"/>
        <v>0</v>
      </c>
      <c r="L76" s="18">
        <f t="shared" ref="L76:L136" si="11">SUM(G76:K76)</f>
        <v>40.090000000000003</v>
      </c>
      <c r="M76" s="18">
        <f t="shared" si="9"/>
        <v>0</v>
      </c>
      <c r="N76" s="18">
        <f t="shared" ref="N76:N136" si="12">SUM(L76:M76)</f>
        <v>40.090000000000003</v>
      </c>
      <c r="O76" s="8"/>
    </row>
    <row r="77" spans="1:15">
      <c r="A77" s="1" t="s">
        <v>67</v>
      </c>
      <c r="B77" s="11" t="s">
        <v>138</v>
      </c>
      <c r="C77" s="11">
        <v>0</v>
      </c>
      <c r="D77" s="11">
        <v>0</v>
      </c>
      <c r="E77" s="11">
        <v>0</v>
      </c>
      <c r="F77" s="11">
        <f t="shared" si="10"/>
        <v>0</v>
      </c>
      <c r="G77" s="17">
        <f t="shared" si="3"/>
        <v>11.79</v>
      </c>
      <c r="H77" s="17">
        <f t="shared" si="4"/>
        <v>0</v>
      </c>
      <c r="I77" s="17">
        <f t="shared" si="5"/>
        <v>0</v>
      </c>
      <c r="J77" s="18">
        <f t="shared" si="6"/>
        <v>0</v>
      </c>
      <c r="K77" s="18">
        <f t="shared" si="7"/>
        <v>0</v>
      </c>
      <c r="L77" s="18">
        <f t="shared" si="11"/>
        <v>11.79</v>
      </c>
      <c r="M77" s="18">
        <f t="shared" si="9"/>
        <v>0</v>
      </c>
      <c r="N77" s="18">
        <f t="shared" si="12"/>
        <v>11.79</v>
      </c>
      <c r="O77" s="8"/>
    </row>
    <row r="78" spans="1:15">
      <c r="A78" s="1" t="s">
        <v>68</v>
      </c>
      <c r="B78" s="11"/>
      <c r="C78" s="11">
        <v>3587000</v>
      </c>
      <c r="D78" s="11">
        <v>3587000</v>
      </c>
      <c r="E78" s="11">
        <v>0</v>
      </c>
      <c r="F78" s="11">
        <f t="shared" si="10"/>
        <v>0</v>
      </c>
      <c r="G78" s="17">
        <f t="shared" si="3"/>
        <v>40.090000000000003</v>
      </c>
      <c r="H78" s="17">
        <f t="shared" si="4"/>
        <v>0</v>
      </c>
      <c r="I78" s="17">
        <f t="shared" si="5"/>
        <v>0</v>
      </c>
      <c r="J78" s="18">
        <f t="shared" si="6"/>
        <v>0</v>
      </c>
      <c r="K78" s="18">
        <f t="shared" si="7"/>
        <v>0</v>
      </c>
      <c r="L78" s="18">
        <f t="shared" si="11"/>
        <v>40.090000000000003</v>
      </c>
      <c r="M78" s="18">
        <f t="shared" si="9"/>
        <v>0</v>
      </c>
      <c r="N78" s="18">
        <f t="shared" si="12"/>
        <v>40.090000000000003</v>
      </c>
      <c r="O78" s="8"/>
    </row>
    <row r="79" spans="1:15">
      <c r="A79" s="1" t="s">
        <v>69</v>
      </c>
      <c r="B79" s="11"/>
      <c r="C79" s="11">
        <v>2312000</v>
      </c>
      <c r="D79" s="11">
        <v>2312000</v>
      </c>
      <c r="E79" s="11">
        <v>0</v>
      </c>
      <c r="F79" s="11">
        <f t="shared" si="10"/>
        <v>0</v>
      </c>
      <c r="G79" s="17">
        <f t="shared" si="3"/>
        <v>40.090000000000003</v>
      </c>
      <c r="H79" s="17">
        <f t="shared" si="4"/>
        <v>0</v>
      </c>
      <c r="I79" s="17">
        <f t="shared" si="5"/>
        <v>0</v>
      </c>
      <c r="J79" s="18">
        <f t="shared" si="6"/>
        <v>0</v>
      </c>
      <c r="K79" s="18">
        <f t="shared" si="7"/>
        <v>0</v>
      </c>
      <c r="L79" s="18">
        <f t="shared" si="11"/>
        <v>40.090000000000003</v>
      </c>
      <c r="M79" s="18">
        <f t="shared" si="9"/>
        <v>0</v>
      </c>
      <c r="N79" s="18">
        <f t="shared" si="12"/>
        <v>40.090000000000003</v>
      </c>
      <c r="O79" s="8"/>
    </row>
    <row r="80" spans="1:15">
      <c r="A80" s="1" t="s">
        <v>70</v>
      </c>
      <c r="B80" s="11"/>
      <c r="C80" s="11">
        <v>1414000</v>
      </c>
      <c r="D80" s="11">
        <v>1414000</v>
      </c>
      <c r="E80" s="11">
        <v>0</v>
      </c>
      <c r="F80" s="11">
        <f t="shared" si="10"/>
        <v>0</v>
      </c>
      <c r="G80" s="17">
        <f t="shared" si="3"/>
        <v>40.090000000000003</v>
      </c>
      <c r="H80" s="17">
        <f t="shared" si="4"/>
        <v>0</v>
      </c>
      <c r="I80" s="17">
        <f t="shared" si="5"/>
        <v>0</v>
      </c>
      <c r="J80" s="18">
        <f t="shared" si="6"/>
        <v>0</v>
      </c>
      <c r="K80" s="18">
        <f t="shared" si="7"/>
        <v>0</v>
      </c>
      <c r="L80" s="18">
        <f t="shared" si="11"/>
        <v>40.090000000000003</v>
      </c>
      <c r="M80" s="18">
        <f t="shared" si="9"/>
        <v>0</v>
      </c>
      <c r="N80" s="18">
        <f t="shared" si="12"/>
        <v>40.090000000000003</v>
      </c>
      <c r="O80" s="8"/>
    </row>
    <row r="81" spans="1:15">
      <c r="A81" s="1" t="s">
        <v>71</v>
      </c>
      <c r="B81" s="11" t="s">
        <v>138</v>
      </c>
      <c r="C81" s="11">
        <v>0</v>
      </c>
      <c r="D81" s="11">
        <v>0</v>
      </c>
      <c r="E81" s="11">
        <v>0</v>
      </c>
      <c r="F81" s="11">
        <f t="shared" si="10"/>
        <v>0</v>
      </c>
      <c r="G81" s="17">
        <f t="shared" ref="G81:G136" si="13">IF(OR($F81&gt;0,$B81=""),40.09,11.79)</f>
        <v>11.79</v>
      </c>
      <c r="H81" s="17">
        <f t="shared" ref="H81:H136" si="14">IF(AND((($F81-10000)&gt;=0),(($F81-10000)&lt;= 10000)),($F81-10000)/1000*2.18,IF(($F81-10000)&gt;=10000,2.18*10,0))</f>
        <v>0</v>
      </c>
      <c r="I81" s="17">
        <f t="shared" ref="I81:I136" si="15">IF(AND((($F81-20000)&gt;=0),(($F81-20000)&lt;=10000)),($F81-20000)/1000*2.53,IF(($F81-20000)&gt;=10000,2.53*10,0))</f>
        <v>0</v>
      </c>
      <c r="J81" s="18">
        <f t="shared" ref="J81:J136" si="16">IF(AND((($F81-30000)&gt;=0),(($F81-30000)&lt;=10000)),($F81-30000)/1000*2.95,IF(($F81-30000)&gt;=10000,2.95*10,0))</f>
        <v>0</v>
      </c>
      <c r="K81" s="18">
        <f t="shared" ref="K81:K136" si="17">IF((($F81-40000)&gt;=0),($F81-40000)/1000*3.42,0)</f>
        <v>0</v>
      </c>
      <c r="L81" s="18">
        <f t="shared" si="11"/>
        <v>11.79</v>
      </c>
      <c r="M81" s="18">
        <f t="shared" ref="M81:M112" si="18">IF(   $H$5=1,    IF((F81-$H$6)&gt;0,((F81-$H$6)/$N$7)*$E$8,0),   IF(F81&gt;0,(F81/$N$4)*$E$8,0)    )</f>
        <v>0</v>
      </c>
      <c r="N81" s="18">
        <f t="shared" si="12"/>
        <v>11.79</v>
      </c>
      <c r="O81" s="8"/>
    </row>
    <row r="82" spans="1:15">
      <c r="A82" s="1" t="s">
        <v>72</v>
      </c>
      <c r="B82" s="11"/>
      <c r="C82" s="11">
        <v>134000</v>
      </c>
      <c r="D82" s="11">
        <v>134000</v>
      </c>
      <c r="E82" s="11">
        <v>0</v>
      </c>
      <c r="F82" s="11">
        <f t="shared" si="10"/>
        <v>0</v>
      </c>
      <c r="G82" s="17">
        <f t="shared" si="13"/>
        <v>40.090000000000003</v>
      </c>
      <c r="H82" s="17">
        <f t="shared" si="14"/>
        <v>0</v>
      </c>
      <c r="I82" s="17">
        <f t="shared" si="15"/>
        <v>0</v>
      </c>
      <c r="J82" s="18">
        <f t="shared" si="16"/>
        <v>0</v>
      </c>
      <c r="K82" s="18">
        <f t="shared" si="17"/>
        <v>0</v>
      </c>
      <c r="L82" s="18">
        <f t="shared" si="11"/>
        <v>40.090000000000003</v>
      </c>
      <c r="M82" s="18">
        <f t="shared" si="18"/>
        <v>0</v>
      </c>
      <c r="N82" s="18">
        <f t="shared" si="12"/>
        <v>40.090000000000003</v>
      </c>
      <c r="O82" s="8" t="s">
        <v>139</v>
      </c>
    </row>
    <row r="83" spans="1:15">
      <c r="A83" s="1" t="s">
        <v>73</v>
      </c>
      <c r="B83" s="11"/>
      <c r="C83" s="11">
        <v>1943000</v>
      </c>
      <c r="D83" s="11">
        <v>1943000</v>
      </c>
      <c r="E83" s="11">
        <v>0</v>
      </c>
      <c r="F83" s="11">
        <f t="shared" si="10"/>
        <v>0</v>
      </c>
      <c r="G83" s="17">
        <f t="shared" si="13"/>
        <v>40.090000000000003</v>
      </c>
      <c r="H83" s="17">
        <f t="shared" si="14"/>
        <v>0</v>
      </c>
      <c r="I83" s="17">
        <f t="shared" si="15"/>
        <v>0</v>
      </c>
      <c r="J83" s="18">
        <f t="shared" si="16"/>
        <v>0</v>
      </c>
      <c r="K83" s="18">
        <f t="shared" si="17"/>
        <v>0</v>
      </c>
      <c r="L83" s="18">
        <f t="shared" si="11"/>
        <v>40.090000000000003</v>
      </c>
      <c r="M83" s="18">
        <f t="shared" si="18"/>
        <v>0</v>
      </c>
      <c r="N83" s="18">
        <f t="shared" si="12"/>
        <v>40.090000000000003</v>
      </c>
      <c r="O83" s="8"/>
    </row>
    <row r="84" spans="1:15">
      <c r="A84" s="1" t="s">
        <v>74</v>
      </c>
      <c r="B84" s="11" t="s">
        <v>138</v>
      </c>
      <c r="C84" s="11">
        <v>0</v>
      </c>
      <c r="D84" s="11">
        <v>0</v>
      </c>
      <c r="E84" s="11">
        <v>0</v>
      </c>
      <c r="F84" s="11">
        <f t="shared" si="10"/>
        <v>0</v>
      </c>
      <c r="G84" s="17">
        <f t="shared" si="13"/>
        <v>11.79</v>
      </c>
      <c r="H84" s="17">
        <f t="shared" si="14"/>
        <v>0</v>
      </c>
      <c r="I84" s="17">
        <f t="shared" si="15"/>
        <v>0</v>
      </c>
      <c r="J84" s="18">
        <f t="shared" si="16"/>
        <v>0</v>
      </c>
      <c r="K84" s="18">
        <f t="shared" si="17"/>
        <v>0</v>
      </c>
      <c r="L84" s="18">
        <f t="shared" si="11"/>
        <v>11.79</v>
      </c>
      <c r="M84" s="18">
        <f t="shared" si="18"/>
        <v>0</v>
      </c>
      <c r="N84" s="18">
        <f t="shared" si="12"/>
        <v>11.79</v>
      </c>
      <c r="O84" s="8"/>
    </row>
    <row r="85" spans="1:15">
      <c r="A85" s="1" t="s">
        <v>75</v>
      </c>
      <c r="B85" s="11"/>
      <c r="C85" s="11">
        <v>727000</v>
      </c>
      <c r="D85" s="11">
        <v>727000</v>
      </c>
      <c r="E85" s="11">
        <v>0</v>
      </c>
      <c r="F85" s="11">
        <f t="shared" si="10"/>
        <v>0</v>
      </c>
      <c r="G85" s="17">
        <f t="shared" si="13"/>
        <v>40.090000000000003</v>
      </c>
      <c r="H85" s="17">
        <f t="shared" si="14"/>
        <v>0</v>
      </c>
      <c r="I85" s="17">
        <f t="shared" si="15"/>
        <v>0</v>
      </c>
      <c r="J85" s="18">
        <f t="shared" si="16"/>
        <v>0</v>
      </c>
      <c r="K85" s="18">
        <f t="shared" si="17"/>
        <v>0</v>
      </c>
      <c r="L85" s="18">
        <f t="shared" si="11"/>
        <v>40.090000000000003</v>
      </c>
      <c r="M85" s="18">
        <f t="shared" si="18"/>
        <v>0</v>
      </c>
      <c r="N85" s="18">
        <f t="shared" si="12"/>
        <v>40.090000000000003</v>
      </c>
      <c r="O85" s="8"/>
    </row>
    <row r="86" spans="1:15">
      <c r="A86" s="1" t="s">
        <v>76</v>
      </c>
      <c r="B86" s="11"/>
      <c r="C86" s="11">
        <v>134000</v>
      </c>
      <c r="D86" s="11">
        <v>134000</v>
      </c>
      <c r="E86" s="11">
        <v>0</v>
      </c>
      <c r="F86" s="11">
        <f t="shared" si="10"/>
        <v>0</v>
      </c>
      <c r="G86" s="17">
        <f t="shared" si="13"/>
        <v>40.090000000000003</v>
      </c>
      <c r="H86" s="17">
        <f t="shared" si="14"/>
        <v>0</v>
      </c>
      <c r="I86" s="17">
        <f t="shared" si="15"/>
        <v>0</v>
      </c>
      <c r="J86" s="18">
        <f t="shared" si="16"/>
        <v>0</v>
      </c>
      <c r="K86" s="18">
        <f t="shared" si="17"/>
        <v>0</v>
      </c>
      <c r="L86" s="18">
        <f t="shared" si="11"/>
        <v>40.090000000000003</v>
      </c>
      <c r="M86" s="18">
        <f t="shared" si="18"/>
        <v>0</v>
      </c>
      <c r="N86" s="18">
        <f t="shared" si="12"/>
        <v>40.090000000000003</v>
      </c>
      <c r="O86" s="8" t="s">
        <v>139</v>
      </c>
    </row>
    <row r="87" spans="1:15">
      <c r="A87" s="1" t="s">
        <v>77</v>
      </c>
      <c r="B87" s="11"/>
      <c r="C87" s="11">
        <v>102000</v>
      </c>
      <c r="D87" s="11">
        <v>102000</v>
      </c>
      <c r="E87" s="11">
        <v>0</v>
      </c>
      <c r="F87" s="11">
        <f t="shared" si="10"/>
        <v>0</v>
      </c>
      <c r="G87" s="17">
        <f t="shared" si="13"/>
        <v>40.090000000000003</v>
      </c>
      <c r="H87" s="17">
        <f t="shared" si="14"/>
        <v>0</v>
      </c>
      <c r="I87" s="17">
        <f t="shared" si="15"/>
        <v>0</v>
      </c>
      <c r="J87" s="18">
        <f t="shared" si="16"/>
        <v>0</v>
      </c>
      <c r="K87" s="18">
        <f t="shared" si="17"/>
        <v>0</v>
      </c>
      <c r="L87" s="18">
        <f t="shared" si="11"/>
        <v>40.090000000000003</v>
      </c>
      <c r="M87" s="18">
        <f t="shared" si="18"/>
        <v>0</v>
      </c>
      <c r="N87" s="18">
        <f t="shared" si="12"/>
        <v>40.090000000000003</v>
      </c>
      <c r="O87" s="8"/>
    </row>
    <row r="88" spans="1:15">
      <c r="A88" s="1" t="s">
        <v>78</v>
      </c>
      <c r="B88" s="11"/>
      <c r="C88" s="11">
        <v>1248000</v>
      </c>
      <c r="D88" s="11">
        <v>1248000</v>
      </c>
      <c r="E88" s="11">
        <v>0</v>
      </c>
      <c r="F88" s="11">
        <f t="shared" si="10"/>
        <v>0</v>
      </c>
      <c r="G88" s="17">
        <f t="shared" si="13"/>
        <v>40.090000000000003</v>
      </c>
      <c r="H88" s="17">
        <f t="shared" si="14"/>
        <v>0</v>
      </c>
      <c r="I88" s="17">
        <f t="shared" si="15"/>
        <v>0</v>
      </c>
      <c r="J88" s="18">
        <f t="shared" si="16"/>
        <v>0</v>
      </c>
      <c r="K88" s="18">
        <f t="shared" si="17"/>
        <v>0</v>
      </c>
      <c r="L88" s="18">
        <f t="shared" si="11"/>
        <v>40.090000000000003</v>
      </c>
      <c r="M88" s="18">
        <f t="shared" si="18"/>
        <v>0</v>
      </c>
      <c r="N88" s="18">
        <f t="shared" si="12"/>
        <v>40.090000000000003</v>
      </c>
      <c r="O88" s="8"/>
    </row>
    <row r="89" spans="1:15">
      <c r="A89" s="1" t="s">
        <v>79</v>
      </c>
      <c r="B89" s="11"/>
      <c r="C89" s="11">
        <v>3439000</v>
      </c>
      <c r="D89" s="11">
        <v>3439000</v>
      </c>
      <c r="E89" s="11">
        <v>0</v>
      </c>
      <c r="F89" s="11">
        <f t="shared" si="10"/>
        <v>0</v>
      </c>
      <c r="G89" s="17">
        <f t="shared" si="13"/>
        <v>40.090000000000003</v>
      </c>
      <c r="H89" s="17">
        <f t="shared" si="14"/>
        <v>0</v>
      </c>
      <c r="I89" s="17">
        <f t="shared" si="15"/>
        <v>0</v>
      </c>
      <c r="J89" s="18">
        <f t="shared" si="16"/>
        <v>0</v>
      </c>
      <c r="K89" s="18">
        <f t="shared" si="17"/>
        <v>0</v>
      </c>
      <c r="L89" s="18">
        <f t="shared" si="11"/>
        <v>40.090000000000003</v>
      </c>
      <c r="M89" s="18">
        <f t="shared" si="18"/>
        <v>0</v>
      </c>
      <c r="N89" s="18">
        <f t="shared" si="12"/>
        <v>40.090000000000003</v>
      </c>
      <c r="O89" s="8"/>
    </row>
    <row r="90" spans="1:15">
      <c r="A90" s="1" t="s">
        <v>80</v>
      </c>
      <c r="B90" s="11"/>
      <c r="C90" s="11">
        <v>3022000</v>
      </c>
      <c r="D90" s="11">
        <v>3022000</v>
      </c>
      <c r="E90" s="11">
        <v>0</v>
      </c>
      <c r="F90" s="11">
        <f t="shared" si="10"/>
        <v>0</v>
      </c>
      <c r="G90" s="17">
        <f t="shared" si="13"/>
        <v>40.090000000000003</v>
      </c>
      <c r="H90" s="17">
        <f t="shared" si="14"/>
        <v>0</v>
      </c>
      <c r="I90" s="17">
        <f t="shared" si="15"/>
        <v>0</v>
      </c>
      <c r="J90" s="18">
        <f t="shared" si="16"/>
        <v>0</v>
      </c>
      <c r="K90" s="18">
        <f t="shared" si="17"/>
        <v>0</v>
      </c>
      <c r="L90" s="18">
        <f t="shared" si="11"/>
        <v>40.090000000000003</v>
      </c>
      <c r="M90" s="18">
        <f t="shared" si="18"/>
        <v>0</v>
      </c>
      <c r="N90" s="18">
        <f t="shared" si="12"/>
        <v>40.090000000000003</v>
      </c>
      <c r="O90" s="8"/>
    </row>
    <row r="91" spans="1:15">
      <c r="A91" s="1" t="s">
        <v>81</v>
      </c>
      <c r="B91" s="11" t="s">
        <v>138</v>
      </c>
      <c r="C91" s="11">
        <v>0</v>
      </c>
      <c r="D91" s="11">
        <v>0</v>
      </c>
      <c r="E91" s="11">
        <v>0</v>
      </c>
      <c r="F91" s="11">
        <f t="shared" si="10"/>
        <v>0</v>
      </c>
      <c r="G91" s="17">
        <f t="shared" si="13"/>
        <v>11.79</v>
      </c>
      <c r="H91" s="17">
        <f t="shared" si="14"/>
        <v>0</v>
      </c>
      <c r="I91" s="17">
        <f t="shared" si="15"/>
        <v>0</v>
      </c>
      <c r="J91" s="18">
        <f t="shared" si="16"/>
        <v>0</v>
      </c>
      <c r="K91" s="18">
        <f t="shared" si="17"/>
        <v>0</v>
      </c>
      <c r="L91" s="18">
        <f t="shared" si="11"/>
        <v>11.79</v>
      </c>
      <c r="M91" s="18">
        <f t="shared" si="18"/>
        <v>0</v>
      </c>
      <c r="N91" s="18">
        <f t="shared" si="12"/>
        <v>11.79</v>
      </c>
      <c r="O91" s="8"/>
    </row>
    <row r="92" spans="1:15">
      <c r="A92" s="1" t="s">
        <v>82</v>
      </c>
      <c r="B92" s="11"/>
      <c r="C92" s="11">
        <v>3248000</v>
      </c>
      <c r="D92" s="11">
        <v>3248000</v>
      </c>
      <c r="E92" s="11">
        <v>0</v>
      </c>
      <c r="F92" s="11">
        <f t="shared" si="10"/>
        <v>0</v>
      </c>
      <c r="G92" s="17">
        <f t="shared" si="13"/>
        <v>40.090000000000003</v>
      </c>
      <c r="H92" s="17">
        <f t="shared" si="14"/>
        <v>0</v>
      </c>
      <c r="I92" s="17">
        <f t="shared" si="15"/>
        <v>0</v>
      </c>
      <c r="J92" s="18">
        <f t="shared" si="16"/>
        <v>0</v>
      </c>
      <c r="K92" s="18">
        <f t="shared" si="17"/>
        <v>0</v>
      </c>
      <c r="L92" s="18">
        <f t="shared" si="11"/>
        <v>40.090000000000003</v>
      </c>
      <c r="M92" s="18">
        <f t="shared" si="18"/>
        <v>0</v>
      </c>
      <c r="N92" s="18">
        <f t="shared" si="12"/>
        <v>40.090000000000003</v>
      </c>
      <c r="O92" s="8"/>
    </row>
    <row r="93" spans="1:15">
      <c r="A93" s="1" t="s">
        <v>83</v>
      </c>
      <c r="B93" s="11"/>
      <c r="C93" s="11">
        <v>7562000</v>
      </c>
      <c r="D93" s="11">
        <v>7562000</v>
      </c>
      <c r="E93" s="11">
        <v>0</v>
      </c>
      <c r="F93" s="11">
        <f t="shared" si="10"/>
        <v>0</v>
      </c>
      <c r="G93" s="17">
        <f t="shared" si="13"/>
        <v>40.090000000000003</v>
      </c>
      <c r="H93" s="17">
        <f t="shared" si="14"/>
        <v>0</v>
      </c>
      <c r="I93" s="17">
        <f t="shared" si="15"/>
        <v>0</v>
      </c>
      <c r="J93" s="18">
        <f t="shared" si="16"/>
        <v>0</v>
      </c>
      <c r="K93" s="18">
        <f t="shared" si="17"/>
        <v>0</v>
      </c>
      <c r="L93" s="18">
        <f t="shared" si="11"/>
        <v>40.090000000000003</v>
      </c>
      <c r="M93" s="18">
        <f t="shared" si="18"/>
        <v>0</v>
      </c>
      <c r="N93" s="18">
        <f t="shared" si="12"/>
        <v>40.090000000000003</v>
      </c>
      <c r="O93" s="8"/>
    </row>
    <row r="94" spans="1:15">
      <c r="A94" s="1" t="s">
        <v>84</v>
      </c>
      <c r="B94" s="11"/>
      <c r="C94" s="11">
        <v>3085000</v>
      </c>
      <c r="D94" s="11">
        <v>3085000</v>
      </c>
      <c r="E94" s="11">
        <v>0</v>
      </c>
      <c r="F94" s="11">
        <f t="shared" si="10"/>
        <v>0</v>
      </c>
      <c r="G94" s="17">
        <f t="shared" si="13"/>
        <v>40.090000000000003</v>
      </c>
      <c r="H94" s="17">
        <f t="shared" si="14"/>
        <v>0</v>
      </c>
      <c r="I94" s="17">
        <f t="shared" si="15"/>
        <v>0</v>
      </c>
      <c r="J94" s="18">
        <f t="shared" si="16"/>
        <v>0</v>
      </c>
      <c r="K94" s="18">
        <f t="shared" si="17"/>
        <v>0</v>
      </c>
      <c r="L94" s="18">
        <f t="shared" si="11"/>
        <v>40.090000000000003</v>
      </c>
      <c r="M94" s="18">
        <f t="shared" si="18"/>
        <v>0</v>
      </c>
      <c r="N94" s="18">
        <f t="shared" si="12"/>
        <v>40.090000000000003</v>
      </c>
      <c r="O94" s="8"/>
    </row>
    <row r="95" spans="1:15">
      <c r="A95" s="1" t="s">
        <v>85</v>
      </c>
      <c r="B95" s="11"/>
      <c r="C95" s="11">
        <v>2017000</v>
      </c>
      <c r="D95" s="11">
        <v>2017000</v>
      </c>
      <c r="E95" s="11">
        <v>0</v>
      </c>
      <c r="F95" s="11">
        <f t="shared" si="10"/>
        <v>0</v>
      </c>
      <c r="G95" s="17">
        <f t="shared" si="13"/>
        <v>40.090000000000003</v>
      </c>
      <c r="H95" s="17">
        <f t="shared" si="14"/>
        <v>0</v>
      </c>
      <c r="I95" s="17">
        <f t="shared" si="15"/>
        <v>0</v>
      </c>
      <c r="J95" s="18">
        <f t="shared" si="16"/>
        <v>0</v>
      </c>
      <c r="K95" s="18">
        <f t="shared" si="17"/>
        <v>0</v>
      </c>
      <c r="L95" s="18">
        <f t="shared" si="11"/>
        <v>40.090000000000003</v>
      </c>
      <c r="M95" s="18">
        <f t="shared" si="18"/>
        <v>0</v>
      </c>
      <c r="N95" s="18">
        <f t="shared" si="12"/>
        <v>40.090000000000003</v>
      </c>
      <c r="O95" s="8"/>
    </row>
    <row r="96" spans="1:15">
      <c r="A96" s="1" t="s">
        <v>86</v>
      </c>
      <c r="B96" s="11"/>
      <c r="C96" s="11">
        <v>1852000</v>
      </c>
      <c r="D96" s="11">
        <v>1852000</v>
      </c>
      <c r="E96" s="11">
        <v>0</v>
      </c>
      <c r="F96" s="11">
        <f t="shared" si="10"/>
        <v>0</v>
      </c>
      <c r="G96" s="17">
        <f t="shared" si="13"/>
        <v>40.090000000000003</v>
      </c>
      <c r="H96" s="17">
        <f t="shared" si="14"/>
        <v>0</v>
      </c>
      <c r="I96" s="17">
        <f t="shared" si="15"/>
        <v>0</v>
      </c>
      <c r="J96" s="18">
        <f t="shared" si="16"/>
        <v>0</v>
      </c>
      <c r="K96" s="18">
        <f t="shared" si="17"/>
        <v>0</v>
      </c>
      <c r="L96" s="18">
        <f t="shared" si="11"/>
        <v>40.090000000000003</v>
      </c>
      <c r="M96" s="18">
        <f t="shared" si="18"/>
        <v>0</v>
      </c>
      <c r="N96" s="18">
        <f t="shared" si="12"/>
        <v>40.090000000000003</v>
      </c>
      <c r="O96" s="8"/>
    </row>
    <row r="97" spans="1:15">
      <c r="A97" s="1" t="s">
        <v>87</v>
      </c>
      <c r="B97" s="11" t="s">
        <v>138</v>
      </c>
      <c r="C97" s="11">
        <v>0</v>
      </c>
      <c r="D97" s="11">
        <v>0</v>
      </c>
      <c r="E97" s="11">
        <v>0</v>
      </c>
      <c r="F97" s="11">
        <f t="shared" si="10"/>
        <v>0</v>
      </c>
      <c r="G97" s="17">
        <f t="shared" si="13"/>
        <v>11.79</v>
      </c>
      <c r="H97" s="17">
        <f t="shared" si="14"/>
        <v>0</v>
      </c>
      <c r="I97" s="17">
        <f t="shared" si="15"/>
        <v>0</v>
      </c>
      <c r="J97" s="18">
        <f t="shared" si="16"/>
        <v>0</v>
      </c>
      <c r="K97" s="18">
        <f t="shared" si="17"/>
        <v>0</v>
      </c>
      <c r="L97" s="18">
        <f t="shared" si="11"/>
        <v>11.79</v>
      </c>
      <c r="M97" s="18">
        <f t="shared" si="18"/>
        <v>0</v>
      </c>
      <c r="N97" s="18">
        <f t="shared" si="12"/>
        <v>11.79</v>
      </c>
      <c r="O97" s="8"/>
    </row>
    <row r="98" spans="1:15">
      <c r="A98" s="1" t="s">
        <v>88</v>
      </c>
      <c r="B98" s="11"/>
      <c r="C98" s="11">
        <v>1231000</v>
      </c>
      <c r="D98" s="11">
        <v>1231000</v>
      </c>
      <c r="E98" s="11">
        <v>0</v>
      </c>
      <c r="F98" s="11">
        <f t="shared" si="10"/>
        <v>0</v>
      </c>
      <c r="G98" s="17">
        <f t="shared" si="13"/>
        <v>40.090000000000003</v>
      </c>
      <c r="H98" s="17">
        <f t="shared" si="14"/>
        <v>0</v>
      </c>
      <c r="I98" s="17">
        <f t="shared" si="15"/>
        <v>0</v>
      </c>
      <c r="J98" s="18">
        <f t="shared" si="16"/>
        <v>0</v>
      </c>
      <c r="K98" s="18">
        <f t="shared" si="17"/>
        <v>0</v>
      </c>
      <c r="L98" s="18">
        <f t="shared" si="11"/>
        <v>40.090000000000003</v>
      </c>
      <c r="M98" s="18">
        <f t="shared" si="18"/>
        <v>0</v>
      </c>
      <c r="N98" s="18">
        <f t="shared" si="12"/>
        <v>40.090000000000003</v>
      </c>
      <c r="O98" s="8"/>
    </row>
    <row r="99" spans="1:15">
      <c r="A99" s="1" t="s">
        <v>89</v>
      </c>
      <c r="B99" s="11"/>
      <c r="C99" s="11">
        <v>2262000</v>
      </c>
      <c r="D99" s="11">
        <v>2262000</v>
      </c>
      <c r="E99" s="11">
        <v>0</v>
      </c>
      <c r="F99" s="11">
        <f t="shared" si="10"/>
        <v>0</v>
      </c>
      <c r="G99" s="17">
        <f t="shared" si="13"/>
        <v>40.090000000000003</v>
      </c>
      <c r="H99" s="17">
        <f t="shared" si="14"/>
        <v>0</v>
      </c>
      <c r="I99" s="17">
        <f t="shared" si="15"/>
        <v>0</v>
      </c>
      <c r="J99" s="18">
        <f t="shared" si="16"/>
        <v>0</v>
      </c>
      <c r="K99" s="18">
        <f t="shared" si="17"/>
        <v>0</v>
      </c>
      <c r="L99" s="18">
        <f t="shared" si="11"/>
        <v>40.090000000000003</v>
      </c>
      <c r="M99" s="18">
        <f t="shared" si="18"/>
        <v>0</v>
      </c>
      <c r="N99" s="18">
        <f t="shared" si="12"/>
        <v>40.090000000000003</v>
      </c>
      <c r="O99" s="8"/>
    </row>
    <row r="100" spans="1:15">
      <c r="A100" s="1" t="s">
        <v>90</v>
      </c>
      <c r="B100" s="11"/>
      <c r="C100" s="11">
        <v>1240000</v>
      </c>
      <c r="D100" s="11">
        <v>1240000</v>
      </c>
      <c r="E100" s="11">
        <v>0</v>
      </c>
      <c r="F100" s="11">
        <f t="shared" si="10"/>
        <v>0</v>
      </c>
      <c r="G100" s="17">
        <f t="shared" si="13"/>
        <v>40.090000000000003</v>
      </c>
      <c r="H100" s="17">
        <f t="shared" si="14"/>
        <v>0</v>
      </c>
      <c r="I100" s="17">
        <f t="shared" si="15"/>
        <v>0</v>
      </c>
      <c r="J100" s="18">
        <f t="shared" si="16"/>
        <v>0</v>
      </c>
      <c r="K100" s="18">
        <f t="shared" si="17"/>
        <v>0</v>
      </c>
      <c r="L100" s="18">
        <f t="shared" si="11"/>
        <v>40.090000000000003</v>
      </c>
      <c r="M100" s="18">
        <f t="shared" si="18"/>
        <v>0</v>
      </c>
      <c r="N100" s="18">
        <f t="shared" si="12"/>
        <v>40.090000000000003</v>
      </c>
      <c r="O100" s="8"/>
    </row>
    <row r="101" spans="1:15">
      <c r="A101" s="1" t="s">
        <v>91</v>
      </c>
      <c r="B101" s="11"/>
      <c r="C101" s="11">
        <v>254000</v>
      </c>
      <c r="D101" s="11">
        <v>254000</v>
      </c>
      <c r="E101" s="11">
        <v>0</v>
      </c>
      <c r="F101" s="11">
        <f t="shared" si="10"/>
        <v>0</v>
      </c>
      <c r="G101" s="17">
        <f t="shared" si="13"/>
        <v>40.090000000000003</v>
      </c>
      <c r="H101" s="17">
        <f t="shared" si="14"/>
        <v>0</v>
      </c>
      <c r="I101" s="17">
        <f t="shared" si="15"/>
        <v>0</v>
      </c>
      <c r="J101" s="18">
        <f t="shared" si="16"/>
        <v>0</v>
      </c>
      <c r="K101" s="18">
        <f t="shared" si="17"/>
        <v>0</v>
      </c>
      <c r="L101" s="18">
        <f t="shared" si="11"/>
        <v>40.090000000000003</v>
      </c>
      <c r="M101" s="18">
        <f t="shared" si="18"/>
        <v>0</v>
      </c>
      <c r="N101" s="18">
        <f t="shared" si="12"/>
        <v>40.090000000000003</v>
      </c>
      <c r="O101" s="8"/>
    </row>
    <row r="102" spans="1:15">
      <c r="A102" s="1" t="s">
        <v>92</v>
      </c>
      <c r="B102" s="11"/>
      <c r="C102" s="11">
        <v>2518000</v>
      </c>
      <c r="D102" s="11">
        <v>2518000</v>
      </c>
      <c r="E102" s="11">
        <v>0</v>
      </c>
      <c r="F102" s="11">
        <f t="shared" si="10"/>
        <v>0</v>
      </c>
      <c r="G102" s="17">
        <f t="shared" si="13"/>
        <v>40.090000000000003</v>
      </c>
      <c r="H102" s="17">
        <f t="shared" si="14"/>
        <v>0</v>
      </c>
      <c r="I102" s="17">
        <f t="shared" si="15"/>
        <v>0</v>
      </c>
      <c r="J102" s="18">
        <f t="shared" si="16"/>
        <v>0</v>
      </c>
      <c r="K102" s="18">
        <f t="shared" si="17"/>
        <v>0</v>
      </c>
      <c r="L102" s="18">
        <f t="shared" si="11"/>
        <v>40.090000000000003</v>
      </c>
      <c r="M102" s="18">
        <f t="shared" si="18"/>
        <v>0</v>
      </c>
      <c r="N102" s="18">
        <f t="shared" si="12"/>
        <v>40.090000000000003</v>
      </c>
      <c r="O102" s="8"/>
    </row>
    <row r="103" spans="1:15">
      <c r="A103" s="1" t="s">
        <v>93</v>
      </c>
      <c r="B103" s="11" t="s">
        <v>138</v>
      </c>
      <c r="C103" s="11">
        <v>0</v>
      </c>
      <c r="D103" s="11">
        <v>0</v>
      </c>
      <c r="E103" s="11">
        <v>0</v>
      </c>
      <c r="F103" s="11">
        <f t="shared" si="10"/>
        <v>0</v>
      </c>
      <c r="G103" s="17">
        <f t="shared" si="13"/>
        <v>11.79</v>
      </c>
      <c r="H103" s="17">
        <f t="shared" si="14"/>
        <v>0</v>
      </c>
      <c r="I103" s="17">
        <f t="shared" si="15"/>
        <v>0</v>
      </c>
      <c r="J103" s="18">
        <f t="shared" si="16"/>
        <v>0</v>
      </c>
      <c r="K103" s="18">
        <f t="shared" si="17"/>
        <v>0</v>
      </c>
      <c r="L103" s="18">
        <f t="shared" si="11"/>
        <v>11.79</v>
      </c>
      <c r="M103" s="18">
        <f t="shared" si="18"/>
        <v>0</v>
      </c>
      <c r="N103" s="18">
        <f t="shared" si="12"/>
        <v>11.79</v>
      </c>
      <c r="O103" s="8"/>
    </row>
    <row r="104" spans="1:15">
      <c r="A104" s="1" t="s">
        <v>94</v>
      </c>
      <c r="B104" s="11" t="s">
        <v>138</v>
      </c>
      <c r="C104" s="11">
        <v>0</v>
      </c>
      <c r="D104" s="11">
        <v>0</v>
      </c>
      <c r="E104" s="11">
        <v>0</v>
      </c>
      <c r="F104" s="11">
        <f t="shared" si="10"/>
        <v>0</v>
      </c>
      <c r="G104" s="17">
        <f t="shared" si="13"/>
        <v>11.79</v>
      </c>
      <c r="H104" s="17">
        <f t="shared" si="14"/>
        <v>0</v>
      </c>
      <c r="I104" s="17">
        <f t="shared" si="15"/>
        <v>0</v>
      </c>
      <c r="J104" s="18">
        <f t="shared" si="16"/>
        <v>0</v>
      </c>
      <c r="K104" s="18">
        <f t="shared" si="17"/>
        <v>0</v>
      </c>
      <c r="L104" s="18">
        <f t="shared" si="11"/>
        <v>11.79</v>
      </c>
      <c r="M104" s="18">
        <f t="shared" si="18"/>
        <v>0</v>
      </c>
      <c r="N104" s="18">
        <f t="shared" si="12"/>
        <v>11.79</v>
      </c>
      <c r="O104" s="8"/>
    </row>
    <row r="105" spans="1:15">
      <c r="A105" s="1" t="s">
        <v>95</v>
      </c>
      <c r="B105" s="11" t="s">
        <v>138</v>
      </c>
      <c r="C105" s="11">
        <v>0</v>
      </c>
      <c r="D105" s="11">
        <v>0</v>
      </c>
      <c r="E105" s="11">
        <v>0</v>
      </c>
      <c r="F105" s="11">
        <f t="shared" si="10"/>
        <v>0</v>
      </c>
      <c r="G105" s="17">
        <f t="shared" si="13"/>
        <v>11.79</v>
      </c>
      <c r="H105" s="17">
        <f t="shared" si="14"/>
        <v>0</v>
      </c>
      <c r="I105" s="17">
        <f t="shared" si="15"/>
        <v>0</v>
      </c>
      <c r="J105" s="18">
        <f t="shared" si="16"/>
        <v>0</v>
      </c>
      <c r="K105" s="18">
        <f t="shared" si="17"/>
        <v>0</v>
      </c>
      <c r="L105" s="18">
        <f t="shared" si="11"/>
        <v>11.79</v>
      </c>
      <c r="M105" s="18">
        <f t="shared" si="18"/>
        <v>0</v>
      </c>
      <c r="N105" s="18">
        <f t="shared" si="12"/>
        <v>11.79</v>
      </c>
      <c r="O105" s="8"/>
    </row>
    <row r="106" spans="1:15">
      <c r="A106" s="1" t="s">
        <v>96</v>
      </c>
      <c r="B106" s="11"/>
      <c r="C106" s="11">
        <v>1842000</v>
      </c>
      <c r="D106" s="11">
        <v>1842000</v>
      </c>
      <c r="E106" s="11">
        <v>0</v>
      </c>
      <c r="F106" s="11">
        <f t="shared" si="10"/>
        <v>0</v>
      </c>
      <c r="G106" s="17">
        <f t="shared" si="13"/>
        <v>40.090000000000003</v>
      </c>
      <c r="H106" s="17">
        <f t="shared" si="14"/>
        <v>0</v>
      </c>
      <c r="I106" s="17">
        <f t="shared" si="15"/>
        <v>0</v>
      </c>
      <c r="J106" s="18">
        <f t="shared" si="16"/>
        <v>0</v>
      </c>
      <c r="K106" s="18">
        <f t="shared" si="17"/>
        <v>0</v>
      </c>
      <c r="L106" s="18">
        <f t="shared" si="11"/>
        <v>40.090000000000003</v>
      </c>
      <c r="M106" s="18">
        <f t="shared" si="18"/>
        <v>0</v>
      </c>
      <c r="N106" s="18">
        <f t="shared" si="12"/>
        <v>40.090000000000003</v>
      </c>
      <c r="O106" s="8"/>
    </row>
    <row r="107" spans="1:15">
      <c r="A107" s="1" t="s">
        <v>97</v>
      </c>
      <c r="B107" s="11" t="s">
        <v>138</v>
      </c>
      <c r="C107" s="11">
        <v>0</v>
      </c>
      <c r="D107" s="11">
        <v>0</v>
      </c>
      <c r="E107" s="11">
        <v>0</v>
      </c>
      <c r="F107" s="11">
        <f t="shared" si="10"/>
        <v>0</v>
      </c>
      <c r="G107" s="17">
        <f t="shared" si="13"/>
        <v>11.79</v>
      </c>
      <c r="H107" s="17">
        <f t="shared" si="14"/>
        <v>0</v>
      </c>
      <c r="I107" s="17">
        <f t="shared" si="15"/>
        <v>0</v>
      </c>
      <c r="J107" s="18">
        <f t="shared" si="16"/>
        <v>0</v>
      </c>
      <c r="K107" s="18">
        <f t="shared" si="17"/>
        <v>0</v>
      </c>
      <c r="L107" s="18">
        <f t="shared" si="11"/>
        <v>11.79</v>
      </c>
      <c r="M107" s="18">
        <f t="shared" si="18"/>
        <v>0</v>
      </c>
      <c r="N107" s="18">
        <f t="shared" si="12"/>
        <v>11.79</v>
      </c>
      <c r="O107" s="8"/>
    </row>
    <row r="108" spans="1:15">
      <c r="A108" s="1" t="s">
        <v>98</v>
      </c>
      <c r="B108" s="11" t="s">
        <v>138</v>
      </c>
      <c r="C108" s="11">
        <v>0</v>
      </c>
      <c r="D108" s="11">
        <v>0</v>
      </c>
      <c r="E108" s="11">
        <v>0</v>
      </c>
      <c r="F108" s="11">
        <f t="shared" si="10"/>
        <v>0</v>
      </c>
      <c r="G108" s="17">
        <f t="shared" si="13"/>
        <v>11.79</v>
      </c>
      <c r="H108" s="17">
        <f t="shared" si="14"/>
        <v>0</v>
      </c>
      <c r="I108" s="17">
        <f t="shared" si="15"/>
        <v>0</v>
      </c>
      <c r="J108" s="18">
        <f t="shared" si="16"/>
        <v>0</v>
      </c>
      <c r="K108" s="18">
        <f t="shared" si="17"/>
        <v>0</v>
      </c>
      <c r="L108" s="18">
        <f t="shared" si="11"/>
        <v>11.79</v>
      </c>
      <c r="M108" s="18">
        <f t="shared" si="18"/>
        <v>0</v>
      </c>
      <c r="N108" s="18">
        <f t="shared" si="12"/>
        <v>11.79</v>
      </c>
      <c r="O108" s="8"/>
    </row>
    <row r="109" spans="1:15">
      <c r="A109" s="1" t="s">
        <v>99</v>
      </c>
      <c r="B109" s="11"/>
      <c r="C109" s="11">
        <v>1662000</v>
      </c>
      <c r="D109" s="11">
        <v>1662000</v>
      </c>
      <c r="E109" s="11">
        <v>0</v>
      </c>
      <c r="F109" s="11">
        <f t="shared" si="10"/>
        <v>0</v>
      </c>
      <c r="G109" s="17">
        <f t="shared" si="13"/>
        <v>40.090000000000003</v>
      </c>
      <c r="H109" s="17">
        <f t="shared" si="14"/>
        <v>0</v>
      </c>
      <c r="I109" s="17">
        <f t="shared" si="15"/>
        <v>0</v>
      </c>
      <c r="J109" s="18">
        <f t="shared" si="16"/>
        <v>0</v>
      </c>
      <c r="K109" s="18">
        <f t="shared" si="17"/>
        <v>0</v>
      </c>
      <c r="L109" s="18">
        <f t="shared" si="11"/>
        <v>40.090000000000003</v>
      </c>
      <c r="M109" s="18">
        <f t="shared" si="18"/>
        <v>0</v>
      </c>
      <c r="N109" s="18">
        <f t="shared" si="12"/>
        <v>40.090000000000003</v>
      </c>
      <c r="O109" s="8"/>
    </row>
    <row r="110" spans="1:15">
      <c r="A110" s="1" t="s">
        <v>100</v>
      </c>
      <c r="B110" s="11"/>
      <c r="C110" s="11">
        <v>515000</v>
      </c>
      <c r="D110" s="11">
        <v>515000</v>
      </c>
      <c r="E110" s="11">
        <v>0</v>
      </c>
      <c r="F110" s="11">
        <f t="shared" si="10"/>
        <v>0</v>
      </c>
      <c r="G110" s="17">
        <f t="shared" si="13"/>
        <v>40.090000000000003</v>
      </c>
      <c r="H110" s="17">
        <f t="shared" si="14"/>
        <v>0</v>
      </c>
      <c r="I110" s="17">
        <f t="shared" si="15"/>
        <v>0</v>
      </c>
      <c r="J110" s="18">
        <f t="shared" si="16"/>
        <v>0</v>
      </c>
      <c r="K110" s="18">
        <f t="shared" si="17"/>
        <v>0</v>
      </c>
      <c r="L110" s="18">
        <f t="shared" si="11"/>
        <v>40.090000000000003</v>
      </c>
      <c r="M110" s="18">
        <f t="shared" si="18"/>
        <v>0</v>
      </c>
      <c r="N110" s="18">
        <f t="shared" si="12"/>
        <v>40.090000000000003</v>
      </c>
      <c r="O110" s="8"/>
    </row>
    <row r="111" spans="1:15">
      <c r="A111" s="1" t="s">
        <v>101</v>
      </c>
      <c r="B111" s="11"/>
      <c r="C111" s="11">
        <v>4548000</v>
      </c>
      <c r="D111" s="11">
        <v>4548000</v>
      </c>
      <c r="E111" s="11">
        <v>0</v>
      </c>
      <c r="F111" s="11">
        <f t="shared" si="10"/>
        <v>0</v>
      </c>
      <c r="G111" s="17">
        <f t="shared" si="13"/>
        <v>40.090000000000003</v>
      </c>
      <c r="H111" s="17">
        <f t="shared" si="14"/>
        <v>0</v>
      </c>
      <c r="I111" s="17">
        <f t="shared" si="15"/>
        <v>0</v>
      </c>
      <c r="J111" s="18">
        <f t="shared" si="16"/>
        <v>0</v>
      </c>
      <c r="K111" s="18">
        <f t="shared" si="17"/>
        <v>0</v>
      </c>
      <c r="L111" s="18">
        <f t="shared" si="11"/>
        <v>40.090000000000003</v>
      </c>
      <c r="M111" s="18">
        <f t="shared" si="18"/>
        <v>0</v>
      </c>
      <c r="N111" s="18">
        <f t="shared" si="12"/>
        <v>40.090000000000003</v>
      </c>
      <c r="O111" s="8"/>
    </row>
    <row r="112" spans="1:15">
      <c r="A112" s="1" t="s">
        <v>102</v>
      </c>
      <c r="B112" s="11" t="s">
        <v>138</v>
      </c>
      <c r="C112" s="11">
        <v>0</v>
      </c>
      <c r="D112" s="11">
        <v>0</v>
      </c>
      <c r="E112" s="11">
        <v>0</v>
      </c>
      <c r="F112" s="11">
        <f t="shared" si="10"/>
        <v>0</v>
      </c>
      <c r="G112" s="17">
        <f t="shared" si="13"/>
        <v>11.79</v>
      </c>
      <c r="H112" s="17">
        <f t="shared" si="14"/>
        <v>0</v>
      </c>
      <c r="I112" s="17">
        <f t="shared" si="15"/>
        <v>0</v>
      </c>
      <c r="J112" s="18">
        <f t="shared" si="16"/>
        <v>0</v>
      </c>
      <c r="K112" s="18">
        <f t="shared" si="17"/>
        <v>0</v>
      </c>
      <c r="L112" s="18">
        <f t="shared" si="11"/>
        <v>11.79</v>
      </c>
      <c r="M112" s="18">
        <f t="shared" si="18"/>
        <v>0</v>
      </c>
      <c r="N112" s="18">
        <f t="shared" si="12"/>
        <v>11.79</v>
      </c>
      <c r="O112" s="8"/>
    </row>
    <row r="113" spans="1:15">
      <c r="A113" s="1" t="s">
        <v>103</v>
      </c>
      <c r="B113" s="11"/>
      <c r="C113" s="11">
        <v>1201000</v>
      </c>
      <c r="D113" s="11">
        <v>1201000</v>
      </c>
      <c r="E113" s="11">
        <v>0</v>
      </c>
      <c r="F113" s="11">
        <f t="shared" si="10"/>
        <v>0</v>
      </c>
      <c r="G113" s="17">
        <f t="shared" si="13"/>
        <v>40.090000000000003</v>
      </c>
      <c r="H113" s="17">
        <f t="shared" si="14"/>
        <v>0</v>
      </c>
      <c r="I113" s="17">
        <f t="shared" si="15"/>
        <v>0</v>
      </c>
      <c r="J113" s="18">
        <f t="shared" si="16"/>
        <v>0</v>
      </c>
      <c r="K113" s="18">
        <f t="shared" si="17"/>
        <v>0</v>
      </c>
      <c r="L113" s="18">
        <f t="shared" si="11"/>
        <v>40.090000000000003</v>
      </c>
      <c r="M113" s="18">
        <f t="shared" ref="M113:M136" si="19">IF(   $H$5=1,    IF((F113-$H$6)&gt;0,((F113-$H$6)/$N$7)*$E$8,0),   IF(F113&gt;0,(F113/$N$4)*$E$8,0)    )</f>
        <v>0</v>
      </c>
      <c r="N113" s="18">
        <f t="shared" si="12"/>
        <v>40.090000000000003</v>
      </c>
      <c r="O113" s="8"/>
    </row>
    <row r="114" spans="1:15">
      <c r="A114" s="1" t="s">
        <v>104</v>
      </c>
      <c r="B114" s="11" t="s">
        <v>138</v>
      </c>
      <c r="C114" s="11">
        <v>0</v>
      </c>
      <c r="D114" s="11">
        <v>0</v>
      </c>
      <c r="E114" s="11">
        <v>0</v>
      </c>
      <c r="F114" s="11">
        <f t="shared" si="10"/>
        <v>0</v>
      </c>
      <c r="G114" s="17">
        <f t="shared" si="13"/>
        <v>11.79</v>
      </c>
      <c r="H114" s="17">
        <f t="shared" si="14"/>
        <v>0</v>
      </c>
      <c r="I114" s="17">
        <f t="shared" si="15"/>
        <v>0</v>
      </c>
      <c r="J114" s="18">
        <f t="shared" si="16"/>
        <v>0</v>
      </c>
      <c r="K114" s="18">
        <f t="shared" si="17"/>
        <v>0</v>
      </c>
      <c r="L114" s="18">
        <f t="shared" si="11"/>
        <v>11.79</v>
      </c>
      <c r="M114" s="18">
        <f t="shared" si="19"/>
        <v>0</v>
      </c>
      <c r="N114" s="18">
        <f t="shared" si="12"/>
        <v>11.79</v>
      </c>
      <c r="O114" s="8"/>
    </row>
    <row r="115" spans="1:15">
      <c r="A115" s="1" t="s">
        <v>105</v>
      </c>
      <c r="B115" s="11"/>
      <c r="C115" s="11">
        <v>1467000</v>
      </c>
      <c r="D115" s="11">
        <v>1467000</v>
      </c>
      <c r="E115" s="11">
        <v>0</v>
      </c>
      <c r="F115" s="11">
        <f t="shared" si="10"/>
        <v>0</v>
      </c>
      <c r="G115" s="17">
        <f t="shared" si="13"/>
        <v>40.090000000000003</v>
      </c>
      <c r="H115" s="17">
        <f t="shared" si="14"/>
        <v>0</v>
      </c>
      <c r="I115" s="17">
        <f t="shared" si="15"/>
        <v>0</v>
      </c>
      <c r="J115" s="18">
        <f t="shared" si="16"/>
        <v>0</v>
      </c>
      <c r="K115" s="18">
        <f t="shared" si="17"/>
        <v>0</v>
      </c>
      <c r="L115" s="18">
        <f t="shared" si="11"/>
        <v>40.090000000000003</v>
      </c>
      <c r="M115" s="18">
        <f t="shared" si="19"/>
        <v>0</v>
      </c>
      <c r="N115" s="18">
        <f t="shared" si="12"/>
        <v>40.090000000000003</v>
      </c>
      <c r="O115" s="8"/>
    </row>
    <row r="116" spans="1:15">
      <c r="A116" s="1" t="s">
        <v>106</v>
      </c>
      <c r="B116" s="11"/>
      <c r="C116" s="11">
        <v>1791000</v>
      </c>
      <c r="D116" s="11">
        <v>1791000</v>
      </c>
      <c r="E116" s="11">
        <v>0</v>
      </c>
      <c r="F116" s="11">
        <f t="shared" si="10"/>
        <v>0</v>
      </c>
      <c r="G116" s="17">
        <f t="shared" si="13"/>
        <v>40.090000000000003</v>
      </c>
      <c r="H116" s="17">
        <f t="shared" si="14"/>
        <v>0</v>
      </c>
      <c r="I116" s="17">
        <f t="shared" si="15"/>
        <v>0</v>
      </c>
      <c r="J116" s="18">
        <f t="shared" si="16"/>
        <v>0</v>
      </c>
      <c r="K116" s="18">
        <f t="shared" si="17"/>
        <v>0</v>
      </c>
      <c r="L116" s="18">
        <f t="shared" si="11"/>
        <v>40.090000000000003</v>
      </c>
      <c r="M116" s="18">
        <f t="shared" si="19"/>
        <v>0</v>
      </c>
      <c r="N116" s="18">
        <f t="shared" si="12"/>
        <v>40.090000000000003</v>
      </c>
      <c r="O116" s="8"/>
    </row>
    <row r="117" spans="1:15">
      <c r="A117" s="1" t="s">
        <v>107</v>
      </c>
      <c r="B117" s="11"/>
      <c r="C117" s="11">
        <v>322000</v>
      </c>
      <c r="D117" s="11">
        <v>322000</v>
      </c>
      <c r="E117" s="11">
        <v>0</v>
      </c>
      <c r="F117" s="11">
        <f t="shared" si="10"/>
        <v>0</v>
      </c>
      <c r="G117" s="17">
        <f t="shared" si="13"/>
        <v>40.090000000000003</v>
      </c>
      <c r="H117" s="17">
        <f t="shared" si="14"/>
        <v>0</v>
      </c>
      <c r="I117" s="17">
        <f t="shared" si="15"/>
        <v>0</v>
      </c>
      <c r="J117" s="18">
        <f t="shared" si="16"/>
        <v>0</v>
      </c>
      <c r="K117" s="18">
        <f t="shared" si="17"/>
        <v>0</v>
      </c>
      <c r="L117" s="18">
        <f t="shared" si="11"/>
        <v>40.090000000000003</v>
      </c>
      <c r="M117" s="18">
        <f t="shared" si="19"/>
        <v>0</v>
      </c>
      <c r="N117" s="18">
        <f t="shared" si="12"/>
        <v>40.090000000000003</v>
      </c>
      <c r="O117" s="8"/>
    </row>
    <row r="118" spans="1:15">
      <c r="A118" s="1" t="s">
        <v>108</v>
      </c>
      <c r="B118" s="11"/>
      <c r="C118" s="11">
        <v>2588000</v>
      </c>
      <c r="D118" s="11">
        <v>2588000</v>
      </c>
      <c r="E118" s="11">
        <v>0</v>
      </c>
      <c r="F118" s="11">
        <f t="shared" si="10"/>
        <v>0</v>
      </c>
      <c r="G118" s="17">
        <f t="shared" si="13"/>
        <v>40.090000000000003</v>
      </c>
      <c r="H118" s="17">
        <f t="shared" si="14"/>
        <v>0</v>
      </c>
      <c r="I118" s="17">
        <f t="shared" si="15"/>
        <v>0</v>
      </c>
      <c r="J118" s="18">
        <f t="shared" si="16"/>
        <v>0</v>
      </c>
      <c r="K118" s="18">
        <f t="shared" si="17"/>
        <v>0</v>
      </c>
      <c r="L118" s="18">
        <f t="shared" si="11"/>
        <v>40.090000000000003</v>
      </c>
      <c r="M118" s="18">
        <f t="shared" si="19"/>
        <v>0</v>
      </c>
      <c r="N118" s="18">
        <f t="shared" si="12"/>
        <v>40.090000000000003</v>
      </c>
      <c r="O118" s="8"/>
    </row>
    <row r="119" spans="1:15">
      <c r="A119" s="1" t="s">
        <v>109</v>
      </c>
      <c r="B119" s="11" t="s">
        <v>138</v>
      </c>
      <c r="C119" s="11">
        <v>0</v>
      </c>
      <c r="D119" s="11">
        <v>0</v>
      </c>
      <c r="E119" s="11">
        <v>0</v>
      </c>
      <c r="F119" s="11">
        <f t="shared" si="10"/>
        <v>0</v>
      </c>
      <c r="G119" s="17">
        <f t="shared" si="13"/>
        <v>11.79</v>
      </c>
      <c r="H119" s="17">
        <f t="shared" si="14"/>
        <v>0</v>
      </c>
      <c r="I119" s="17">
        <f t="shared" si="15"/>
        <v>0</v>
      </c>
      <c r="J119" s="18">
        <f t="shared" si="16"/>
        <v>0</v>
      </c>
      <c r="K119" s="18">
        <f t="shared" si="17"/>
        <v>0</v>
      </c>
      <c r="L119" s="18">
        <f t="shared" si="11"/>
        <v>11.79</v>
      </c>
      <c r="M119" s="18">
        <f t="shared" si="19"/>
        <v>0</v>
      </c>
      <c r="N119" s="18">
        <f t="shared" si="12"/>
        <v>11.79</v>
      </c>
      <c r="O119" s="8"/>
    </row>
    <row r="120" spans="1:15">
      <c r="A120" s="1" t="s">
        <v>110</v>
      </c>
      <c r="B120" s="11"/>
      <c r="C120" s="11">
        <v>3793000</v>
      </c>
      <c r="D120" s="11">
        <v>3793000</v>
      </c>
      <c r="E120" s="11">
        <v>0</v>
      </c>
      <c r="F120" s="11">
        <f t="shared" si="10"/>
        <v>0</v>
      </c>
      <c r="G120" s="17">
        <f t="shared" si="13"/>
        <v>40.090000000000003</v>
      </c>
      <c r="H120" s="17">
        <f t="shared" si="14"/>
        <v>0</v>
      </c>
      <c r="I120" s="17">
        <f t="shared" si="15"/>
        <v>0</v>
      </c>
      <c r="J120" s="18">
        <f t="shared" si="16"/>
        <v>0</v>
      </c>
      <c r="K120" s="18">
        <f t="shared" si="17"/>
        <v>0</v>
      </c>
      <c r="L120" s="18">
        <f t="shared" si="11"/>
        <v>40.090000000000003</v>
      </c>
      <c r="M120" s="18">
        <f t="shared" si="19"/>
        <v>0</v>
      </c>
      <c r="N120" s="18">
        <f t="shared" si="12"/>
        <v>40.090000000000003</v>
      </c>
      <c r="O120" s="8"/>
    </row>
    <row r="121" spans="1:15">
      <c r="A121" s="1" t="s">
        <v>111</v>
      </c>
      <c r="B121" s="11"/>
      <c r="C121" s="11">
        <v>3508000</v>
      </c>
      <c r="D121" s="11">
        <v>3508000</v>
      </c>
      <c r="E121" s="11">
        <v>0</v>
      </c>
      <c r="F121" s="11">
        <f t="shared" si="10"/>
        <v>0</v>
      </c>
      <c r="G121" s="17">
        <f t="shared" si="13"/>
        <v>40.090000000000003</v>
      </c>
      <c r="H121" s="17">
        <f t="shared" si="14"/>
        <v>0</v>
      </c>
      <c r="I121" s="17">
        <f t="shared" si="15"/>
        <v>0</v>
      </c>
      <c r="J121" s="18">
        <f t="shared" si="16"/>
        <v>0</v>
      </c>
      <c r="K121" s="18">
        <f t="shared" si="17"/>
        <v>0</v>
      </c>
      <c r="L121" s="18">
        <f t="shared" si="11"/>
        <v>40.090000000000003</v>
      </c>
      <c r="M121" s="18">
        <f t="shared" si="19"/>
        <v>0</v>
      </c>
      <c r="N121" s="18">
        <f t="shared" si="12"/>
        <v>40.090000000000003</v>
      </c>
      <c r="O121" s="8"/>
    </row>
    <row r="122" spans="1:15">
      <c r="A122" s="1" t="s">
        <v>112</v>
      </c>
      <c r="B122" s="11"/>
      <c r="C122" s="11">
        <v>341000</v>
      </c>
      <c r="D122" s="11">
        <v>341000</v>
      </c>
      <c r="E122" s="11">
        <v>0</v>
      </c>
      <c r="F122" s="11">
        <f t="shared" si="10"/>
        <v>0</v>
      </c>
      <c r="G122" s="17">
        <f t="shared" si="13"/>
        <v>40.090000000000003</v>
      </c>
      <c r="H122" s="17">
        <f t="shared" si="14"/>
        <v>0</v>
      </c>
      <c r="I122" s="17">
        <f t="shared" si="15"/>
        <v>0</v>
      </c>
      <c r="J122" s="18">
        <f t="shared" si="16"/>
        <v>0</v>
      </c>
      <c r="K122" s="18">
        <f t="shared" si="17"/>
        <v>0</v>
      </c>
      <c r="L122" s="18">
        <f t="shared" si="11"/>
        <v>40.090000000000003</v>
      </c>
      <c r="M122" s="18">
        <f t="shared" si="19"/>
        <v>0</v>
      </c>
      <c r="N122" s="18">
        <f t="shared" si="12"/>
        <v>40.090000000000003</v>
      </c>
      <c r="O122" s="8"/>
    </row>
    <row r="123" spans="1:15">
      <c r="A123" s="1" t="s">
        <v>113</v>
      </c>
      <c r="B123" s="11"/>
      <c r="C123" s="11">
        <v>1443000</v>
      </c>
      <c r="D123" s="11">
        <v>1443000</v>
      </c>
      <c r="E123" s="11">
        <v>0</v>
      </c>
      <c r="F123" s="11">
        <f t="shared" si="10"/>
        <v>0</v>
      </c>
      <c r="G123" s="17">
        <f t="shared" si="13"/>
        <v>40.090000000000003</v>
      </c>
      <c r="H123" s="17">
        <f t="shared" si="14"/>
        <v>0</v>
      </c>
      <c r="I123" s="17">
        <f t="shared" si="15"/>
        <v>0</v>
      </c>
      <c r="J123" s="18">
        <f t="shared" si="16"/>
        <v>0</v>
      </c>
      <c r="K123" s="18">
        <f t="shared" si="17"/>
        <v>0</v>
      </c>
      <c r="L123" s="18">
        <f t="shared" si="11"/>
        <v>40.090000000000003</v>
      </c>
      <c r="M123" s="18">
        <f t="shared" si="19"/>
        <v>0</v>
      </c>
      <c r="N123" s="18">
        <f t="shared" si="12"/>
        <v>40.090000000000003</v>
      </c>
      <c r="O123" s="8"/>
    </row>
    <row r="124" spans="1:15">
      <c r="A124" s="1" t="s">
        <v>114</v>
      </c>
      <c r="B124" s="11"/>
      <c r="C124" s="11">
        <v>2578000</v>
      </c>
      <c r="D124" s="11">
        <v>2578000</v>
      </c>
      <c r="E124" s="11">
        <v>0</v>
      </c>
      <c r="F124" s="11">
        <f t="shared" si="10"/>
        <v>0</v>
      </c>
      <c r="G124" s="17">
        <f t="shared" si="13"/>
        <v>40.090000000000003</v>
      </c>
      <c r="H124" s="17">
        <f t="shared" si="14"/>
        <v>0</v>
      </c>
      <c r="I124" s="17">
        <f t="shared" si="15"/>
        <v>0</v>
      </c>
      <c r="J124" s="18">
        <f t="shared" si="16"/>
        <v>0</v>
      </c>
      <c r="K124" s="18">
        <f t="shared" si="17"/>
        <v>0</v>
      </c>
      <c r="L124" s="18">
        <f t="shared" si="11"/>
        <v>40.090000000000003</v>
      </c>
      <c r="M124" s="18">
        <f t="shared" si="19"/>
        <v>0</v>
      </c>
      <c r="N124" s="18">
        <f t="shared" si="12"/>
        <v>40.090000000000003</v>
      </c>
      <c r="O124" s="8"/>
    </row>
    <row r="125" spans="1:15">
      <c r="A125" s="1" t="s">
        <v>115</v>
      </c>
      <c r="B125" s="11"/>
      <c r="C125" s="11">
        <v>2468000</v>
      </c>
      <c r="D125" s="11">
        <v>2468000</v>
      </c>
      <c r="E125" s="11">
        <v>0</v>
      </c>
      <c r="F125" s="11">
        <f t="shared" si="10"/>
        <v>0</v>
      </c>
      <c r="G125" s="17">
        <f t="shared" si="13"/>
        <v>40.090000000000003</v>
      </c>
      <c r="H125" s="17">
        <f t="shared" si="14"/>
        <v>0</v>
      </c>
      <c r="I125" s="17">
        <f t="shared" si="15"/>
        <v>0</v>
      </c>
      <c r="J125" s="18">
        <f t="shared" si="16"/>
        <v>0</v>
      </c>
      <c r="K125" s="18">
        <f t="shared" si="17"/>
        <v>0</v>
      </c>
      <c r="L125" s="18">
        <f t="shared" si="11"/>
        <v>40.090000000000003</v>
      </c>
      <c r="M125" s="18">
        <f t="shared" si="19"/>
        <v>0</v>
      </c>
      <c r="N125" s="18">
        <f t="shared" si="12"/>
        <v>40.090000000000003</v>
      </c>
      <c r="O125" s="8"/>
    </row>
    <row r="126" spans="1:15">
      <c r="A126" s="1" t="s">
        <v>116</v>
      </c>
      <c r="B126" s="11"/>
      <c r="C126" s="11">
        <v>4257000</v>
      </c>
      <c r="D126" s="11">
        <v>4257000</v>
      </c>
      <c r="E126" s="11">
        <v>0</v>
      </c>
      <c r="F126" s="11">
        <f t="shared" si="10"/>
        <v>0</v>
      </c>
      <c r="G126" s="17">
        <f t="shared" si="13"/>
        <v>40.090000000000003</v>
      </c>
      <c r="H126" s="17">
        <f t="shared" si="14"/>
        <v>0</v>
      </c>
      <c r="I126" s="17">
        <f t="shared" si="15"/>
        <v>0</v>
      </c>
      <c r="J126" s="18">
        <f t="shared" si="16"/>
        <v>0</v>
      </c>
      <c r="K126" s="18">
        <f t="shared" si="17"/>
        <v>0</v>
      </c>
      <c r="L126" s="18">
        <f t="shared" si="11"/>
        <v>40.090000000000003</v>
      </c>
      <c r="M126" s="18">
        <f t="shared" si="19"/>
        <v>0</v>
      </c>
      <c r="N126" s="18">
        <f t="shared" si="12"/>
        <v>40.090000000000003</v>
      </c>
      <c r="O126" s="8"/>
    </row>
    <row r="127" spans="1:15">
      <c r="A127" s="1" t="s">
        <v>117</v>
      </c>
      <c r="B127" s="11"/>
      <c r="C127" s="11">
        <v>1890000</v>
      </c>
      <c r="D127" s="11">
        <v>1890000</v>
      </c>
      <c r="E127" s="11">
        <v>0</v>
      </c>
      <c r="F127" s="11">
        <f t="shared" si="10"/>
        <v>0</v>
      </c>
      <c r="G127" s="17">
        <f t="shared" si="13"/>
        <v>40.090000000000003</v>
      </c>
      <c r="H127" s="17">
        <f t="shared" si="14"/>
        <v>0</v>
      </c>
      <c r="I127" s="17">
        <f t="shared" si="15"/>
        <v>0</v>
      </c>
      <c r="J127" s="18">
        <f t="shared" si="16"/>
        <v>0</v>
      </c>
      <c r="K127" s="18">
        <f t="shared" si="17"/>
        <v>0</v>
      </c>
      <c r="L127" s="18">
        <f t="shared" si="11"/>
        <v>40.090000000000003</v>
      </c>
      <c r="M127" s="18">
        <f t="shared" si="19"/>
        <v>0</v>
      </c>
      <c r="N127" s="18">
        <f t="shared" si="12"/>
        <v>40.090000000000003</v>
      </c>
      <c r="O127" s="8"/>
    </row>
    <row r="128" spans="1:15">
      <c r="A128" s="1" t="s">
        <v>118</v>
      </c>
      <c r="B128" s="11"/>
      <c r="C128" s="11">
        <v>1179000</v>
      </c>
      <c r="D128" s="11">
        <v>1179000</v>
      </c>
      <c r="E128" s="11">
        <v>0</v>
      </c>
      <c r="F128" s="11">
        <f t="shared" si="10"/>
        <v>0</v>
      </c>
      <c r="G128" s="17">
        <f t="shared" si="13"/>
        <v>40.090000000000003</v>
      </c>
      <c r="H128" s="17">
        <f t="shared" si="14"/>
        <v>0</v>
      </c>
      <c r="I128" s="17">
        <f t="shared" si="15"/>
        <v>0</v>
      </c>
      <c r="J128" s="18">
        <f t="shared" si="16"/>
        <v>0</v>
      </c>
      <c r="K128" s="18">
        <f t="shared" si="17"/>
        <v>0</v>
      </c>
      <c r="L128" s="18">
        <f t="shared" si="11"/>
        <v>40.090000000000003</v>
      </c>
      <c r="M128" s="18">
        <f t="shared" si="19"/>
        <v>0</v>
      </c>
      <c r="N128" s="18">
        <f t="shared" si="12"/>
        <v>40.090000000000003</v>
      </c>
      <c r="O128" s="8" t="s">
        <v>174</v>
      </c>
    </row>
    <row r="129" spans="1:15">
      <c r="A129" s="1" t="s">
        <v>119</v>
      </c>
      <c r="B129" s="11"/>
      <c r="C129" s="11">
        <v>6840000</v>
      </c>
      <c r="D129" s="11">
        <v>6840000</v>
      </c>
      <c r="E129" s="11">
        <v>0</v>
      </c>
      <c r="F129" s="11">
        <f t="shared" si="10"/>
        <v>0</v>
      </c>
      <c r="G129" s="17">
        <f t="shared" si="13"/>
        <v>40.090000000000003</v>
      </c>
      <c r="H129" s="17">
        <f t="shared" si="14"/>
        <v>0</v>
      </c>
      <c r="I129" s="17">
        <f t="shared" si="15"/>
        <v>0</v>
      </c>
      <c r="J129" s="18">
        <f t="shared" si="16"/>
        <v>0</v>
      </c>
      <c r="K129" s="18">
        <f t="shared" si="17"/>
        <v>0</v>
      </c>
      <c r="L129" s="18">
        <f t="shared" si="11"/>
        <v>40.090000000000003</v>
      </c>
      <c r="M129" s="18">
        <f t="shared" si="19"/>
        <v>0</v>
      </c>
      <c r="N129" s="18">
        <f t="shared" si="12"/>
        <v>40.090000000000003</v>
      </c>
      <c r="O129" s="8"/>
    </row>
    <row r="130" spans="1:15">
      <c r="A130" s="1" t="s">
        <v>120</v>
      </c>
      <c r="B130" s="11"/>
      <c r="C130" s="11">
        <v>3693000</v>
      </c>
      <c r="D130" s="11">
        <v>3693000</v>
      </c>
      <c r="E130" s="11">
        <v>0</v>
      </c>
      <c r="F130" s="11">
        <f t="shared" si="10"/>
        <v>0</v>
      </c>
      <c r="G130" s="17">
        <f t="shared" si="13"/>
        <v>40.090000000000003</v>
      </c>
      <c r="H130" s="17">
        <f t="shared" si="14"/>
        <v>0</v>
      </c>
      <c r="I130" s="17">
        <f t="shared" si="15"/>
        <v>0</v>
      </c>
      <c r="J130" s="18">
        <f t="shared" si="16"/>
        <v>0</v>
      </c>
      <c r="K130" s="18">
        <f t="shared" si="17"/>
        <v>0</v>
      </c>
      <c r="L130" s="18">
        <f t="shared" si="11"/>
        <v>40.090000000000003</v>
      </c>
      <c r="M130" s="18">
        <f t="shared" si="19"/>
        <v>0</v>
      </c>
      <c r="N130" s="18">
        <f t="shared" si="12"/>
        <v>40.090000000000003</v>
      </c>
      <c r="O130" s="8"/>
    </row>
    <row r="131" spans="1:15">
      <c r="A131" s="1" t="s">
        <v>121</v>
      </c>
      <c r="B131" s="11" t="s">
        <v>138</v>
      </c>
      <c r="C131" s="11">
        <v>0</v>
      </c>
      <c r="D131" s="11">
        <v>0</v>
      </c>
      <c r="E131" s="11">
        <v>0</v>
      </c>
      <c r="F131" s="11">
        <f t="shared" si="10"/>
        <v>0</v>
      </c>
      <c r="G131" s="17">
        <f t="shared" si="13"/>
        <v>11.79</v>
      </c>
      <c r="H131" s="17">
        <f t="shared" si="14"/>
        <v>0</v>
      </c>
      <c r="I131" s="17">
        <f t="shared" si="15"/>
        <v>0</v>
      </c>
      <c r="J131" s="18">
        <f t="shared" si="16"/>
        <v>0</v>
      </c>
      <c r="K131" s="18">
        <f t="shared" si="17"/>
        <v>0</v>
      </c>
      <c r="L131" s="18">
        <f t="shared" si="11"/>
        <v>11.79</v>
      </c>
      <c r="M131" s="18">
        <f t="shared" si="19"/>
        <v>0</v>
      </c>
      <c r="N131" s="18">
        <f t="shared" si="12"/>
        <v>11.79</v>
      </c>
      <c r="O131" s="8"/>
    </row>
    <row r="132" spans="1:15">
      <c r="A132" s="1" t="s">
        <v>122</v>
      </c>
      <c r="B132" s="11"/>
      <c r="C132" s="11">
        <v>1297000</v>
      </c>
      <c r="D132" s="11">
        <v>1297000</v>
      </c>
      <c r="E132" s="11">
        <v>0</v>
      </c>
      <c r="F132" s="11">
        <f t="shared" si="10"/>
        <v>0</v>
      </c>
      <c r="G132" s="17">
        <f t="shared" si="13"/>
        <v>40.090000000000003</v>
      </c>
      <c r="H132" s="17">
        <f t="shared" si="14"/>
        <v>0</v>
      </c>
      <c r="I132" s="17">
        <f t="shared" si="15"/>
        <v>0</v>
      </c>
      <c r="J132" s="18">
        <f t="shared" si="16"/>
        <v>0</v>
      </c>
      <c r="K132" s="18">
        <f t="shared" si="17"/>
        <v>0</v>
      </c>
      <c r="L132" s="18">
        <f t="shared" si="11"/>
        <v>40.090000000000003</v>
      </c>
      <c r="M132" s="18">
        <f t="shared" si="19"/>
        <v>0</v>
      </c>
      <c r="N132" s="18">
        <f t="shared" si="12"/>
        <v>40.090000000000003</v>
      </c>
      <c r="O132" s="8"/>
    </row>
    <row r="133" spans="1:15">
      <c r="A133" s="1" t="s">
        <v>123</v>
      </c>
      <c r="B133" s="11" t="s">
        <v>138</v>
      </c>
      <c r="C133" s="11">
        <v>0</v>
      </c>
      <c r="D133" s="11">
        <v>0</v>
      </c>
      <c r="E133" s="11">
        <v>0</v>
      </c>
      <c r="F133" s="11">
        <f t="shared" si="10"/>
        <v>0</v>
      </c>
      <c r="G133" s="17">
        <f t="shared" si="13"/>
        <v>11.79</v>
      </c>
      <c r="H133" s="17">
        <f t="shared" si="14"/>
        <v>0</v>
      </c>
      <c r="I133" s="17">
        <f t="shared" si="15"/>
        <v>0</v>
      </c>
      <c r="J133" s="18">
        <f t="shared" si="16"/>
        <v>0</v>
      </c>
      <c r="K133" s="18">
        <f t="shared" si="17"/>
        <v>0</v>
      </c>
      <c r="L133" s="18">
        <f t="shared" si="11"/>
        <v>11.79</v>
      </c>
      <c r="M133" s="18">
        <f t="shared" si="19"/>
        <v>0</v>
      </c>
      <c r="N133" s="18">
        <f t="shared" si="12"/>
        <v>11.79</v>
      </c>
      <c r="O133" s="8"/>
    </row>
    <row r="134" spans="1:15">
      <c r="A134" s="1" t="s">
        <v>124</v>
      </c>
      <c r="B134" s="11" t="s">
        <v>138</v>
      </c>
      <c r="C134" s="11">
        <v>0</v>
      </c>
      <c r="D134" s="11">
        <v>0</v>
      </c>
      <c r="E134" s="11">
        <v>0</v>
      </c>
      <c r="F134" s="11">
        <f t="shared" si="10"/>
        <v>0</v>
      </c>
      <c r="G134" s="17">
        <f t="shared" si="13"/>
        <v>11.79</v>
      </c>
      <c r="H134" s="17">
        <f t="shared" si="14"/>
        <v>0</v>
      </c>
      <c r="I134" s="17">
        <f t="shared" si="15"/>
        <v>0</v>
      </c>
      <c r="J134" s="18">
        <f t="shared" si="16"/>
        <v>0</v>
      </c>
      <c r="K134" s="18">
        <f t="shared" si="17"/>
        <v>0</v>
      </c>
      <c r="L134" s="18">
        <f t="shared" si="11"/>
        <v>11.79</v>
      </c>
      <c r="M134" s="18">
        <f t="shared" si="19"/>
        <v>0</v>
      </c>
      <c r="N134" s="18">
        <f t="shared" si="12"/>
        <v>11.79</v>
      </c>
      <c r="O134" s="8"/>
    </row>
    <row r="135" spans="1:15">
      <c r="A135" s="1" t="s">
        <v>125</v>
      </c>
      <c r="B135" s="11" t="s">
        <v>138</v>
      </c>
      <c r="C135" s="11">
        <v>0</v>
      </c>
      <c r="D135" s="11">
        <v>0</v>
      </c>
      <c r="E135" s="11">
        <v>0</v>
      </c>
      <c r="F135" s="11">
        <f t="shared" si="10"/>
        <v>0</v>
      </c>
      <c r="G135" s="17">
        <f t="shared" si="13"/>
        <v>11.79</v>
      </c>
      <c r="H135" s="17">
        <f t="shared" si="14"/>
        <v>0</v>
      </c>
      <c r="I135" s="17">
        <f t="shared" si="15"/>
        <v>0</v>
      </c>
      <c r="J135" s="18">
        <f t="shared" si="16"/>
        <v>0</v>
      </c>
      <c r="K135" s="18">
        <f t="shared" si="17"/>
        <v>0</v>
      </c>
      <c r="L135" s="18">
        <f t="shared" si="11"/>
        <v>11.79</v>
      </c>
      <c r="M135" s="18">
        <f t="shared" si="19"/>
        <v>0</v>
      </c>
      <c r="N135" s="18">
        <f t="shared" si="12"/>
        <v>11.79</v>
      </c>
      <c r="O135" s="8"/>
    </row>
    <row r="136" spans="1:15">
      <c r="A136" s="1" t="s">
        <v>126</v>
      </c>
      <c r="B136" s="11"/>
      <c r="C136" s="11">
        <v>1003000</v>
      </c>
      <c r="D136" s="11">
        <v>1003000</v>
      </c>
      <c r="E136" s="11">
        <v>0</v>
      </c>
      <c r="F136" s="11">
        <f t="shared" si="10"/>
        <v>0</v>
      </c>
      <c r="G136" s="17">
        <f t="shared" si="13"/>
        <v>40.090000000000003</v>
      </c>
      <c r="H136" s="17">
        <f t="shared" si="14"/>
        <v>0</v>
      </c>
      <c r="I136" s="17">
        <f t="shared" si="15"/>
        <v>0</v>
      </c>
      <c r="J136" s="18">
        <f t="shared" si="16"/>
        <v>0</v>
      </c>
      <c r="K136" s="18">
        <f t="shared" si="17"/>
        <v>0</v>
      </c>
      <c r="L136" s="18">
        <f t="shared" si="11"/>
        <v>40.090000000000003</v>
      </c>
      <c r="M136" s="18">
        <f t="shared" si="19"/>
        <v>0</v>
      </c>
      <c r="N136" s="18">
        <f t="shared" si="12"/>
        <v>40.090000000000003</v>
      </c>
      <c r="O136" s="8"/>
    </row>
    <row r="137" spans="1:15">
      <c r="B137" s="11"/>
      <c r="C137" s="11"/>
      <c r="D137" s="11"/>
      <c r="E137" s="11"/>
      <c r="F137" s="11"/>
      <c r="G137" s="17"/>
      <c r="H137" s="17"/>
      <c r="I137" s="17"/>
      <c r="J137" s="18"/>
      <c r="K137" s="18"/>
      <c r="L137" s="18"/>
      <c r="M137" s="18"/>
      <c r="N137" s="18"/>
      <c r="O137" s="8"/>
    </row>
    <row r="138" spans="1:15">
      <c r="J138" s="1" t="s">
        <v>136</v>
      </c>
      <c r="M138" s="27">
        <f>SUM(M11:M136)</f>
        <v>0</v>
      </c>
      <c r="N138" s="5">
        <f>SUM(N11:N136)</f>
        <v>4196.7500000000045</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0</v>
      </c>
      <c r="G140" s="75">
        <f t="shared" si="20"/>
        <v>4196.7500000000045</v>
      </c>
      <c r="H140" s="75">
        <f t="shared" si="20"/>
        <v>0</v>
      </c>
      <c r="I140" s="75">
        <f t="shared" si="20"/>
        <v>0</v>
      </c>
      <c r="J140" s="75">
        <f t="shared" si="20"/>
        <v>0</v>
      </c>
      <c r="K140" s="75">
        <f t="shared" si="20"/>
        <v>0</v>
      </c>
      <c r="L140" s="75">
        <f t="shared" si="20"/>
        <v>4196.7500000000045</v>
      </c>
    </row>
    <row r="141" spans="1:15" customFormat="1">
      <c r="A141" t="s">
        <v>250</v>
      </c>
    </row>
    <row r="142" spans="1:15" customFormat="1">
      <c r="D142" t="s">
        <v>248</v>
      </c>
      <c r="E142" t="s">
        <v>148</v>
      </c>
      <c r="G142" t="s">
        <v>258</v>
      </c>
      <c r="H142" t="s">
        <v>166</v>
      </c>
      <c r="I142" t="s">
        <v>167</v>
      </c>
      <c r="J142" t="s">
        <v>169</v>
      </c>
      <c r="K142" t="s">
        <v>252</v>
      </c>
      <c r="L142" t="s">
        <v>251</v>
      </c>
      <c r="N142" s="1"/>
    </row>
    <row r="143" spans="1:15" customFormat="1">
      <c r="A143" t="s">
        <v>254</v>
      </c>
      <c r="D143">
        <v>82</v>
      </c>
      <c r="E143" s="25">
        <f>SUM(M18:M130)</f>
        <v>0</v>
      </c>
      <c r="G143" s="25">
        <f>SUM(G18:G130)-G145</f>
        <v>3287.3800000000028</v>
      </c>
      <c r="H143" s="80">
        <f>SUM(H18:H130)-H145</f>
        <v>0</v>
      </c>
      <c r="I143" s="25">
        <f>SUM(I18:I130)-I145</f>
        <v>0</v>
      </c>
      <c r="J143" s="25">
        <f>SUM(J18:J130)-J145</f>
        <v>0</v>
      </c>
      <c r="K143" s="25">
        <f>SUM(K18:K130)-K145</f>
        <v>0</v>
      </c>
      <c r="L143" s="25">
        <f>SUM(F143:K143)</f>
        <v>3287.3800000000028</v>
      </c>
      <c r="N143" s="1"/>
    </row>
    <row r="144" spans="1:15" customFormat="1">
      <c r="A144" t="s">
        <v>255</v>
      </c>
      <c r="D144">
        <v>8</v>
      </c>
      <c r="E144" s="25">
        <f>SUM(M11:M15)+M17+SUM(M131:M136)</f>
        <v>0</v>
      </c>
      <c r="G144" s="34">
        <f>SUM(G11:G15)+G17+G132+G136</f>
        <v>320.72000000000003</v>
      </c>
      <c r="H144" s="34">
        <f>SUM(H11:H15)+H17+H132+H136</f>
        <v>0</v>
      </c>
      <c r="I144" s="34">
        <f>SUM(I11:I15)+I17+I132+I136</f>
        <v>0</v>
      </c>
      <c r="J144" s="34">
        <f>SUM(J11:J15)+J17+J132+J136</f>
        <v>0</v>
      </c>
      <c r="K144" s="34">
        <f>SUM(K11:K15)+K17+K132+K136</f>
        <v>0</v>
      </c>
      <c r="L144" s="25">
        <f t="shared" ref="L144:L147" si="21">SUM(F144:K144)</f>
        <v>320.72000000000003</v>
      </c>
      <c r="N144" s="1"/>
    </row>
    <row r="145" spans="1:14"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365.49000000000007</v>
      </c>
      <c r="M145" s="25"/>
      <c r="N145" s="1"/>
    </row>
    <row r="146" spans="1:14" customFormat="1">
      <c r="A146" t="s">
        <v>261</v>
      </c>
      <c r="D146">
        <v>4</v>
      </c>
      <c r="E146" s="25">
        <v>0</v>
      </c>
      <c r="G146" s="25">
        <f>G135+G134+G133+G131</f>
        <v>47.16</v>
      </c>
      <c r="H146" s="25">
        <f>H135+H134+H133+H131</f>
        <v>0</v>
      </c>
      <c r="I146" s="25">
        <f>I135+I134+I133+I131</f>
        <v>0</v>
      </c>
      <c r="J146" s="25">
        <f>J135+J134+J133+J131</f>
        <v>0</v>
      </c>
      <c r="K146" s="25">
        <f>K135+K134+K133+K131</f>
        <v>0</v>
      </c>
      <c r="L146" s="25">
        <f t="shared" si="21"/>
        <v>47.16</v>
      </c>
      <c r="N146" s="1"/>
    </row>
    <row r="147" spans="1:14" customFormat="1">
      <c r="A147" t="s">
        <v>253</v>
      </c>
      <c r="D147">
        <v>1</v>
      </c>
      <c r="E147" s="25">
        <f>M16</f>
        <v>0</v>
      </c>
      <c r="G147" s="25">
        <f>G16</f>
        <v>176</v>
      </c>
      <c r="H147" s="25">
        <f>H16</f>
        <v>0</v>
      </c>
      <c r="I147" s="25">
        <f>I16</f>
        <v>0</v>
      </c>
      <c r="J147" s="25">
        <f>J16</f>
        <v>0</v>
      </c>
      <c r="K147" s="25">
        <f>K16</f>
        <v>0</v>
      </c>
      <c r="L147" s="25">
        <f t="shared" si="21"/>
        <v>176</v>
      </c>
      <c r="N147" s="1"/>
    </row>
    <row r="148" spans="1:14" customFormat="1" ht="15.75" thickBot="1">
      <c r="B148" t="s">
        <v>257</v>
      </c>
      <c r="D148" s="73">
        <f>SUM(D143:D147)</f>
        <v>126</v>
      </c>
      <c r="E148" s="74">
        <f>SUM(E143:E147)</f>
        <v>0</v>
      </c>
      <c r="F148" s="73"/>
      <c r="G148" s="74">
        <f t="shared" ref="G148:L148" si="22">SUM(G143:G147)</f>
        <v>4196.7500000000036</v>
      </c>
      <c r="H148" s="74">
        <f t="shared" si="22"/>
        <v>0</v>
      </c>
      <c r="I148" s="74">
        <f t="shared" si="22"/>
        <v>0</v>
      </c>
      <c r="J148" s="74">
        <f t="shared" si="22"/>
        <v>0</v>
      </c>
      <c r="K148" s="74">
        <f t="shared" si="22"/>
        <v>0</v>
      </c>
      <c r="L148" s="74">
        <f t="shared" si="22"/>
        <v>4196.7500000000036</v>
      </c>
      <c r="N148" s="1"/>
    </row>
    <row r="149" spans="1:14" customFormat="1" ht="15.75" thickTop="1">
      <c r="D149" s="78"/>
      <c r="E149" s="78"/>
      <c r="F149" s="78"/>
      <c r="G149" s="79"/>
      <c r="H149" s="79"/>
      <c r="I149" s="79"/>
      <c r="J149" s="79"/>
      <c r="K149" s="79"/>
      <c r="L149" s="79"/>
      <c r="N149" s="1"/>
    </row>
    <row r="150" spans="1:14" customFormat="1">
      <c r="A150" t="s">
        <v>262</v>
      </c>
      <c r="D150" s="75"/>
      <c r="E150" s="81">
        <v>0</v>
      </c>
      <c r="F150" s="75"/>
      <c r="G150" s="81">
        <f>F140-G151-G152-(SUM(H153:K153))</f>
        <v>0</v>
      </c>
      <c r="H150" s="81">
        <f>H143/2.18*1000</f>
        <v>0</v>
      </c>
      <c r="I150" s="81">
        <f>I143/2.53*1000</f>
        <v>0</v>
      </c>
      <c r="J150" s="81">
        <f>J143/2.95*1000</f>
        <v>0</v>
      </c>
      <c r="K150" s="81">
        <f>K143/3.42*1000</f>
        <v>0</v>
      </c>
      <c r="L150" s="81">
        <f>SUM(G150:K150)</f>
        <v>0</v>
      </c>
      <c r="N150" s="1"/>
    </row>
    <row r="151" spans="1:14" customFormat="1">
      <c r="A151" t="s">
        <v>263</v>
      </c>
      <c r="D151" s="75"/>
      <c r="E151" s="81">
        <v>0</v>
      </c>
      <c r="F151" s="75"/>
      <c r="G151" s="81">
        <f>(SUM(F11:F15)+F17+SUM(F131:F136)-H151-I151-J151-K151)</f>
        <v>0</v>
      </c>
      <c r="H151" s="81">
        <f>H144/2.18*1000</f>
        <v>0</v>
      </c>
      <c r="I151" s="81">
        <f>I144/2.53*1000</f>
        <v>0</v>
      </c>
      <c r="J151" s="81">
        <f>J144/2.95*1000</f>
        <v>0</v>
      </c>
      <c r="K151" s="81">
        <f>K144/3.42*1000</f>
        <v>0</v>
      </c>
      <c r="L151" s="81">
        <f>SUM(G151:K151)</f>
        <v>0</v>
      </c>
      <c r="N151" s="1"/>
    </row>
    <row r="152" spans="1:14" customFormat="1">
      <c r="A152" t="s">
        <v>264</v>
      </c>
      <c r="D152" s="75"/>
      <c r="E152" s="81">
        <v>0</v>
      </c>
      <c r="F152" s="75"/>
      <c r="G152" s="81">
        <f>IF(F16&gt;100000,100000,F16)</f>
        <v>0</v>
      </c>
      <c r="H152" s="81">
        <f>H147/1.89*1000</f>
        <v>0</v>
      </c>
      <c r="I152" s="81" t="s">
        <v>259</v>
      </c>
      <c r="J152" s="81" t="s">
        <v>259</v>
      </c>
      <c r="K152" s="81" t="s">
        <v>259</v>
      </c>
      <c r="L152" s="81">
        <f>SUM(G152:K152)</f>
        <v>0</v>
      </c>
      <c r="N152" s="1"/>
    </row>
    <row r="153" spans="1:14" customFormat="1" ht="15.75" thickBot="1">
      <c r="B153" t="s">
        <v>265</v>
      </c>
      <c r="D153" s="77"/>
      <c r="E153" s="82">
        <f>SUM(E150:E152)</f>
        <v>0</v>
      </c>
      <c r="F153" s="77"/>
      <c r="G153" s="82">
        <f>G150+G151+G152</f>
        <v>0</v>
      </c>
      <c r="H153" s="82">
        <f>SUM(H150:H152)</f>
        <v>0</v>
      </c>
      <c r="I153" s="82">
        <f>SUM(I150:I152)</f>
        <v>0</v>
      </c>
      <c r="J153" s="82">
        <f>SUM(J150:J152)</f>
        <v>0</v>
      </c>
      <c r="K153" s="82">
        <f>SUM(K150:K152)</f>
        <v>0</v>
      </c>
      <c r="L153" s="82">
        <f>SUM(L150:L152)</f>
        <v>0</v>
      </c>
      <c r="N153" s="1"/>
    </row>
    <row r="154" spans="1:14" ht="15.75" thickTop="1">
      <c r="E154" s="1" t="s">
        <v>274</v>
      </c>
    </row>
    <row r="155" spans="1:14">
      <c r="E155" s="75" t="s">
        <v>275</v>
      </c>
    </row>
    <row r="156" spans="1:14">
      <c r="E156" s="75" t="s">
        <v>273</v>
      </c>
    </row>
    <row r="157" spans="1:14">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sheetPr>
    <pageSetUpPr fitToPage="1"/>
  </sheetPr>
  <dimension ref="A1:N56"/>
  <sheetViews>
    <sheetView zoomScaleNormal="100" zoomScalePageLayoutView="70" workbookViewId="0">
      <selection sqref="A1:H1"/>
    </sheetView>
  </sheetViews>
  <sheetFormatPr defaultRowHeight="15"/>
  <cols>
    <col min="1" max="1" width="3.5703125" style="187" bestFit="1" customWidth="1"/>
    <col min="2" max="2" width="3.42578125" style="58" customWidth="1"/>
    <col min="3" max="3" width="38.7109375" style="58" bestFit="1" customWidth="1"/>
    <col min="4" max="5" width="10" style="58" bestFit="1" customWidth="1"/>
    <col min="6" max="7" width="14" style="58" bestFit="1" customWidth="1"/>
    <col min="8" max="8" width="16.7109375" style="58" bestFit="1" customWidth="1"/>
    <col min="9" max="9" width="14.85546875" style="58" bestFit="1" customWidth="1"/>
    <col min="10" max="10" width="1.85546875" style="58" customWidth="1"/>
    <col min="11" max="13" width="14.85546875" style="58" bestFit="1" customWidth="1"/>
  </cols>
  <sheetData>
    <row r="1" spans="1:14">
      <c r="A1" s="224" t="s">
        <v>383</v>
      </c>
      <c r="B1" s="224"/>
      <c r="C1" s="224"/>
      <c r="D1" s="224"/>
      <c r="E1" s="224"/>
      <c r="F1" s="224"/>
      <c r="G1" s="224"/>
      <c r="H1" s="224"/>
      <c r="I1" s="224" t="s">
        <v>383</v>
      </c>
      <c r="J1" s="224"/>
      <c r="K1" s="224"/>
      <c r="L1" s="224"/>
      <c r="M1" s="224"/>
      <c r="N1" s="193"/>
    </row>
    <row r="2" spans="1:14" ht="15.75" thickBot="1">
      <c r="A2" s="225" t="s">
        <v>388</v>
      </c>
      <c r="B2" s="225"/>
      <c r="C2" s="225"/>
      <c r="D2" s="225"/>
      <c r="E2" s="225"/>
      <c r="F2" s="225"/>
      <c r="G2" s="225"/>
      <c r="H2" s="225"/>
      <c r="I2" s="225" t="s">
        <v>384</v>
      </c>
      <c r="J2" s="225"/>
      <c r="K2" s="225"/>
      <c r="L2" s="225"/>
      <c r="M2" s="225"/>
      <c r="N2" s="194"/>
    </row>
    <row r="3" spans="1:14">
      <c r="A3" s="226" t="s">
        <v>288</v>
      </c>
      <c r="B3" s="229" t="s">
        <v>287</v>
      </c>
      <c r="C3" s="230"/>
      <c r="D3" s="59" t="s">
        <v>0</v>
      </c>
      <c r="E3" s="59" t="s">
        <v>0</v>
      </c>
      <c r="F3" s="61" t="s">
        <v>369</v>
      </c>
      <c r="G3" s="61" t="s">
        <v>206</v>
      </c>
      <c r="H3" s="165" t="s">
        <v>206</v>
      </c>
      <c r="I3" s="157" t="s">
        <v>247</v>
      </c>
      <c r="J3" s="168"/>
      <c r="K3" s="59" t="s">
        <v>247</v>
      </c>
      <c r="L3" s="59" t="s">
        <v>247</v>
      </c>
      <c r="M3" s="59" t="s">
        <v>206</v>
      </c>
    </row>
    <row r="4" spans="1:14">
      <c r="A4" s="227"/>
      <c r="B4" s="231"/>
      <c r="C4" s="232"/>
      <c r="D4" s="60" t="s">
        <v>367</v>
      </c>
      <c r="E4" s="60" t="s">
        <v>367</v>
      </c>
      <c r="F4" s="155" t="s">
        <v>207</v>
      </c>
      <c r="G4" s="155" t="s">
        <v>207</v>
      </c>
      <c r="H4" s="166" t="s">
        <v>207</v>
      </c>
      <c r="I4" s="54" t="s">
        <v>207</v>
      </c>
      <c r="J4" s="169"/>
      <c r="K4" s="151" t="s">
        <v>207</v>
      </c>
      <c r="L4" s="151" t="s">
        <v>207</v>
      </c>
      <c r="M4" s="151" t="s">
        <v>207</v>
      </c>
    </row>
    <row r="5" spans="1:14" ht="15.75" thickBot="1">
      <c r="A5" s="228"/>
      <c r="B5" s="233"/>
      <c r="C5" s="234"/>
      <c r="D5" s="64" t="s">
        <v>364</v>
      </c>
      <c r="E5" s="64" t="s">
        <v>365</v>
      </c>
      <c r="F5" s="156" t="s">
        <v>362</v>
      </c>
      <c r="G5" s="156" t="s">
        <v>362</v>
      </c>
      <c r="H5" s="167" t="s">
        <v>362</v>
      </c>
      <c r="I5" s="56" t="s">
        <v>362</v>
      </c>
      <c r="J5" s="170"/>
      <c r="K5" s="152" t="s">
        <v>363</v>
      </c>
      <c r="L5" s="152" t="s">
        <v>363</v>
      </c>
      <c r="M5" s="152" t="s">
        <v>363</v>
      </c>
    </row>
    <row r="6" spans="1:14">
      <c r="A6" s="186">
        <v>1</v>
      </c>
      <c r="B6" s="47" t="s">
        <v>213</v>
      </c>
      <c r="C6" s="46"/>
      <c r="F6" s="45"/>
      <c r="G6" s="45"/>
      <c r="H6" s="174" t="s">
        <v>372</v>
      </c>
      <c r="I6" s="45"/>
      <c r="J6" s="69"/>
      <c r="K6" s="153"/>
      <c r="L6" s="154" t="s">
        <v>372</v>
      </c>
      <c r="M6" s="185" t="s">
        <v>403</v>
      </c>
    </row>
    <row r="7" spans="1:14">
      <c r="A7" s="186">
        <v>2</v>
      </c>
      <c r="B7" s="47"/>
      <c r="C7" s="52" t="s">
        <v>214</v>
      </c>
      <c r="D7" s="67"/>
      <c r="E7" s="67"/>
      <c r="F7" s="69"/>
      <c r="G7" s="69"/>
      <c r="H7" s="159"/>
      <c r="I7" s="69"/>
      <c r="J7" s="69"/>
      <c r="K7" s="69"/>
      <c r="L7" s="69"/>
      <c r="M7" s="69"/>
    </row>
    <row r="8" spans="1:14">
      <c r="A8" s="186">
        <v>3</v>
      </c>
      <c r="B8" s="47"/>
      <c r="C8" s="46" t="s">
        <v>137</v>
      </c>
      <c r="D8" s="111">
        <v>31</v>
      </c>
      <c r="E8" s="111">
        <v>31</v>
      </c>
      <c r="F8" s="108">
        <f>'Table 3 Summation of Detail'!H8</f>
        <v>0</v>
      </c>
      <c r="G8" s="108">
        <f>'Table 3 Summation of Detail'!J8</f>
        <v>0</v>
      </c>
      <c r="H8" s="160">
        <f t="shared" ref="H8:H13" si="0">ROUNDUP(G8,-3)</f>
        <v>0</v>
      </c>
      <c r="I8" s="108">
        <f>'Table 3 Summation of Detail'!K8</f>
        <v>0</v>
      </c>
      <c r="J8" s="171"/>
      <c r="K8" s="108">
        <f>I8/$E$8</f>
        <v>0</v>
      </c>
      <c r="L8" s="108">
        <f t="shared" ref="L8:L13" si="1">ROUNDUP(K8,-3)</f>
        <v>0</v>
      </c>
      <c r="M8" s="108">
        <f>L8*12</f>
        <v>0</v>
      </c>
    </row>
    <row r="9" spans="1:14">
      <c r="A9" s="186">
        <v>4</v>
      </c>
      <c r="B9" s="47"/>
      <c r="C9" s="50" t="s">
        <v>208</v>
      </c>
      <c r="D9" s="111">
        <v>82</v>
      </c>
      <c r="E9" s="111">
        <v>82</v>
      </c>
      <c r="F9" s="108">
        <f>'Table 3 Summation of Detail'!H9</f>
        <v>13229600</v>
      </c>
      <c r="G9" s="108">
        <f>'Table 3 Summation of Detail'!J9</f>
        <v>6614800</v>
      </c>
      <c r="H9" s="160">
        <f t="shared" si="0"/>
        <v>6615000</v>
      </c>
      <c r="I9" s="108">
        <f>'Table 3 Summation of Detail'!K9</f>
        <v>551233.33333333337</v>
      </c>
      <c r="J9" s="171"/>
      <c r="K9" s="108">
        <f>$I9/$E$9</f>
        <v>6722.3577235772364</v>
      </c>
      <c r="L9" s="108">
        <f t="shared" si="1"/>
        <v>7000</v>
      </c>
      <c r="M9" s="108">
        <f>L9*12*E$9</f>
        <v>6888000</v>
      </c>
    </row>
    <row r="10" spans="1:14">
      <c r="A10" s="186">
        <v>5</v>
      </c>
      <c r="B10" s="47"/>
      <c r="C10" s="50" t="s">
        <v>209</v>
      </c>
      <c r="F10" s="108">
        <f>'Table 3 Summation of Detail'!H10</f>
        <v>5252000</v>
      </c>
      <c r="G10" s="108">
        <f>'Table 3 Summation of Detail'!J10</f>
        <v>2626000</v>
      </c>
      <c r="H10" s="160">
        <f t="shared" si="0"/>
        <v>2626000</v>
      </c>
      <c r="I10" s="108">
        <f>'Table 3 Summation of Detail'!K10</f>
        <v>218833.33333333334</v>
      </c>
      <c r="J10" s="171"/>
      <c r="K10" s="108">
        <f>$I10/$E$9</f>
        <v>2668.6991869918702</v>
      </c>
      <c r="L10" s="108">
        <f t="shared" si="1"/>
        <v>3000</v>
      </c>
      <c r="M10" s="108">
        <f>L10*12*E$9</f>
        <v>2952000</v>
      </c>
    </row>
    <row r="11" spans="1:14">
      <c r="A11" s="186">
        <v>6</v>
      </c>
      <c r="B11" s="47"/>
      <c r="C11" s="50" t="s">
        <v>210</v>
      </c>
      <c r="F11" s="108">
        <f>'Table 3 Summation of Detail'!H11</f>
        <v>3220000.0000000005</v>
      </c>
      <c r="G11" s="108">
        <f>'Table 3 Summation of Detail'!J11</f>
        <v>1610000.0000000002</v>
      </c>
      <c r="H11" s="160">
        <f t="shared" si="0"/>
        <v>1610000</v>
      </c>
      <c r="I11" s="108">
        <f>'Table 3 Summation of Detail'!K11</f>
        <v>134166.66666666669</v>
      </c>
      <c r="J11" s="171"/>
      <c r="K11" s="108">
        <f>$I11/$E$9</f>
        <v>1636.1788617886182</v>
      </c>
      <c r="L11" s="108">
        <f t="shared" si="1"/>
        <v>2000</v>
      </c>
      <c r="M11" s="108">
        <f>L11*12*E$9</f>
        <v>1968000</v>
      </c>
    </row>
    <row r="12" spans="1:14">
      <c r="A12" s="186">
        <v>7</v>
      </c>
      <c r="B12" s="47"/>
      <c r="C12" s="50" t="s">
        <v>211</v>
      </c>
      <c r="F12" s="108">
        <f>'Table 3 Summation of Detail'!H12</f>
        <v>2081000</v>
      </c>
      <c r="G12" s="108">
        <f>'Table 3 Summation of Detail'!J12</f>
        <v>1040500</v>
      </c>
      <c r="H12" s="160">
        <f t="shared" si="0"/>
        <v>1041000</v>
      </c>
      <c r="I12" s="108">
        <f>'Table 3 Summation of Detail'!K12</f>
        <v>86708.333333333328</v>
      </c>
      <c r="J12" s="171"/>
      <c r="K12" s="108">
        <f>$I12/$E$9</f>
        <v>1057.4186991869917</v>
      </c>
      <c r="L12" s="108">
        <f t="shared" si="1"/>
        <v>2000</v>
      </c>
      <c r="M12" s="108">
        <f>L12*12*E$9</f>
        <v>1968000</v>
      </c>
    </row>
    <row r="13" spans="1:14">
      <c r="A13" s="186">
        <v>8</v>
      </c>
      <c r="B13" s="47"/>
      <c r="C13" s="51" t="s">
        <v>212</v>
      </c>
      <c r="F13" s="108">
        <f>'Table 3 Summation of Detail'!H13</f>
        <v>5958000</v>
      </c>
      <c r="G13" s="108">
        <f>'Table 3 Summation of Detail'!J13</f>
        <v>2979000</v>
      </c>
      <c r="H13" s="160">
        <f t="shared" si="0"/>
        <v>2979000</v>
      </c>
      <c r="I13" s="108">
        <f>'Table 3 Summation of Detail'!K13</f>
        <v>248250</v>
      </c>
      <c r="J13" s="171"/>
      <c r="K13" s="108">
        <f>$I13/$E$9</f>
        <v>3027.439024390244</v>
      </c>
      <c r="L13" s="108">
        <f t="shared" si="1"/>
        <v>4000</v>
      </c>
      <c r="M13" s="108">
        <f>L13*12*E$9</f>
        <v>3936000</v>
      </c>
    </row>
    <row r="14" spans="1:14">
      <c r="A14" s="186">
        <v>9</v>
      </c>
      <c r="B14" s="47"/>
      <c r="C14" s="65" t="s">
        <v>280</v>
      </c>
      <c r="F14" s="109">
        <f>SUM(F10:F13)</f>
        <v>16511000</v>
      </c>
      <c r="G14" s="109">
        <f>SUM(G10:G13)</f>
        <v>8255500</v>
      </c>
      <c r="H14" s="161">
        <f>SUM(H10:H13)</f>
        <v>8256000</v>
      </c>
      <c r="I14" s="109">
        <f>SUM(I10:I13)</f>
        <v>687958.33333333326</v>
      </c>
      <c r="J14" s="172"/>
      <c r="K14" s="109">
        <f>SUM(K10:K13)</f>
        <v>8389.7357723577243</v>
      </c>
      <c r="L14" s="109">
        <f>SUM(L10:L13)</f>
        <v>11000</v>
      </c>
      <c r="M14" s="109">
        <f>SUM(M10:M13)</f>
        <v>10824000</v>
      </c>
    </row>
    <row r="15" spans="1:14" ht="15.75" thickBot="1">
      <c r="A15" s="186">
        <v>10</v>
      </c>
      <c r="B15" s="47"/>
      <c r="C15" s="65" t="s">
        <v>279</v>
      </c>
      <c r="F15" s="107">
        <f>F14+F9+F8</f>
        <v>29740600</v>
      </c>
      <c r="G15" s="107">
        <f>G14+G9+G8</f>
        <v>14870300</v>
      </c>
      <c r="H15" s="162">
        <f>H14+H9+H8</f>
        <v>14871000</v>
      </c>
      <c r="I15" s="107">
        <f>I14+I9+I8</f>
        <v>1239191.6666666665</v>
      </c>
      <c r="J15" s="173"/>
      <c r="K15" s="107">
        <f>K14+K9+K8</f>
        <v>15112.093495934962</v>
      </c>
      <c r="L15" s="107">
        <f>L14+L9+L8</f>
        <v>18000</v>
      </c>
      <c r="M15" s="107">
        <f>M14+M9+M8</f>
        <v>17712000</v>
      </c>
    </row>
    <row r="16" spans="1:14" ht="15.75" thickTop="1">
      <c r="A16" s="186">
        <v>11</v>
      </c>
      <c r="B16" s="47"/>
      <c r="C16" s="52" t="s">
        <v>215</v>
      </c>
      <c r="D16" s="67"/>
      <c r="E16" s="67"/>
      <c r="F16" s="69"/>
      <c r="G16" s="69"/>
      <c r="H16" s="159"/>
      <c r="I16" s="69"/>
      <c r="J16" s="69"/>
      <c r="K16" s="69"/>
      <c r="L16" s="69"/>
      <c r="M16" s="69"/>
    </row>
    <row r="17" spans="1:13">
      <c r="A17" s="186">
        <v>12</v>
      </c>
      <c r="B17" s="47"/>
      <c r="C17" s="46" t="s">
        <v>137</v>
      </c>
      <c r="D17" s="111">
        <v>4</v>
      </c>
      <c r="E17" s="111">
        <v>4</v>
      </c>
      <c r="F17" s="108">
        <f>'Table 3 Summation of Detail'!H17</f>
        <v>0</v>
      </c>
      <c r="G17" s="108">
        <f>'Table 3 Summation of Detail'!J17</f>
        <v>0</v>
      </c>
      <c r="H17" s="160">
        <f t="shared" ref="H17:H22" si="2">ROUNDUP(G17,-3)</f>
        <v>0</v>
      </c>
      <c r="I17" s="108">
        <f>'Table 3 Summation of Detail'!K17</f>
        <v>0</v>
      </c>
      <c r="J17" s="171"/>
      <c r="K17" s="108">
        <f>$I17/$E$17</f>
        <v>0</v>
      </c>
      <c r="L17" s="108">
        <f t="shared" ref="L17:L22" si="3">ROUNDUP(K17,-3)</f>
        <v>0</v>
      </c>
      <c r="M17" s="108">
        <f>L17*12*E$17</f>
        <v>0</v>
      </c>
    </row>
    <row r="18" spans="1:13">
      <c r="A18" s="186">
        <v>13</v>
      </c>
      <c r="B18" s="47"/>
      <c r="C18" s="50" t="s">
        <v>208</v>
      </c>
      <c r="D18" s="111">
        <v>8</v>
      </c>
      <c r="E18" s="111">
        <v>8</v>
      </c>
      <c r="F18" s="108">
        <f>'Table 3 Summation of Detail'!H18</f>
        <v>1609000</v>
      </c>
      <c r="G18" s="108">
        <f>'Table 3 Summation of Detail'!J18</f>
        <v>804500</v>
      </c>
      <c r="H18" s="160">
        <f t="shared" si="2"/>
        <v>805000</v>
      </c>
      <c r="I18" s="108">
        <f>'Table 3 Summation of Detail'!K18</f>
        <v>67041.666666666672</v>
      </c>
      <c r="J18" s="171"/>
      <c r="K18" s="108">
        <f>$I18/$E$18</f>
        <v>8380.2083333333339</v>
      </c>
      <c r="L18" s="108">
        <f t="shared" si="3"/>
        <v>9000</v>
      </c>
      <c r="M18" s="108">
        <f>L18*12*E$18</f>
        <v>864000</v>
      </c>
    </row>
    <row r="19" spans="1:13">
      <c r="A19" s="186">
        <v>14</v>
      </c>
      <c r="B19" s="47"/>
      <c r="C19" s="50" t="s">
        <v>209</v>
      </c>
      <c r="F19" s="108">
        <f>'Table 3 Summation of Detail'!H19</f>
        <v>1175000</v>
      </c>
      <c r="G19" s="108">
        <f>'Table 3 Summation of Detail'!J19</f>
        <v>587500</v>
      </c>
      <c r="H19" s="160">
        <f t="shared" si="2"/>
        <v>588000</v>
      </c>
      <c r="I19" s="108">
        <f>'Table 3 Summation of Detail'!K19</f>
        <v>48958.333333333336</v>
      </c>
      <c r="J19" s="171"/>
      <c r="K19" s="108">
        <f>$I19/$E$18</f>
        <v>6119.791666666667</v>
      </c>
      <c r="L19" s="108">
        <f t="shared" si="3"/>
        <v>7000</v>
      </c>
      <c r="M19" s="108">
        <f>L19*12*E$18</f>
        <v>672000</v>
      </c>
    </row>
    <row r="20" spans="1:13">
      <c r="A20" s="186">
        <v>15</v>
      </c>
      <c r="B20" s="47"/>
      <c r="C20" s="50" t="s">
        <v>210</v>
      </c>
      <c r="F20" s="108">
        <f>'Table 3 Summation of Detail'!H20</f>
        <v>966000</v>
      </c>
      <c r="G20" s="108">
        <f>'Table 3 Summation of Detail'!J20</f>
        <v>483000</v>
      </c>
      <c r="H20" s="160">
        <f t="shared" si="2"/>
        <v>483000</v>
      </c>
      <c r="I20" s="108">
        <f>'Table 3 Summation of Detail'!K20</f>
        <v>40250</v>
      </c>
      <c r="J20" s="171"/>
      <c r="K20" s="108">
        <f>$I20/$E$18</f>
        <v>5031.25</v>
      </c>
      <c r="L20" s="108">
        <f t="shared" si="3"/>
        <v>6000</v>
      </c>
      <c r="M20" s="108">
        <f>L20*12*E$18</f>
        <v>576000</v>
      </c>
    </row>
    <row r="21" spans="1:13">
      <c r="A21" s="186">
        <v>16</v>
      </c>
      <c r="B21" s="47"/>
      <c r="C21" s="50" t="s">
        <v>211</v>
      </c>
      <c r="F21" s="108">
        <f>'Table 3 Summation of Detail'!H21</f>
        <v>917000</v>
      </c>
      <c r="G21" s="108">
        <f>'Table 3 Summation of Detail'!J21</f>
        <v>458500</v>
      </c>
      <c r="H21" s="160">
        <f t="shared" si="2"/>
        <v>459000</v>
      </c>
      <c r="I21" s="108">
        <f>'Table 3 Summation of Detail'!K21</f>
        <v>38208.333333333336</v>
      </c>
      <c r="J21" s="171"/>
      <c r="K21" s="108">
        <f>$I21/$E$18</f>
        <v>4776.041666666667</v>
      </c>
      <c r="L21" s="108">
        <f t="shared" si="3"/>
        <v>5000</v>
      </c>
      <c r="M21" s="108">
        <f>L21*12*E$18</f>
        <v>480000</v>
      </c>
    </row>
    <row r="22" spans="1:13">
      <c r="A22" s="186">
        <v>17</v>
      </c>
      <c r="B22" s="47"/>
      <c r="C22" s="51" t="s">
        <v>212</v>
      </c>
      <c r="F22" s="108">
        <f>'Table 3 Summation of Detail'!H22</f>
        <v>4859000</v>
      </c>
      <c r="G22" s="108">
        <f>'Table 3 Summation of Detail'!J22</f>
        <v>2429500</v>
      </c>
      <c r="H22" s="160">
        <f t="shared" si="2"/>
        <v>2430000</v>
      </c>
      <c r="I22" s="108">
        <f>'Table 3 Summation of Detail'!K22</f>
        <v>202458.33333333334</v>
      </c>
      <c r="J22" s="171"/>
      <c r="K22" s="108">
        <f>$I22/$E$18</f>
        <v>25307.291666666668</v>
      </c>
      <c r="L22" s="108">
        <f t="shared" si="3"/>
        <v>26000</v>
      </c>
      <c r="M22" s="108">
        <f>L22*12*E$18</f>
        <v>2496000</v>
      </c>
    </row>
    <row r="23" spans="1:13">
      <c r="A23" s="186">
        <v>18</v>
      </c>
      <c r="B23" s="47"/>
      <c r="C23" s="65" t="s">
        <v>280</v>
      </c>
      <c r="F23" s="109">
        <f>SUM(F19:F22)</f>
        <v>7917000</v>
      </c>
      <c r="G23" s="109">
        <f>SUM(G19:G22)</f>
        <v>3958500</v>
      </c>
      <c r="H23" s="161">
        <f>SUM(H19:H22)</f>
        <v>3960000</v>
      </c>
      <c r="I23" s="109">
        <f>SUM(I19:I22)</f>
        <v>329875</v>
      </c>
      <c r="J23" s="172"/>
      <c r="K23" s="109">
        <f>SUM(K19:K22)</f>
        <v>41234.375</v>
      </c>
      <c r="L23" s="109">
        <f>SUM(L19:L22)</f>
        <v>44000</v>
      </c>
      <c r="M23" s="109">
        <f>SUM(M19:M22)</f>
        <v>4224000</v>
      </c>
    </row>
    <row r="24" spans="1:13" ht="15.75" thickBot="1">
      <c r="A24" s="186">
        <v>19</v>
      </c>
      <c r="B24" s="47"/>
      <c r="C24" s="65" t="s">
        <v>279</v>
      </c>
      <c r="F24" s="107">
        <f>F23+F18+F17</f>
        <v>9526000</v>
      </c>
      <c r="G24" s="107">
        <f>G23+G18+G17</f>
        <v>4763000</v>
      </c>
      <c r="H24" s="162">
        <f>H23+H18+H17</f>
        <v>4765000</v>
      </c>
      <c r="I24" s="107">
        <f>I23+I18+I17</f>
        <v>396916.66666666669</v>
      </c>
      <c r="J24" s="173"/>
      <c r="K24" s="107">
        <f>K23+K18+K17</f>
        <v>49614.583333333336</v>
      </c>
      <c r="L24" s="107">
        <f>L23+L18+L17</f>
        <v>53000</v>
      </c>
      <c r="M24" s="107">
        <f>M23+M18+M17</f>
        <v>5088000</v>
      </c>
    </row>
    <row r="25" spans="1:13" ht="15.75" thickTop="1">
      <c r="A25" s="186">
        <v>20</v>
      </c>
      <c r="B25" s="47" t="s">
        <v>217</v>
      </c>
      <c r="C25" s="46"/>
      <c r="D25" s="67"/>
      <c r="E25" s="67"/>
      <c r="F25" s="69"/>
      <c r="G25" s="69"/>
      <c r="H25" s="159"/>
      <c r="I25" s="69"/>
      <c r="J25" s="69"/>
      <c r="K25" s="69"/>
      <c r="L25" s="69"/>
      <c r="M25" s="69"/>
    </row>
    <row r="26" spans="1:13">
      <c r="A26" s="186">
        <v>21</v>
      </c>
      <c r="B26" s="47"/>
      <c r="C26" s="46" t="s">
        <v>137</v>
      </c>
      <c r="D26" s="111">
        <f t="shared" ref="D26:L27" si="4">D8+D17</f>
        <v>35</v>
      </c>
      <c r="E26" s="111">
        <f t="shared" si="4"/>
        <v>35</v>
      </c>
      <c r="F26" s="108">
        <f t="shared" si="4"/>
        <v>0</v>
      </c>
      <c r="G26" s="108">
        <f t="shared" ref="G26:H26" si="5">G8+G17</f>
        <v>0</v>
      </c>
      <c r="H26" s="160">
        <f t="shared" si="5"/>
        <v>0</v>
      </c>
      <c r="I26" s="108">
        <f t="shared" si="4"/>
        <v>0</v>
      </c>
      <c r="J26" s="171"/>
      <c r="K26" s="108">
        <f t="shared" ref="K26:K31" si="6">K8+K17</f>
        <v>0</v>
      </c>
      <c r="L26" s="108">
        <f t="shared" si="4"/>
        <v>0</v>
      </c>
      <c r="M26" s="108">
        <f t="shared" ref="M26:M31" si="7">M8+M17</f>
        <v>0</v>
      </c>
    </row>
    <row r="27" spans="1:13">
      <c r="A27" s="186">
        <v>22</v>
      </c>
      <c r="B27" s="47"/>
      <c r="C27" s="50" t="s">
        <v>208</v>
      </c>
      <c r="D27" s="111">
        <f t="shared" si="4"/>
        <v>90</v>
      </c>
      <c r="E27" s="111">
        <f t="shared" si="4"/>
        <v>90</v>
      </c>
      <c r="F27" s="108">
        <f t="shared" si="4"/>
        <v>14838600</v>
      </c>
      <c r="G27" s="108">
        <f t="shared" ref="G27:H27" si="8">G9+G18</f>
        <v>7419300</v>
      </c>
      <c r="H27" s="160">
        <f t="shared" si="8"/>
        <v>7420000</v>
      </c>
      <c r="I27" s="108">
        <f t="shared" si="4"/>
        <v>618275</v>
      </c>
      <c r="J27" s="171"/>
      <c r="K27" s="108">
        <f t="shared" si="6"/>
        <v>15102.566056910571</v>
      </c>
      <c r="L27" s="108">
        <f t="shared" si="4"/>
        <v>16000</v>
      </c>
      <c r="M27" s="108">
        <f t="shared" si="7"/>
        <v>7752000</v>
      </c>
    </row>
    <row r="28" spans="1:13">
      <c r="A28" s="186">
        <v>23</v>
      </c>
      <c r="B28" s="47"/>
      <c r="C28" s="50" t="s">
        <v>209</v>
      </c>
      <c r="F28" s="108">
        <f t="shared" ref="F28:L31" si="9">F10+F19</f>
        <v>6427000</v>
      </c>
      <c r="G28" s="108">
        <f t="shared" ref="G28:H28" si="10">G10+G19</f>
        <v>3213500</v>
      </c>
      <c r="H28" s="160">
        <f t="shared" si="10"/>
        <v>3214000</v>
      </c>
      <c r="I28" s="108">
        <f t="shared" si="9"/>
        <v>267791.66666666669</v>
      </c>
      <c r="J28" s="171"/>
      <c r="K28" s="108">
        <f t="shared" si="6"/>
        <v>8788.4908536585372</v>
      </c>
      <c r="L28" s="108">
        <f t="shared" si="9"/>
        <v>10000</v>
      </c>
      <c r="M28" s="108">
        <f t="shared" si="7"/>
        <v>3624000</v>
      </c>
    </row>
    <row r="29" spans="1:13">
      <c r="A29" s="186">
        <v>24</v>
      </c>
      <c r="B29" s="47"/>
      <c r="C29" s="50" t="s">
        <v>210</v>
      </c>
      <c r="F29" s="108">
        <f t="shared" si="9"/>
        <v>4186000.0000000005</v>
      </c>
      <c r="G29" s="108">
        <f t="shared" ref="G29:H29" si="11">G11+G20</f>
        <v>2093000.0000000002</v>
      </c>
      <c r="H29" s="160">
        <f t="shared" si="11"/>
        <v>2093000</v>
      </c>
      <c r="I29" s="108">
        <f t="shared" si="9"/>
        <v>174416.66666666669</v>
      </c>
      <c r="J29" s="171"/>
      <c r="K29" s="108">
        <f t="shared" si="6"/>
        <v>6667.4288617886177</v>
      </c>
      <c r="L29" s="108">
        <f t="shared" si="9"/>
        <v>8000</v>
      </c>
      <c r="M29" s="108">
        <f t="shared" si="7"/>
        <v>2544000</v>
      </c>
    </row>
    <row r="30" spans="1:13">
      <c r="A30" s="186">
        <v>25</v>
      </c>
      <c r="B30" s="47"/>
      <c r="C30" s="50" t="s">
        <v>211</v>
      </c>
      <c r="F30" s="108">
        <f t="shared" si="9"/>
        <v>2998000</v>
      </c>
      <c r="G30" s="108">
        <f t="shared" ref="G30:H30" si="12">G12+G21</f>
        <v>1499000</v>
      </c>
      <c r="H30" s="160">
        <f t="shared" si="12"/>
        <v>1500000</v>
      </c>
      <c r="I30" s="108">
        <f t="shared" si="9"/>
        <v>124916.66666666666</v>
      </c>
      <c r="J30" s="171"/>
      <c r="K30" s="108">
        <f t="shared" si="6"/>
        <v>5833.4603658536589</v>
      </c>
      <c r="L30" s="108">
        <f t="shared" si="9"/>
        <v>7000</v>
      </c>
      <c r="M30" s="108">
        <f t="shared" si="7"/>
        <v>2448000</v>
      </c>
    </row>
    <row r="31" spans="1:13">
      <c r="A31" s="186">
        <v>26</v>
      </c>
      <c r="B31" s="47"/>
      <c r="C31" s="51" t="s">
        <v>212</v>
      </c>
      <c r="F31" s="108">
        <f t="shared" si="9"/>
        <v>10817000</v>
      </c>
      <c r="G31" s="108">
        <f t="shared" ref="G31:H31" si="13">G13+G22</f>
        <v>5408500</v>
      </c>
      <c r="H31" s="160">
        <f t="shared" si="13"/>
        <v>5409000</v>
      </c>
      <c r="I31" s="108">
        <f t="shared" si="9"/>
        <v>450708.33333333337</v>
      </c>
      <c r="J31" s="171"/>
      <c r="K31" s="108">
        <f t="shared" si="6"/>
        <v>28334.730691056913</v>
      </c>
      <c r="L31" s="108">
        <f t="shared" si="9"/>
        <v>30000</v>
      </c>
      <c r="M31" s="108">
        <f t="shared" si="7"/>
        <v>6432000</v>
      </c>
    </row>
    <row r="32" spans="1:13">
      <c r="A32" s="186">
        <v>27</v>
      </c>
      <c r="B32" s="102"/>
      <c r="C32" s="66" t="s">
        <v>281</v>
      </c>
      <c r="D32" s="103"/>
      <c r="E32" s="103"/>
      <c r="F32" s="109">
        <f>SUM(F28:F31)</f>
        <v>24428000</v>
      </c>
      <c r="G32" s="109">
        <f>SUM(G28:G31)</f>
        <v>12214000</v>
      </c>
      <c r="H32" s="161">
        <f>SUM(H28:H31)</f>
        <v>12216000</v>
      </c>
      <c r="I32" s="109">
        <f>SUM(I28:I31)</f>
        <v>1017833.3333333334</v>
      </c>
      <c r="J32" s="172"/>
      <c r="K32" s="109">
        <f>SUM(K28:K31)</f>
        <v>49624.11077235773</v>
      </c>
      <c r="L32" s="109">
        <f>SUM(L28:L31)</f>
        <v>55000</v>
      </c>
      <c r="M32" s="109">
        <f>SUM(M28:M31)</f>
        <v>15048000</v>
      </c>
    </row>
    <row r="33" spans="1:13" ht="15.75" thickBot="1">
      <c r="A33" s="186">
        <v>28</v>
      </c>
      <c r="B33" s="102"/>
      <c r="C33" s="66" t="s">
        <v>244</v>
      </c>
      <c r="D33" s="103"/>
      <c r="E33" s="103"/>
      <c r="F33" s="107">
        <f>F32+F27+F26</f>
        <v>39266600</v>
      </c>
      <c r="G33" s="107">
        <f>G32+G27+G26</f>
        <v>19633300</v>
      </c>
      <c r="H33" s="162">
        <f>H32+H27+H26</f>
        <v>19636000</v>
      </c>
      <c r="I33" s="107">
        <f>I32+I27+I26</f>
        <v>1636108.3333333335</v>
      </c>
      <c r="J33" s="173"/>
      <c r="K33" s="107">
        <f>K32+K27+K26</f>
        <v>64726.676829268297</v>
      </c>
      <c r="L33" s="107">
        <f>L32+L27+L26</f>
        <v>71000</v>
      </c>
      <c r="M33" s="107">
        <f>M32+M27+M26</f>
        <v>22800000</v>
      </c>
    </row>
    <row r="34" spans="1:13" ht="15.75" thickTop="1">
      <c r="A34" s="186">
        <v>29</v>
      </c>
      <c r="B34" s="47"/>
      <c r="C34" s="46"/>
      <c r="F34" s="45"/>
      <c r="G34" s="45"/>
      <c r="H34" s="158"/>
      <c r="I34" s="45"/>
      <c r="J34" s="69"/>
      <c r="K34" s="45"/>
      <c r="L34" s="45"/>
      <c r="M34" s="45"/>
    </row>
    <row r="35" spans="1:13">
      <c r="A35" s="186">
        <v>30</v>
      </c>
      <c r="B35" s="47" t="s">
        <v>216</v>
      </c>
      <c r="C35" s="46"/>
      <c r="D35" s="67"/>
      <c r="E35" s="67"/>
      <c r="F35" s="69"/>
      <c r="G35" s="69"/>
      <c r="H35" s="159"/>
      <c r="I35" s="69"/>
      <c r="J35" s="69"/>
      <c r="K35" s="69"/>
      <c r="L35" s="69"/>
      <c r="M35" s="69"/>
    </row>
    <row r="36" spans="1:13">
      <c r="A36" s="186">
        <v>31</v>
      </c>
      <c r="B36" s="47"/>
      <c r="C36" s="46" t="s">
        <v>6</v>
      </c>
      <c r="D36" s="111">
        <v>1</v>
      </c>
      <c r="E36" s="111">
        <v>1</v>
      </c>
      <c r="F36" s="45"/>
      <c r="G36" s="45"/>
      <c r="H36" s="158"/>
      <c r="I36" s="45"/>
      <c r="J36" s="69"/>
      <c r="K36" s="45"/>
      <c r="L36" s="45"/>
      <c r="M36" s="45"/>
    </row>
    <row r="37" spans="1:13">
      <c r="A37" s="186">
        <v>32</v>
      </c>
      <c r="B37" s="47"/>
      <c r="C37" s="46" t="s">
        <v>286</v>
      </c>
      <c r="D37" s="93"/>
      <c r="E37" s="93"/>
      <c r="F37" s="45"/>
      <c r="G37" s="45"/>
      <c r="H37" s="158"/>
      <c r="I37" s="45"/>
      <c r="J37" s="69"/>
      <c r="K37" s="45"/>
      <c r="L37" s="45"/>
      <c r="M37" s="45"/>
    </row>
    <row r="38" spans="1:13">
      <c r="A38" s="186">
        <v>33</v>
      </c>
      <c r="B38" s="47"/>
      <c r="C38" s="51" t="s">
        <v>291</v>
      </c>
      <c r="D38" s="93"/>
      <c r="E38" s="93"/>
      <c r="F38" s="108">
        <f>'Table 3 Summation of Detail'!H38</f>
        <v>840000</v>
      </c>
      <c r="G38" s="108">
        <f>'Table 3 Summation of Detail'!J38</f>
        <v>420000</v>
      </c>
      <c r="H38" s="160">
        <f>ROUNDUP(G38,-3)</f>
        <v>420000</v>
      </c>
      <c r="I38" s="108">
        <f>'Table 3 Summation of Detail'!K38</f>
        <v>35000</v>
      </c>
      <c r="J38" s="171"/>
      <c r="K38" s="108">
        <f>$I38/$E$36</f>
        <v>35000</v>
      </c>
      <c r="L38" s="108">
        <f>ROUNDUP(K38,-3)</f>
        <v>35000</v>
      </c>
      <c r="M38" s="108">
        <f>L38*12*E$36</f>
        <v>420000</v>
      </c>
    </row>
    <row r="39" spans="1:13">
      <c r="A39" s="186">
        <v>34</v>
      </c>
      <c r="B39" s="47"/>
      <c r="C39" s="50" t="s">
        <v>272</v>
      </c>
      <c r="F39" s="108">
        <f>'Table 3 Summation of Detail'!H39</f>
        <v>0</v>
      </c>
      <c r="G39" s="108">
        <f>'Table 3 Summation of Detail'!J39</f>
        <v>0</v>
      </c>
      <c r="H39" s="160">
        <f>ROUNDUP(G39,-3)</f>
        <v>0</v>
      </c>
      <c r="I39" s="108">
        <f>'Table 3 Summation of Detail'!K39</f>
        <v>0</v>
      </c>
      <c r="J39" s="171"/>
      <c r="K39" s="108">
        <f>$I39/$E$36</f>
        <v>0</v>
      </c>
      <c r="L39" s="108">
        <f>ROUNDUP(K39,-3)</f>
        <v>0</v>
      </c>
      <c r="M39" s="108">
        <f>L39*12*E$36</f>
        <v>0</v>
      </c>
    </row>
    <row r="40" spans="1:13">
      <c r="A40" s="186">
        <v>35</v>
      </c>
      <c r="B40" s="47"/>
      <c r="C40" s="66" t="s">
        <v>290</v>
      </c>
      <c r="F40" s="109">
        <f>SUM(F39:F39)</f>
        <v>0</v>
      </c>
      <c r="G40" s="109">
        <f>SUM(G39:G39)</f>
        <v>0</v>
      </c>
      <c r="H40" s="161">
        <f>SUM(H39:H39)</f>
        <v>0</v>
      </c>
      <c r="I40" s="109">
        <f>SUM(I39:I39)</f>
        <v>0</v>
      </c>
      <c r="J40" s="172"/>
      <c r="K40" s="109">
        <f>SUM(K39:K39)</f>
        <v>0</v>
      </c>
      <c r="L40" s="109">
        <f>SUM(L39:L39)</f>
        <v>0</v>
      </c>
      <c r="M40" s="109">
        <f>SUM(M39:M39)</f>
        <v>0</v>
      </c>
    </row>
    <row r="41" spans="1:13" ht="15.75" thickBot="1">
      <c r="A41" s="186">
        <v>36</v>
      </c>
      <c r="B41" s="47"/>
      <c r="C41" s="66" t="s">
        <v>245</v>
      </c>
      <c r="F41" s="107">
        <f>F40+F38</f>
        <v>840000</v>
      </c>
      <c r="G41" s="107">
        <f>G40+G38</f>
        <v>420000</v>
      </c>
      <c r="H41" s="162">
        <f>H40+H38</f>
        <v>420000</v>
      </c>
      <c r="I41" s="107">
        <f>I40+I38</f>
        <v>35000</v>
      </c>
      <c r="J41" s="173"/>
      <c r="K41" s="107">
        <f>K40+K38</f>
        <v>35000</v>
      </c>
      <c r="L41" s="107">
        <f>L40+L38</f>
        <v>35000</v>
      </c>
      <c r="M41" s="107">
        <f>M40+M38</f>
        <v>420000</v>
      </c>
    </row>
    <row r="42" spans="1:13" ht="15.75" thickTop="1">
      <c r="A42" s="186">
        <v>37</v>
      </c>
      <c r="B42" s="47"/>
      <c r="C42" s="65"/>
      <c r="H42" s="163"/>
      <c r="J42" s="67"/>
    </row>
    <row r="43" spans="1:13">
      <c r="A43" s="186">
        <v>38</v>
      </c>
      <c r="B43" s="47" t="s">
        <v>284</v>
      </c>
      <c r="C43" s="65"/>
      <c r="D43" s="111">
        <f>D36+D27+D26</f>
        <v>126</v>
      </c>
      <c r="E43" s="111">
        <f>E36+E27+E26</f>
        <v>126</v>
      </c>
      <c r="F43" s="108">
        <f t="shared" ref="F43:M43" si="14">F33+F41</f>
        <v>40106600</v>
      </c>
      <c r="G43" s="108">
        <f t="shared" si="14"/>
        <v>20053300</v>
      </c>
      <c r="H43" s="160">
        <f t="shared" si="14"/>
        <v>20056000</v>
      </c>
      <c r="I43" s="108">
        <f t="shared" si="14"/>
        <v>1671108.3333333335</v>
      </c>
      <c r="J43" s="171">
        <f t="shared" si="14"/>
        <v>0</v>
      </c>
      <c r="K43" s="108">
        <f t="shared" si="14"/>
        <v>99726.676829268297</v>
      </c>
      <c r="L43" s="108">
        <f t="shared" si="14"/>
        <v>106000</v>
      </c>
      <c r="M43" s="108">
        <f t="shared" si="14"/>
        <v>23220000</v>
      </c>
    </row>
    <row r="44" spans="1:13">
      <c r="A44" s="186">
        <v>39</v>
      </c>
      <c r="B44" s="47"/>
      <c r="C44" s="65"/>
      <c r="H44" s="163"/>
      <c r="J44" s="67"/>
    </row>
    <row r="45" spans="1:13">
      <c r="A45" s="186">
        <v>40</v>
      </c>
      <c r="B45" s="47" t="s">
        <v>282</v>
      </c>
      <c r="C45" s="65"/>
      <c r="F45" s="108">
        <f>F26+F27+F38</f>
        <v>15678600</v>
      </c>
      <c r="G45" s="108">
        <f>G26+G27+G38</f>
        <v>7839300</v>
      </c>
      <c r="H45" s="160">
        <f>H26+H27+H38</f>
        <v>7840000</v>
      </c>
      <c r="I45" s="108">
        <f>I26+I27+I38</f>
        <v>653275</v>
      </c>
      <c r="J45" s="171"/>
      <c r="K45" s="108">
        <f>K26+K27+K38</f>
        <v>50102.566056910568</v>
      </c>
      <c r="L45" s="108">
        <f>L26+L27+L38</f>
        <v>51000</v>
      </c>
      <c r="M45" s="108">
        <f>M26+M27+M38</f>
        <v>8172000</v>
      </c>
    </row>
    <row r="46" spans="1:13">
      <c r="A46" s="186">
        <v>41</v>
      </c>
      <c r="B46" s="47" t="s">
        <v>283</v>
      </c>
      <c r="C46" s="65"/>
      <c r="F46" s="108">
        <f>F32+F40</f>
        <v>24428000</v>
      </c>
      <c r="G46" s="108">
        <f>G32+G40</f>
        <v>12214000</v>
      </c>
      <c r="H46" s="160">
        <f>H32+H40</f>
        <v>12216000</v>
      </c>
      <c r="I46" s="108">
        <f>I32+I40</f>
        <v>1017833.3333333334</v>
      </c>
      <c r="J46" s="171"/>
      <c r="K46" s="108">
        <f>K32+K40</f>
        <v>49624.11077235773</v>
      </c>
      <c r="L46" s="108">
        <f>L32+L40</f>
        <v>55000</v>
      </c>
      <c r="M46" s="108">
        <f>M32+M40</f>
        <v>15048000</v>
      </c>
    </row>
    <row r="47" spans="1:13" ht="15.75" thickBot="1">
      <c r="A47" s="186">
        <v>42</v>
      </c>
      <c r="B47" s="47"/>
      <c r="C47" s="65" t="s">
        <v>285</v>
      </c>
      <c r="F47" s="109">
        <f>F46+F45</f>
        <v>40106600</v>
      </c>
      <c r="G47" s="109">
        <f>G46+G45</f>
        <v>20053300</v>
      </c>
      <c r="H47" s="164">
        <f>H46+H45</f>
        <v>20056000</v>
      </c>
      <c r="I47" s="109">
        <f>I46+I45</f>
        <v>1671108.3333333335</v>
      </c>
      <c r="J47" s="172"/>
      <c r="K47" s="109">
        <f>K46+K45</f>
        <v>99726.676829268297</v>
      </c>
      <c r="L47" s="109">
        <f>L46+L45</f>
        <v>106000</v>
      </c>
      <c r="M47" s="109">
        <f>M46+M45</f>
        <v>23220000</v>
      </c>
    </row>
    <row r="48" spans="1:13">
      <c r="A48" s="186"/>
      <c r="B48" s="47"/>
      <c r="C48" s="65"/>
    </row>
    <row r="56" spans="1:1">
      <c r="A56" s="186"/>
    </row>
  </sheetData>
  <mergeCells count="6">
    <mergeCell ref="A1:H1"/>
    <mergeCell ref="A2:H2"/>
    <mergeCell ref="I1:M1"/>
    <mergeCell ref="I2:M2"/>
    <mergeCell ref="A3:A5"/>
    <mergeCell ref="B3:C5"/>
  </mergeCells>
  <pageMargins left="0.7" right="0.7" top="0.83" bottom="0.39" header="0.3" footer="0.2"/>
  <pageSetup scale="56" orientation="landscape" horizontalDpi="4294967293" r:id="rId1"/>
  <headerFooter>
    <oddHeader>&amp;LHi-Country
Customer Usage Summary</oddHeader>
    <oddFooter>&amp;L&amp;A
&amp;F&amp;Rpage &amp;P of &amp;N</oddFooter>
  </headerFooter>
  <colBreaks count="1" manualBreakCount="1">
    <brk id="8" max="1048575" man="1"/>
  </colBreaks>
</worksheet>
</file>

<file path=xl/worksheets/sheet20.xml><?xml version="1.0" encoding="utf-8"?>
<worksheet xmlns="http://schemas.openxmlformats.org/spreadsheetml/2006/main" xmlns:r="http://schemas.openxmlformats.org/officeDocument/2006/relationships">
  <sheetPr>
    <pageSetUpPr fitToPage="1"/>
  </sheetPr>
  <dimension ref="A1:O157"/>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23">
        <v>40878</v>
      </c>
      <c r="D4" s="1" t="s">
        <v>146</v>
      </c>
      <c r="G4" s="1" t="s">
        <v>156</v>
      </c>
      <c r="K4" s="1" t="s">
        <v>149</v>
      </c>
      <c r="N4" s="1">
        <f>SUM(F11:F136)</f>
        <v>927100</v>
      </c>
    </row>
    <row r="5" spans="1:15">
      <c r="A5" s="1" t="s">
        <v>165</v>
      </c>
      <c r="B5" s="24">
        <v>40908</v>
      </c>
      <c r="D5" s="1" t="s">
        <v>144</v>
      </c>
      <c r="G5" s="1" t="s">
        <v>155</v>
      </c>
      <c r="H5" s="1">
        <v>0</v>
      </c>
      <c r="K5" s="1" t="s">
        <v>154</v>
      </c>
      <c r="N5" s="1">
        <f>N4-F16</f>
        <v>735100</v>
      </c>
    </row>
    <row r="6" spans="1:15">
      <c r="B6" s="4"/>
      <c r="D6" s="1" t="s">
        <v>145</v>
      </c>
      <c r="G6" s="1" t="s">
        <v>158</v>
      </c>
      <c r="H6" s="1">
        <v>35000</v>
      </c>
      <c r="K6" s="1" t="s">
        <v>160</v>
      </c>
      <c r="N6" s="1">
        <f>SUMIF(F11:F15,"&gt;" &amp; $H$6)+SUMIF(F17:F136,"&gt;" &amp; $H$6)+SUMIF(F16,"&gt;" &amp; $H$7)</f>
        <v>405000</v>
      </c>
    </row>
    <row r="7" spans="1:15">
      <c r="B7" s="4"/>
      <c r="D7" s="1" t="s">
        <v>150</v>
      </c>
      <c r="E7" s="12">
        <f>E6-E5</f>
        <v>0</v>
      </c>
      <c r="G7" s="1" t="s">
        <v>159</v>
      </c>
      <c r="H7" s="12">
        <v>100000</v>
      </c>
      <c r="K7" s="1" t="s">
        <v>161</v>
      </c>
      <c r="N7" s="1">
        <f>(SUMIF(F11:F15,"&gt;" &amp; $H$6)-(COUNTIF(F11:F15,"&gt;" &amp; $H$6)*$H$6))+(SUMIF(F17:F136,"&gt;" &amp; $H$6)-(COUNTIF(F17:F136,"&gt;" &amp; $H$6)*$H$6))+(SUMIF(F16,"&gt;" &amp; $H$7)-(COUNTIF(F16,"&gt;" &amp; $H$7)*$H$7))</f>
        <v>165000</v>
      </c>
    </row>
    <row r="8" spans="1:15">
      <c r="D8" s="1" t="s">
        <v>147</v>
      </c>
      <c r="E8" s="25">
        <v>0</v>
      </c>
      <c r="H8" s="6"/>
    </row>
    <row r="10" spans="1:15">
      <c r="A10" s="7" t="s">
        <v>0</v>
      </c>
      <c r="B10" s="10" t="s">
        <v>137</v>
      </c>
      <c r="C10" s="13" t="s">
        <v>176</v>
      </c>
      <c r="D10" s="26" t="s">
        <v>177</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7687000</v>
      </c>
      <c r="D11" s="11">
        <v>7771000</v>
      </c>
      <c r="E11" s="11">
        <v>0</v>
      </c>
      <c r="F11" s="11">
        <f t="shared" ref="F11:F74" si="0">($D11-$C11)+$E11</f>
        <v>84000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150.47999999999999</v>
      </c>
      <c r="L11" s="18">
        <f>SUM(G11:K11)</f>
        <v>267.16999999999996</v>
      </c>
      <c r="M11" s="18">
        <f>IF(   $H$5=1,    IF((F11-$H$6)&gt;0,((F11-$H$6)/$N$7)*$E$8,0),   IF(F11&gt;0,(F11/$N$4)*$E$8,0)    )</f>
        <v>0</v>
      </c>
      <c r="N11" s="18">
        <f>SUM(L11:M11)</f>
        <v>267.16999999999996</v>
      </c>
      <c r="O11" s="8"/>
    </row>
    <row r="12" spans="1:15">
      <c r="A12" s="1" t="s">
        <v>2</v>
      </c>
      <c r="B12" s="11"/>
      <c r="C12" s="11">
        <v>6639000</v>
      </c>
      <c r="D12" s="11">
        <v>6677000</v>
      </c>
      <c r="E12" s="11">
        <v>0</v>
      </c>
      <c r="F12" s="11">
        <f t="shared" si="0"/>
        <v>38000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23.6</v>
      </c>
      <c r="K12" s="18">
        <f>IF((($F12-40000)&gt;=0),($F12-40000)/1000*3.42,0)</f>
        <v>0</v>
      </c>
      <c r="L12" s="18">
        <f t="shared" ref="L12:L75" si="1">SUM(G12:K12)</f>
        <v>110.78999999999999</v>
      </c>
      <c r="M12" s="18">
        <f>IF(   $H$5=1,    IF((F12-$H$6)&gt;0,((F12-$H$6)/$N$7)*$E$8,0),   IF(F12&gt;0,(F12/$N$4)*$E$8,0)    )</f>
        <v>0</v>
      </c>
      <c r="N12" s="18">
        <f t="shared" ref="N12:N75" si="2">SUM(L12:M12)</f>
        <v>110.78999999999999</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3330000</v>
      </c>
      <c r="D14" s="11">
        <v>3358000</v>
      </c>
      <c r="E14" s="11">
        <v>0</v>
      </c>
      <c r="F14" s="11">
        <f t="shared" si="0"/>
        <v>28000</v>
      </c>
      <c r="G14" s="17">
        <f>IF(OR($F14&gt;0,$B14=""),40.09,11.79)</f>
        <v>40.090000000000003</v>
      </c>
      <c r="H14" s="17">
        <f>IF(AND((($F14-10000)&gt;=0),(($F14-10000)&lt;= 10000)),($F14-10000)/1000*2.18,IF(($F14-10000)&gt;=10000,2.18*10,0))</f>
        <v>21.8</v>
      </c>
      <c r="I14" s="17">
        <f>IF(AND((($F14-20000)&gt;=0),(($F14-20000)&lt;=10000)),($F14-20000)/1000*2.53,IF(($F14-20000)&gt;=10000,2.53*10,0))</f>
        <v>20.239999999999998</v>
      </c>
      <c r="J14" s="18">
        <f>IF(AND((($F14-30000)&gt;=0),(($F14-30000)&lt;=10000)),($F14-30000)/1000*2.95,IF(($F14-30000)&gt;=10000,2.95*10,0))</f>
        <v>0</v>
      </c>
      <c r="K14" s="18">
        <f>IF((($F14-40000)&gt;=0),($F14-40000)/1000*3.42,0)</f>
        <v>0</v>
      </c>
      <c r="L14" s="18">
        <f t="shared" si="1"/>
        <v>82.13</v>
      </c>
      <c r="M14" s="18">
        <f>IF(   $H$5=1,    IF((F14-$H$6)&gt;0,((F14-$H$6)/$N$7)*$E$8,0),   IF(F14&gt;0,(F14/$N$4)*$E$8,0)    )</f>
        <v>0</v>
      </c>
      <c r="N14" s="18">
        <f t="shared" si="2"/>
        <v>82.13</v>
      </c>
      <c r="O14" s="8"/>
    </row>
    <row r="15" spans="1:15">
      <c r="A15" s="1" t="s">
        <v>5</v>
      </c>
      <c r="B15" s="11"/>
      <c r="C15" s="11">
        <v>2241000</v>
      </c>
      <c r="D15" s="11">
        <v>2280000</v>
      </c>
      <c r="E15" s="11">
        <v>0</v>
      </c>
      <c r="F15" s="11">
        <f t="shared" si="0"/>
        <v>39000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26.55</v>
      </c>
      <c r="K15" s="18">
        <f>IF((($F15-40000)&gt;=0),($F15-40000)/1000*3.42,0)</f>
        <v>0</v>
      </c>
      <c r="L15" s="18">
        <f t="shared" si="1"/>
        <v>113.74</v>
      </c>
      <c r="M15" s="18">
        <f>IF(   $H$5=1,    IF((F15-$H$6)&gt;0,((F15-$H$6)/$N$7)*$E$8,0),   IF(F15&gt;0,(F15/$N$4)*$E$8,0)    )</f>
        <v>0</v>
      </c>
      <c r="N15" s="18">
        <f t="shared" si="2"/>
        <v>113.74</v>
      </c>
      <c r="O15" s="8"/>
    </row>
    <row r="16" spans="1:15">
      <c r="A16" s="1" t="s">
        <v>6</v>
      </c>
      <c r="B16" s="11"/>
      <c r="C16" s="11">
        <v>24936000</v>
      </c>
      <c r="D16" s="11">
        <v>25128000</v>
      </c>
      <c r="E16" s="11">
        <v>0</v>
      </c>
      <c r="F16" s="11">
        <f t="shared" si="0"/>
        <v>192000</v>
      </c>
      <c r="G16" s="17">
        <v>176</v>
      </c>
      <c r="H16" s="17">
        <f>IF(($F16-100000)&gt;=0,($F16-100000)/1000*1.89,0)</f>
        <v>173.88</v>
      </c>
      <c r="I16" s="17"/>
      <c r="J16" s="18"/>
      <c r="K16" s="18"/>
      <c r="L16" s="18">
        <f t="shared" si="1"/>
        <v>349.88</v>
      </c>
      <c r="M16" s="18">
        <f>IF(   $H$5=1,     IF((F16-$H$7)&gt;0,((F16-$H$7)/$N$7)*$E$8,0),   IF(F16&gt;0,(F16/$N$4)*$E$8,0)    )</f>
        <v>0</v>
      </c>
      <c r="N16" s="18">
        <f t="shared" si="2"/>
        <v>349.88</v>
      </c>
      <c r="O16" s="8" t="s">
        <v>133</v>
      </c>
    </row>
    <row r="17" spans="1:15">
      <c r="A17" s="1" t="s">
        <v>7</v>
      </c>
      <c r="B17" s="11"/>
      <c r="C17" s="11">
        <v>536000</v>
      </c>
      <c r="D17" s="11">
        <v>550000</v>
      </c>
      <c r="E17" s="11">
        <v>0</v>
      </c>
      <c r="F17" s="11">
        <f t="shared" si="0"/>
        <v>14000</v>
      </c>
      <c r="G17" s="17">
        <f t="shared" ref="G17:G80" si="3">IF(OR($F17&gt;0,$B17=""),40.09,11.79)</f>
        <v>40.090000000000003</v>
      </c>
      <c r="H17" s="17">
        <f t="shared" ref="H17:H80" si="4">IF(AND((($F17-10000)&gt;=0),(($F17-10000)&lt;= 10000)),($F17-10000)/1000*2.18,IF(($F17-10000)&gt;=10000,2.18*10,0))</f>
        <v>8.7200000000000006</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48.81</v>
      </c>
      <c r="M17" s="18">
        <f t="shared" ref="M17:M48" si="8">IF(   $H$5=1,    IF((F17-$H$6)&gt;0,((F17-$H$6)/$N$7)*$E$8,0),   IF(F17&gt;0,(F17/$N$4)*$E$8,0)    )</f>
        <v>0</v>
      </c>
      <c r="N17" s="18">
        <f t="shared" si="2"/>
        <v>48.81</v>
      </c>
      <c r="O17" s="8"/>
    </row>
    <row r="18" spans="1:15">
      <c r="A18" s="1" t="s">
        <v>8</v>
      </c>
      <c r="B18" s="11"/>
      <c r="C18" s="11">
        <v>2218000</v>
      </c>
      <c r="D18" s="11">
        <v>2218000</v>
      </c>
      <c r="E18" s="11">
        <v>6000</v>
      </c>
      <c r="F18" s="11">
        <f t="shared" si="0"/>
        <v>6000</v>
      </c>
      <c r="G18" s="17">
        <f t="shared" si="3"/>
        <v>40.090000000000003</v>
      </c>
      <c r="H18" s="17">
        <f t="shared" si="4"/>
        <v>0</v>
      </c>
      <c r="I18" s="17">
        <f t="shared" si="5"/>
        <v>0</v>
      </c>
      <c r="J18" s="18">
        <f t="shared" si="6"/>
        <v>0</v>
      </c>
      <c r="K18" s="18">
        <f t="shared" si="7"/>
        <v>0</v>
      </c>
      <c r="L18" s="18">
        <f t="shared" si="1"/>
        <v>40.090000000000003</v>
      </c>
      <c r="M18" s="18">
        <f t="shared" si="8"/>
        <v>0</v>
      </c>
      <c r="N18" s="18">
        <f t="shared" si="2"/>
        <v>40.090000000000003</v>
      </c>
      <c r="O18" s="8" t="s">
        <v>174</v>
      </c>
    </row>
    <row r="19" spans="1:15">
      <c r="A19" s="1" t="s">
        <v>9</v>
      </c>
      <c r="B19" s="11"/>
      <c r="C19" s="11">
        <v>209000</v>
      </c>
      <c r="D19" s="11">
        <v>227000</v>
      </c>
      <c r="E19" s="11">
        <v>0</v>
      </c>
      <c r="F19" s="11">
        <f t="shared" si="0"/>
        <v>18000</v>
      </c>
      <c r="G19" s="17">
        <f t="shared" si="3"/>
        <v>40.090000000000003</v>
      </c>
      <c r="H19" s="17">
        <f t="shared" si="4"/>
        <v>17.440000000000001</v>
      </c>
      <c r="I19" s="17">
        <f t="shared" si="5"/>
        <v>0</v>
      </c>
      <c r="J19" s="18">
        <f t="shared" si="6"/>
        <v>0</v>
      </c>
      <c r="K19" s="18">
        <f t="shared" si="7"/>
        <v>0</v>
      </c>
      <c r="L19" s="18">
        <f t="shared" si="1"/>
        <v>57.53</v>
      </c>
      <c r="M19" s="18">
        <f t="shared" si="8"/>
        <v>0</v>
      </c>
      <c r="N19" s="18">
        <f t="shared" si="2"/>
        <v>57.53</v>
      </c>
      <c r="O19" s="8"/>
    </row>
    <row r="20" spans="1:15">
      <c r="A20" s="1" t="s">
        <v>10</v>
      </c>
      <c r="B20" s="11"/>
      <c r="C20" s="11">
        <v>1521000</v>
      </c>
      <c r="D20" s="11">
        <v>1529000</v>
      </c>
      <c r="E20" s="11">
        <v>0</v>
      </c>
      <c r="F20" s="11">
        <f t="shared" si="0"/>
        <v>8000</v>
      </c>
      <c r="G20" s="17">
        <f t="shared" si="3"/>
        <v>40.090000000000003</v>
      </c>
      <c r="H20" s="17">
        <f t="shared" si="4"/>
        <v>0</v>
      </c>
      <c r="I20" s="17">
        <f t="shared" si="5"/>
        <v>0</v>
      </c>
      <c r="J20" s="18">
        <f t="shared" si="6"/>
        <v>0</v>
      </c>
      <c r="K20" s="18">
        <f t="shared" si="7"/>
        <v>0</v>
      </c>
      <c r="L20" s="18">
        <f t="shared" si="1"/>
        <v>40.090000000000003</v>
      </c>
      <c r="M20" s="18">
        <f t="shared" si="8"/>
        <v>0</v>
      </c>
      <c r="N20" s="18">
        <f t="shared" si="2"/>
        <v>40.090000000000003</v>
      </c>
      <c r="O20" s="8"/>
    </row>
    <row r="21" spans="1:15">
      <c r="A21" s="1" t="s">
        <v>11</v>
      </c>
      <c r="B21" s="11"/>
      <c r="C21" s="11">
        <v>1970000</v>
      </c>
      <c r="D21" s="11">
        <v>1980000</v>
      </c>
      <c r="E21" s="11">
        <v>0</v>
      </c>
      <c r="F21" s="11">
        <f t="shared" si="0"/>
        <v>10000</v>
      </c>
      <c r="G21" s="17">
        <f t="shared" si="3"/>
        <v>40.090000000000003</v>
      </c>
      <c r="H21" s="17">
        <f t="shared" si="4"/>
        <v>0</v>
      </c>
      <c r="I21" s="17">
        <f t="shared" si="5"/>
        <v>0</v>
      </c>
      <c r="J21" s="18">
        <f t="shared" si="6"/>
        <v>0</v>
      </c>
      <c r="K21" s="18">
        <f t="shared" si="7"/>
        <v>0</v>
      </c>
      <c r="L21" s="18">
        <f t="shared" si="1"/>
        <v>40.090000000000003</v>
      </c>
      <c r="M21" s="18">
        <f t="shared" si="8"/>
        <v>0</v>
      </c>
      <c r="N21" s="18">
        <f t="shared" si="2"/>
        <v>40.090000000000003</v>
      </c>
      <c r="O21" s="8"/>
    </row>
    <row r="22" spans="1:15">
      <c r="A22" s="1" t="s">
        <v>12</v>
      </c>
      <c r="B22" s="11"/>
      <c r="C22" s="11">
        <v>2218000</v>
      </c>
      <c r="D22" s="11">
        <v>2238000</v>
      </c>
      <c r="E22" s="11">
        <v>0</v>
      </c>
      <c r="F22" s="11">
        <f t="shared" si="0"/>
        <v>20000</v>
      </c>
      <c r="G22" s="17">
        <f t="shared" si="3"/>
        <v>40.090000000000003</v>
      </c>
      <c r="H22" s="17">
        <f t="shared" si="4"/>
        <v>21.8</v>
      </c>
      <c r="I22" s="17">
        <f t="shared" si="5"/>
        <v>0</v>
      </c>
      <c r="J22" s="18">
        <f t="shared" si="6"/>
        <v>0</v>
      </c>
      <c r="K22" s="18">
        <f t="shared" si="7"/>
        <v>0</v>
      </c>
      <c r="L22" s="18">
        <f t="shared" si="1"/>
        <v>61.89</v>
      </c>
      <c r="M22" s="18">
        <f t="shared" si="8"/>
        <v>0</v>
      </c>
      <c r="N22" s="18">
        <f t="shared" si="2"/>
        <v>61.89</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6407000</v>
      </c>
      <c r="D24" s="11">
        <v>6412000</v>
      </c>
      <c r="E24" s="11">
        <v>0</v>
      </c>
      <c r="F24" s="11">
        <f t="shared" si="0"/>
        <v>5000</v>
      </c>
      <c r="G24" s="17">
        <f t="shared" si="3"/>
        <v>40.090000000000003</v>
      </c>
      <c r="H24" s="17">
        <f t="shared" si="4"/>
        <v>0</v>
      </c>
      <c r="I24" s="17">
        <f t="shared" si="5"/>
        <v>0</v>
      </c>
      <c r="J24" s="18">
        <f t="shared" si="6"/>
        <v>0</v>
      </c>
      <c r="K24" s="18">
        <f t="shared" si="7"/>
        <v>0</v>
      </c>
      <c r="L24" s="18">
        <f t="shared" si="1"/>
        <v>40.090000000000003</v>
      </c>
      <c r="M24" s="18">
        <f t="shared" si="8"/>
        <v>0</v>
      </c>
      <c r="N24" s="18">
        <f t="shared" si="2"/>
        <v>40.090000000000003</v>
      </c>
      <c r="O24" s="8"/>
    </row>
    <row r="25" spans="1:15">
      <c r="A25" s="1" t="s">
        <v>15</v>
      </c>
      <c r="B25" s="11"/>
      <c r="C25" s="11">
        <v>2664000</v>
      </c>
      <c r="D25" s="11">
        <v>2666000</v>
      </c>
      <c r="E25" s="11">
        <v>0</v>
      </c>
      <c r="F25" s="11">
        <f t="shared" si="0"/>
        <v>2000</v>
      </c>
      <c r="G25" s="17">
        <f t="shared" si="3"/>
        <v>40.090000000000003</v>
      </c>
      <c r="H25" s="17">
        <f t="shared" si="4"/>
        <v>0</v>
      </c>
      <c r="I25" s="17">
        <f t="shared" si="5"/>
        <v>0</v>
      </c>
      <c r="J25" s="18">
        <f t="shared" si="6"/>
        <v>0</v>
      </c>
      <c r="K25" s="18">
        <f>IF((($F25-40000)&gt;=0),($F25-40000)/1000*3.42,0)</f>
        <v>0</v>
      </c>
      <c r="L25" s="18">
        <f t="shared" si="1"/>
        <v>40.090000000000003</v>
      </c>
      <c r="M25" s="18">
        <f t="shared" si="8"/>
        <v>0</v>
      </c>
      <c r="N25" s="18">
        <f t="shared" si="2"/>
        <v>40.090000000000003</v>
      </c>
      <c r="O25" s="8"/>
    </row>
    <row r="26" spans="1:15">
      <c r="A26" s="1" t="s">
        <v>16</v>
      </c>
      <c r="B26" s="11"/>
      <c r="C26" s="11">
        <v>1583000</v>
      </c>
      <c r="D26" s="11">
        <v>1585000</v>
      </c>
      <c r="E26" s="11">
        <v>0</v>
      </c>
      <c r="F26" s="11">
        <f t="shared" si="0"/>
        <v>2000</v>
      </c>
      <c r="G26" s="17">
        <f t="shared" si="3"/>
        <v>40.090000000000003</v>
      </c>
      <c r="H26" s="17">
        <f t="shared" si="4"/>
        <v>0</v>
      </c>
      <c r="I26" s="17">
        <f t="shared" si="5"/>
        <v>0</v>
      </c>
      <c r="J26" s="18">
        <f t="shared" si="6"/>
        <v>0</v>
      </c>
      <c r="K26" s="18">
        <f t="shared" si="7"/>
        <v>0</v>
      </c>
      <c r="L26" s="18">
        <f t="shared" si="1"/>
        <v>40.090000000000003</v>
      </c>
      <c r="M26" s="18">
        <f t="shared" si="8"/>
        <v>0</v>
      </c>
      <c r="N26" s="18">
        <f t="shared" si="2"/>
        <v>40.090000000000003</v>
      </c>
      <c r="O26" s="8"/>
    </row>
    <row r="27" spans="1:15">
      <c r="A27" s="1" t="s">
        <v>17</v>
      </c>
      <c r="B27" s="11"/>
      <c r="C27" s="11">
        <v>1167000</v>
      </c>
      <c r="D27" s="11">
        <v>1176000</v>
      </c>
      <c r="E27" s="11">
        <v>0</v>
      </c>
      <c r="F27" s="11">
        <f t="shared" si="0"/>
        <v>9000</v>
      </c>
      <c r="G27" s="17">
        <f t="shared" si="3"/>
        <v>40.090000000000003</v>
      </c>
      <c r="H27" s="17">
        <f t="shared" si="4"/>
        <v>0</v>
      </c>
      <c r="I27" s="17">
        <f t="shared" si="5"/>
        <v>0</v>
      </c>
      <c r="J27" s="18">
        <f t="shared" si="6"/>
        <v>0</v>
      </c>
      <c r="K27" s="18">
        <f t="shared" si="7"/>
        <v>0</v>
      </c>
      <c r="L27" s="18">
        <f t="shared" si="1"/>
        <v>40.090000000000003</v>
      </c>
      <c r="M27" s="18">
        <f t="shared" si="8"/>
        <v>0</v>
      </c>
      <c r="N27" s="18">
        <f t="shared" si="2"/>
        <v>40.090000000000003</v>
      </c>
      <c r="O27" s="8"/>
    </row>
    <row r="28" spans="1:15">
      <c r="A28" s="1" t="s">
        <v>18</v>
      </c>
      <c r="B28" s="11"/>
      <c r="C28" s="11">
        <v>4032000</v>
      </c>
      <c r="D28" s="11">
        <v>4038000</v>
      </c>
      <c r="E28" s="11">
        <v>0</v>
      </c>
      <c r="F28" s="11">
        <f t="shared" si="0"/>
        <v>6000</v>
      </c>
      <c r="G28" s="17">
        <f t="shared" si="3"/>
        <v>40.090000000000003</v>
      </c>
      <c r="H28" s="17">
        <f t="shared" si="4"/>
        <v>0</v>
      </c>
      <c r="I28" s="17">
        <f t="shared" si="5"/>
        <v>0</v>
      </c>
      <c r="J28" s="18">
        <f t="shared" si="6"/>
        <v>0</v>
      </c>
      <c r="K28" s="18">
        <f t="shared" si="7"/>
        <v>0</v>
      </c>
      <c r="L28" s="18">
        <f t="shared" si="1"/>
        <v>40.090000000000003</v>
      </c>
      <c r="M28" s="18">
        <f t="shared" si="8"/>
        <v>0</v>
      </c>
      <c r="N28" s="18">
        <f t="shared" si="2"/>
        <v>40.090000000000003</v>
      </c>
      <c r="O28" s="8"/>
    </row>
    <row r="29" spans="1:15">
      <c r="A29" s="1" t="s">
        <v>19</v>
      </c>
      <c r="B29" s="11"/>
      <c r="C29" s="11">
        <v>1165000</v>
      </c>
      <c r="D29" s="11">
        <v>1169000</v>
      </c>
      <c r="E29" s="11">
        <v>0</v>
      </c>
      <c r="F29" s="11">
        <f t="shared" si="0"/>
        <v>4000</v>
      </c>
      <c r="G29" s="17">
        <f t="shared" si="3"/>
        <v>40.090000000000003</v>
      </c>
      <c r="H29" s="17">
        <f t="shared" si="4"/>
        <v>0</v>
      </c>
      <c r="I29" s="17">
        <f t="shared" si="5"/>
        <v>0</v>
      </c>
      <c r="J29" s="18">
        <f t="shared" si="6"/>
        <v>0</v>
      </c>
      <c r="K29" s="18">
        <f t="shared" si="7"/>
        <v>0</v>
      </c>
      <c r="L29" s="18">
        <f t="shared" si="1"/>
        <v>40.090000000000003</v>
      </c>
      <c r="M29" s="18">
        <f t="shared" si="8"/>
        <v>0</v>
      </c>
      <c r="N29" s="18">
        <f t="shared" si="2"/>
        <v>40.090000000000003</v>
      </c>
      <c r="O29" s="8"/>
    </row>
    <row r="30" spans="1:15">
      <c r="A30" s="1" t="s">
        <v>20</v>
      </c>
      <c r="B30" s="11"/>
      <c r="C30" s="11">
        <v>2216000</v>
      </c>
      <c r="D30" s="11">
        <v>2219000</v>
      </c>
      <c r="E30" s="11">
        <v>0</v>
      </c>
      <c r="F30" s="11">
        <f t="shared" si="0"/>
        <v>3000</v>
      </c>
      <c r="G30" s="17">
        <f t="shared" si="3"/>
        <v>40.090000000000003</v>
      </c>
      <c r="H30" s="17">
        <f t="shared" si="4"/>
        <v>0</v>
      </c>
      <c r="I30" s="17">
        <f t="shared" si="5"/>
        <v>0</v>
      </c>
      <c r="J30" s="18">
        <f t="shared" si="6"/>
        <v>0</v>
      </c>
      <c r="K30" s="18">
        <f t="shared" si="7"/>
        <v>0</v>
      </c>
      <c r="L30" s="18">
        <f t="shared" si="1"/>
        <v>40.090000000000003</v>
      </c>
      <c r="M30" s="18">
        <f t="shared" si="8"/>
        <v>0</v>
      </c>
      <c r="N30" s="18">
        <f t="shared" si="2"/>
        <v>40.090000000000003</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625000</v>
      </c>
      <c r="D32" s="11">
        <v>635000</v>
      </c>
      <c r="E32" s="11">
        <v>0</v>
      </c>
      <c r="F32" s="11">
        <f t="shared" si="0"/>
        <v>10000</v>
      </c>
      <c r="G32" s="17">
        <f t="shared" si="3"/>
        <v>40.090000000000003</v>
      </c>
      <c r="H32" s="17">
        <f t="shared" si="4"/>
        <v>0</v>
      </c>
      <c r="I32" s="17">
        <f t="shared" si="5"/>
        <v>0</v>
      </c>
      <c r="J32" s="18">
        <f t="shared" si="6"/>
        <v>0</v>
      </c>
      <c r="K32" s="18">
        <f t="shared" si="7"/>
        <v>0</v>
      </c>
      <c r="L32" s="18">
        <f t="shared" si="1"/>
        <v>40.090000000000003</v>
      </c>
      <c r="M32" s="18">
        <f t="shared" si="8"/>
        <v>0</v>
      </c>
      <c r="N32" s="18">
        <f t="shared" si="2"/>
        <v>40.090000000000003</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2386000</v>
      </c>
      <c r="D35" s="11">
        <v>2401000</v>
      </c>
      <c r="E35" s="11">
        <v>0</v>
      </c>
      <c r="F35" s="11">
        <f t="shared" si="0"/>
        <v>15000</v>
      </c>
      <c r="G35" s="17">
        <f t="shared" si="3"/>
        <v>40.090000000000003</v>
      </c>
      <c r="H35" s="17">
        <f t="shared" si="4"/>
        <v>10.9</v>
      </c>
      <c r="I35" s="17">
        <f t="shared" si="5"/>
        <v>0</v>
      </c>
      <c r="J35" s="18">
        <f t="shared" si="6"/>
        <v>0</v>
      </c>
      <c r="K35" s="18">
        <f t="shared" si="7"/>
        <v>0</v>
      </c>
      <c r="L35" s="18">
        <f t="shared" si="1"/>
        <v>50.99</v>
      </c>
      <c r="M35" s="18">
        <f t="shared" si="8"/>
        <v>0</v>
      </c>
      <c r="N35" s="18">
        <f t="shared" si="2"/>
        <v>50.99</v>
      </c>
      <c r="O35" s="8"/>
    </row>
    <row r="36" spans="1:15">
      <c r="A36" s="1" t="s">
        <v>26</v>
      </c>
      <c r="B36" s="11"/>
      <c r="C36" s="11">
        <v>364000</v>
      </c>
      <c r="D36" s="11">
        <v>371000</v>
      </c>
      <c r="E36" s="11">
        <v>0</v>
      </c>
      <c r="F36" s="11">
        <f t="shared" si="0"/>
        <v>7000</v>
      </c>
      <c r="G36" s="17">
        <f t="shared" si="3"/>
        <v>40.090000000000003</v>
      </c>
      <c r="H36" s="17">
        <f t="shared" si="4"/>
        <v>0</v>
      </c>
      <c r="I36" s="17">
        <f t="shared" si="5"/>
        <v>0</v>
      </c>
      <c r="J36" s="18">
        <f t="shared" si="6"/>
        <v>0</v>
      </c>
      <c r="K36" s="18">
        <f t="shared" si="7"/>
        <v>0</v>
      </c>
      <c r="L36" s="18">
        <f t="shared" si="1"/>
        <v>40.090000000000003</v>
      </c>
      <c r="M36" s="18">
        <f t="shared" si="8"/>
        <v>0</v>
      </c>
      <c r="N36" s="18">
        <f t="shared" si="2"/>
        <v>40.090000000000003</v>
      </c>
      <c r="O36" s="8"/>
    </row>
    <row r="37" spans="1:15">
      <c r="A37" s="1" t="s">
        <v>27</v>
      </c>
      <c r="B37" s="11"/>
      <c r="C37" s="11">
        <v>2131000</v>
      </c>
      <c r="D37" s="11">
        <v>2135000</v>
      </c>
      <c r="E37" s="11">
        <v>0</v>
      </c>
      <c r="F37" s="11">
        <f t="shared" si="0"/>
        <v>4000</v>
      </c>
      <c r="G37" s="17">
        <f t="shared" si="3"/>
        <v>40.090000000000003</v>
      </c>
      <c r="H37" s="17">
        <f t="shared" si="4"/>
        <v>0</v>
      </c>
      <c r="I37" s="17">
        <f t="shared" si="5"/>
        <v>0</v>
      </c>
      <c r="J37" s="18">
        <f t="shared" si="6"/>
        <v>0</v>
      </c>
      <c r="K37" s="18">
        <f t="shared" si="7"/>
        <v>0</v>
      </c>
      <c r="L37" s="18">
        <f t="shared" si="1"/>
        <v>40.090000000000003</v>
      </c>
      <c r="M37" s="18">
        <f t="shared" si="8"/>
        <v>0</v>
      </c>
      <c r="N37" s="18">
        <f t="shared" si="2"/>
        <v>40.090000000000003</v>
      </c>
      <c r="O37" s="8"/>
    </row>
    <row r="38" spans="1:15">
      <c r="A38" s="1" t="s">
        <v>28</v>
      </c>
      <c r="B38" s="11"/>
      <c r="C38" s="11">
        <v>1347000</v>
      </c>
      <c r="D38" s="11">
        <v>1354000</v>
      </c>
      <c r="E38" s="11">
        <v>0</v>
      </c>
      <c r="F38" s="11">
        <f t="shared" si="0"/>
        <v>7000</v>
      </c>
      <c r="G38" s="17">
        <f t="shared" si="3"/>
        <v>40.090000000000003</v>
      </c>
      <c r="H38" s="17">
        <f t="shared" si="4"/>
        <v>0</v>
      </c>
      <c r="I38" s="17">
        <f t="shared" si="5"/>
        <v>0</v>
      </c>
      <c r="J38" s="18">
        <f t="shared" si="6"/>
        <v>0</v>
      </c>
      <c r="K38" s="18">
        <f t="shared" si="7"/>
        <v>0</v>
      </c>
      <c r="L38" s="18">
        <f t="shared" si="1"/>
        <v>40.090000000000003</v>
      </c>
      <c r="M38" s="18">
        <f t="shared" si="8"/>
        <v>0</v>
      </c>
      <c r="N38" s="18">
        <f t="shared" si="2"/>
        <v>40.090000000000003</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516000</v>
      </c>
      <c r="D41" s="11">
        <v>519000</v>
      </c>
      <c r="E41" s="11">
        <v>0</v>
      </c>
      <c r="F41" s="11">
        <f t="shared" si="0"/>
        <v>3000</v>
      </c>
      <c r="G41" s="17">
        <f t="shared" si="3"/>
        <v>40.090000000000003</v>
      </c>
      <c r="H41" s="17">
        <f t="shared" si="4"/>
        <v>0</v>
      </c>
      <c r="I41" s="17">
        <f t="shared" si="5"/>
        <v>0</v>
      </c>
      <c r="J41" s="18">
        <f t="shared" si="6"/>
        <v>0</v>
      </c>
      <c r="K41" s="18">
        <f t="shared" si="7"/>
        <v>0</v>
      </c>
      <c r="L41" s="18">
        <f t="shared" si="1"/>
        <v>40.090000000000003</v>
      </c>
      <c r="M41" s="18">
        <f t="shared" si="8"/>
        <v>0</v>
      </c>
      <c r="N41" s="18">
        <f t="shared" si="2"/>
        <v>40.090000000000003</v>
      </c>
      <c r="O41" s="8"/>
    </row>
    <row r="42" spans="1:15">
      <c r="A42" s="1" t="s">
        <v>32</v>
      </c>
      <c r="B42" s="11"/>
      <c r="C42" s="11">
        <v>3876000</v>
      </c>
      <c r="D42" s="11">
        <v>3880000</v>
      </c>
      <c r="E42" s="11">
        <v>0</v>
      </c>
      <c r="F42" s="11">
        <f t="shared" si="0"/>
        <v>4000</v>
      </c>
      <c r="G42" s="17">
        <f t="shared" si="3"/>
        <v>40.090000000000003</v>
      </c>
      <c r="H42" s="17">
        <f t="shared" si="4"/>
        <v>0</v>
      </c>
      <c r="I42" s="17">
        <f t="shared" si="5"/>
        <v>0</v>
      </c>
      <c r="J42" s="18">
        <f t="shared" si="6"/>
        <v>0</v>
      </c>
      <c r="K42" s="18">
        <f t="shared" si="7"/>
        <v>0</v>
      </c>
      <c r="L42" s="18">
        <f t="shared" si="1"/>
        <v>40.090000000000003</v>
      </c>
      <c r="M42" s="18">
        <f t="shared" si="8"/>
        <v>0</v>
      </c>
      <c r="N42" s="18">
        <f t="shared" si="2"/>
        <v>40.090000000000003</v>
      </c>
      <c r="O42" s="8"/>
    </row>
    <row r="43" spans="1:15">
      <c r="A43" s="1" t="s">
        <v>33</v>
      </c>
      <c r="B43" s="11"/>
      <c r="C43" s="11">
        <v>1182000</v>
      </c>
      <c r="D43" s="11">
        <v>1187000</v>
      </c>
      <c r="E43" s="11">
        <v>0</v>
      </c>
      <c r="F43" s="11">
        <f t="shared" si="0"/>
        <v>5000</v>
      </c>
      <c r="G43" s="17">
        <f t="shared" si="3"/>
        <v>40.090000000000003</v>
      </c>
      <c r="H43" s="17">
        <f t="shared" si="4"/>
        <v>0</v>
      </c>
      <c r="I43" s="17">
        <f t="shared" si="5"/>
        <v>0</v>
      </c>
      <c r="J43" s="18">
        <f t="shared" si="6"/>
        <v>0</v>
      </c>
      <c r="K43" s="18">
        <f t="shared" si="7"/>
        <v>0</v>
      </c>
      <c r="L43" s="18">
        <f t="shared" si="1"/>
        <v>40.090000000000003</v>
      </c>
      <c r="M43" s="18">
        <f t="shared" si="8"/>
        <v>0</v>
      </c>
      <c r="N43" s="18">
        <f t="shared" si="2"/>
        <v>40.090000000000003</v>
      </c>
      <c r="O43" s="8"/>
    </row>
    <row r="44" spans="1:15">
      <c r="A44" s="14" t="s">
        <v>34</v>
      </c>
      <c r="B44" s="15"/>
      <c r="C44" s="15">
        <v>214000</v>
      </c>
      <c r="D44" s="15">
        <v>224000</v>
      </c>
      <c r="E44" s="15">
        <v>0</v>
      </c>
      <c r="F44" s="15">
        <f t="shared" si="0"/>
        <v>10000</v>
      </c>
      <c r="G44" s="19">
        <f t="shared" si="3"/>
        <v>40.090000000000003</v>
      </c>
      <c r="H44" s="19">
        <f t="shared" si="4"/>
        <v>0</v>
      </c>
      <c r="I44" s="19">
        <f t="shared" si="5"/>
        <v>0</v>
      </c>
      <c r="J44" s="20">
        <f t="shared" si="6"/>
        <v>0</v>
      </c>
      <c r="K44" s="20">
        <f t="shared" si="7"/>
        <v>0</v>
      </c>
      <c r="L44" s="20">
        <f t="shared" si="1"/>
        <v>40.090000000000003</v>
      </c>
      <c r="M44" s="20">
        <f t="shared" si="8"/>
        <v>0</v>
      </c>
      <c r="N44" s="20">
        <f t="shared" si="2"/>
        <v>40.090000000000003</v>
      </c>
      <c r="O44" s="16" t="s">
        <v>178</v>
      </c>
    </row>
    <row r="45" spans="1:15">
      <c r="A45" s="1" t="s">
        <v>35</v>
      </c>
      <c r="B45" s="11"/>
      <c r="C45" s="11">
        <v>1518000</v>
      </c>
      <c r="D45" s="11">
        <v>1534000</v>
      </c>
      <c r="E45" s="11">
        <v>0</v>
      </c>
      <c r="F45" s="11">
        <f t="shared" si="0"/>
        <v>16000</v>
      </c>
      <c r="G45" s="17">
        <f t="shared" si="3"/>
        <v>40.090000000000003</v>
      </c>
      <c r="H45" s="17">
        <f t="shared" si="4"/>
        <v>13.080000000000002</v>
      </c>
      <c r="I45" s="17">
        <f t="shared" si="5"/>
        <v>0</v>
      </c>
      <c r="J45" s="18">
        <f t="shared" si="6"/>
        <v>0</v>
      </c>
      <c r="K45" s="18">
        <f t="shared" si="7"/>
        <v>0</v>
      </c>
      <c r="L45" s="18">
        <f t="shared" si="1"/>
        <v>53.17</v>
      </c>
      <c r="M45" s="18">
        <f t="shared" si="8"/>
        <v>0</v>
      </c>
      <c r="N45" s="18">
        <f t="shared" si="2"/>
        <v>53.17</v>
      </c>
      <c r="O45" s="8"/>
    </row>
    <row r="46" spans="1:15">
      <c r="A46" s="1" t="s">
        <v>36</v>
      </c>
      <c r="B46" s="11"/>
      <c r="C46" s="11">
        <v>1594000</v>
      </c>
      <c r="D46" s="11">
        <v>1596000</v>
      </c>
      <c r="E46" s="11">
        <v>0</v>
      </c>
      <c r="F46" s="11">
        <f t="shared" si="0"/>
        <v>2000</v>
      </c>
      <c r="G46" s="17">
        <f t="shared" si="3"/>
        <v>40.090000000000003</v>
      </c>
      <c r="H46" s="17">
        <f t="shared" si="4"/>
        <v>0</v>
      </c>
      <c r="I46" s="17">
        <f t="shared" si="5"/>
        <v>0</v>
      </c>
      <c r="J46" s="18">
        <f t="shared" si="6"/>
        <v>0</v>
      </c>
      <c r="K46" s="18">
        <f t="shared" si="7"/>
        <v>0</v>
      </c>
      <c r="L46" s="18">
        <f t="shared" si="1"/>
        <v>40.090000000000003</v>
      </c>
      <c r="M46" s="18">
        <f t="shared" si="8"/>
        <v>0</v>
      </c>
      <c r="N46" s="18">
        <f t="shared" si="2"/>
        <v>40.090000000000003</v>
      </c>
      <c r="O46" s="8"/>
    </row>
    <row r="47" spans="1:15">
      <c r="A47" s="1" t="s">
        <v>37</v>
      </c>
      <c r="B47" s="11"/>
      <c r="C47" s="11">
        <v>1889000</v>
      </c>
      <c r="D47" s="11">
        <v>1896000</v>
      </c>
      <c r="E47" s="11">
        <v>0</v>
      </c>
      <c r="F47" s="11">
        <f t="shared" si="0"/>
        <v>7000</v>
      </c>
      <c r="G47" s="17">
        <f t="shared" si="3"/>
        <v>40.090000000000003</v>
      </c>
      <c r="H47" s="17">
        <f t="shared" si="4"/>
        <v>0</v>
      </c>
      <c r="I47" s="17">
        <f t="shared" si="5"/>
        <v>0</v>
      </c>
      <c r="J47" s="18">
        <f t="shared" si="6"/>
        <v>0</v>
      </c>
      <c r="K47" s="18">
        <f t="shared" si="7"/>
        <v>0</v>
      </c>
      <c r="L47" s="18">
        <f t="shared" si="1"/>
        <v>40.090000000000003</v>
      </c>
      <c r="M47" s="18">
        <f t="shared" si="8"/>
        <v>0</v>
      </c>
      <c r="N47" s="18">
        <f t="shared" si="2"/>
        <v>40.090000000000003</v>
      </c>
      <c r="O47" s="8"/>
    </row>
    <row r="48" spans="1:15">
      <c r="A48" s="1" t="s">
        <v>38</v>
      </c>
      <c r="B48" s="11"/>
      <c r="C48" s="11">
        <v>1695000</v>
      </c>
      <c r="D48" s="11">
        <v>1703000</v>
      </c>
      <c r="E48" s="11">
        <v>0</v>
      </c>
      <c r="F48" s="11">
        <f t="shared" si="0"/>
        <v>8000</v>
      </c>
      <c r="G48" s="17">
        <f t="shared" si="3"/>
        <v>40.090000000000003</v>
      </c>
      <c r="H48" s="17">
        <f t="shared" si="4"/>
        <v>0</v>
      </c>
      <c r="I48" s="17">
        <f t="shared" si="5"/>
        <v>0</v>
      </c>
      <c r="J48" s="18">
        <f t="shared" si="6"/>
        <v>0</v>
      </c>
      <c r="K48" s="18">
        <f t="shared" si="7"/>
        <v>0</v>
      </c>
      <c r="L48" s="18">
        <f t="shared" si="1"/>
        <v>40.090000000000003</v>
      </c>
      <c r="M48" s="18">
        <f t="shared" si="8"/>
        <v>0</v>
      </c>
      <c r="N48" s="18">
        <f t="shared" si="2"/>
        <v>40.090000000000003</v>
      </c>
      <c r="O48" s="8"/>
    </row>
    <row r="49" spans="1:15">
      <c r="A49" s="1" t="s">
        <v>39</v>
      </c>
      <c r="B49" s="11" t="s">
        <v>138</v>
      </c>
      <c r="C49" s="11">
        <v>0</v>
      </c>
      <c r="D49" s="11">
        <v>0</v>
      </c>
      <c r="E49" s="11">
        <v>0</v>
      </c>
      <c r="F49" s="11">
        <f t="shared" si="0"/>
        <v>0</v>
      </c>
      <c r="G49" s="17">
        <f t="shared" si="3"/>
        <v>11.79</v>
      </c>
      <c r="H49" s="17">
        <f t="shared" si="4"/>
        <v>0</v>
      </c>
      <c r="I49" s="17">
        <f t="shared" si="5"/>
        <v>0</v>
      </c>
      <c r="J49" s="18">
        <f t="shared" si="6"/>
        <v>0</v>
      </c>
      <c r="K49" s="18">
        <f t="shared" si="7"/>
        <v>0</v>
      </c>
      <c r="L49" s="18">
        <f t="shared" si="1"/>
        <v>11.79</v>
      </c>
      <c r="M49" s="18">
        <f t="shared" ref="M49:M80" si="9">IF(   $H$5=1,    IF((F49-$H$6)&gt;0,((F49-$H$6)/$N$7)*$E$8,0),   IF(F49&gt;0,(F49/$N$4)*$E$8,0)    )</f>
        <v>0</v>
      </c>
      <c r="N49" s="18">
        <f t="shared" si="2"/>
        <v>11.79</v>
      </c>
      <c r="O49" s="8"/>
    </row>
    <row r="50" spans="1:15">
      <c r="A50" s="1" t="s">
        <v>40</v>
      </c>
      <c r="B50" s="11" t="s">
        <v>138</v>
      </c>
      <c r="C50" s="11">
        <v>0</v>
      </c>
      <c r="D50" s="11">
        <v>0</v>
      </c>
      <c r="E50" s="11">
        <v>0</v>
      </c>
      <c r="F50" s="11">
        <f t="shared" si="0"/>
        <v>0</v>
      </c>
      <c r="G50" s="17">
        <f t="shared" si="3"/>
        <v>11.79</v>
      </c>
      <c r="H50" s="17">
        <f t="shared" si="4"/>
        <v>0</v>
      </c>
      <c r="I50" s="17">
        <f t="shared" si="5"/>
        <v>0</v>
      </c>
      <c r="J50" s="18">
        <f t="shared" si="6"/>
        <v>0</v>
      </c>
      <c r="K50" s="18">
        <f t="shared" si="7"/>
        <v>0</v>
      </c>
      <c r="L50" s="18">
        <f t="shared" si="1"/>
        <v>11.79</v>
      </c>
      <c r="M50" s="18">
        <f t="shared" si="9"/>
        <v>0</v>
      </c>
      <c r="N50" s="18">
        <f t="shared" si="2"/>
        <v>11.79</v>
      </c>
      <c r="O50" s="8"/>
    </row>
    <row r="51" spans="1:15">
      <c r="A51" s="1" t="s">
        <v>41</v>
      </c>
      <c r="B51" s="11" t="s">
        <v>138</v>
      </c>
      <c r="C51" s="11">
        <v>0</v>
      </c>
      <c r="D51" s="11">
        <v>0</v>
      </c>
      <c r="E51" s="11">
        <v>0</v>
      </c>
      <c r="F51" s="11">
        <f t="shared" si="0"/>
        <v>0</v>
      </c>
      <c r="G51" s="17">
        <f t="shared" si="3"/>
        <v>11.79</v>
      </c>
      <c r="H51" s="17">
        <f t="shared" si="4"/>
        <v>0</v>
      </c>
      <c r="I51" s="17">
        <f t="shared" si="5"/>
        <v>0</v>
      </c>
      <c r="J51" s="18">
        <f t="shared" si="6"/>
        <v>0</v>
      </c>
      <c r="K51" s="18">
        <f t="shared" si="7"/>
        <v>0</v>
      </c>
      <c r="L51" s="18">
        <f t="shared" si="1"/>
        <v>11.79</v>
      </c>
      <c r="M51" s="18">
        <f t="shared" si="9"/>
        <v>0</v>
      </c>
      <c r="N51" s="18">
        <f t="shared" si="2"/>
        <v>11.79</v>
      </c>
      <c r="O51" s="8"/>
    </row>
    <row r="52" spans="1:15">
      <c r="A52" s="1" t="s">
        <v>42</v>
      </c>
      <c r="B52" s="11"/>
      <c r="C52" s="11">
        <v>3071000</v>
      </c>
      <c r="D52" s="11">
        <v>3071000</v>
      </c>
      <c r="E52" s="11">
        <v>0</v>
      </c>
      <c r="F52" s="11">
        <f t="shared" si="0"/>
        <v>0</v>
      </c>
      <c r="G52" s="17">
        <f t="shared" si="3"/>
        <v>40.090000000000003</v>
      </c>
      <c r="H52" s="17">
        <f t="shared" si="4"/>
        <v>0</v>
      </c>
      <c r="I52" s="17">
        <f t="shared" si="5"/>
        <v>0</v>
      </c>
      <c r="J52" s="18">
        <f t="shared" si="6"/>
        <v>0</v>
      </c>
      <c r="K52" s="18">
        <f t="shared" si="7"/>
        <v>0</v>
      </c>
      <c r="L52" s="18">
        <f t="shared" si="1"/>
        <v>40.090000000000003</v>
      </c>
      <c r="M52" s="18">
        <f t="shared" si="9"/>
        <v>0</v>
      </c>
      <c r="N52" s="18">
        <f t="shared" si="2"/>
        <v>40.090000000000003</v>
      </c>
      <c r="O52" s="8"/>
    </row>
    <row r="53" spans="1:15">
      <c r="A53" s="1" t="s">
        <v>43</v>
      </c>
      <c r="B53" s="11"/>
      <c r="C53" s="11">
        <v>3250000</v>
      </c>
      <c r="D53" s="11">
        <v>3255000</v>
      </c>
      <c r="E53" s="11">
        <v>0</v>
      </c>
      <c r="F53" s="11">
        <f t="shared" si="0"/>
        <v>5000</v>
      </c>
      <c r="G53" s="17">
        <f t="shared" si="3"/>
        <v>40.090000000000003</v>
      </c>
      <c r="H53" s="17">
        <f t="shared" si="4"/>
        <v>0</v>
      </c>
      <c r="I53" s="17">
        <f t="shared" si="5"/>
        <v>0</v>
      </c>
      <c r="J53" s="18">
        <f t="shared" si="6"/>
        <v>0</v>
      </c>
      <c r="K53" s="18">
        <f t="shared" si="7"/>
        <v>0</v>
      </c>
      <c r="L53" s="18">
        <f t="shared" si="1"/>
        <v>40.090000000000003</v>
      </c>
      <c r="M53" s="18">
        <f t="shared" si="9"/>
        <v>0</v>
      </c>
      <c r="N53" s="18">
        <f t="shared" si="2"/>
        <v>40.090000000000003</v>
      </c>
      <c r="O53" s="8"/>
    </row>
    <row r="54" spans="1:15">
      <c r="A54" s="1" t="s">
        <v>44</v>
      </c>
      <c r="B54" s="11"/>
      <c r="C54" s="11">
        <v>4058000</v>
      </c>
      <c r="D54" s="11">
        <v>4061000</v>
      </c>
      <c r="E54" s="11">
        <v>0</v>
      </c>
      <c r="F54" s="11">
        <f t="shared" si="0"/>
        <v>3000</v>
      </c>
      <c r="G54" s="17">
        <f t="shared" si="3"/>
        <v>40.090000000000003</v>
      </c>
      <c r="H54" s="17">
        <f t="shared" si="4"/>
        <v>0</v>
      </c>
      <c r="I54" s="17">
        <f t="shared" si="5"/>
        <v>0</v>
      </c>
      <c r="J54" s="18">
        <f t="shared" si="6"/>
        <v>0</v>
      </c>
      <c r="K54" s="18">
        <f t="shared" si="7"/>
        <v>0</v>
      </c>
      <c r="L54" s="18">
        <f t="shared" si="1"/>
        <v>40.090000000000003</v>
      </c>
      <c r="M54" s="18">
        <f t="shared" si="9"/>
        <v>0</v>
      </c>
      <c r="N54" s="18">
        <f t="shared" si="2"/>
        <v>40.090000000000003</v>
      </c>
      <c r="O54" s="8"/>
    </row>
    <row r="55" spans="1:15">
      <c r="A55" s="1" t="s">
        <v>45</v>
      </c>
      <c r="B55" s="11" t="s">
        <v>138</v>
      </c>
      <c r="C55" s="11">
        <v>0</v>
      </c>
      <c r="D55" s="11">
        <v>0</v>
      </c>
      <c r="E55" s="11">
        <v>0</v>
      </c>
      <c r="F55" s="11">
        <f t="shared" si="0"/>
        <v>0</v>
      </c>
      <c r="G55" s="17">
        <f t="shared" si="3"/>
        <v>11.79</v>
      </c>
      <c r="H55" s="17">
        <f t="shared" si="4"/>
        <v>0</v>
      </c>
      <c r="I55" s="17">
        <f t="shared" si="5"/>
        <v>0</v>
      </c>
      <c r="J55" s="18">
        <f t="shared" si="6"/>
        <v>0</v>
      </c>
      <c r="K55" s="18">
        <f t="shared" si="7"/>
        <v>0</v>
      </c>
      <c r="L55" s="18">
        <f t="shared" si="1"/>
        <v>11.79</v>
      </c>
      <c r="M55" s="18">
        <f t="shared" si="9"/>
        <v>0</v>
      </c>
      <c r="N55" s="18">
        <f t="shared" si="2"/>
        <v>11.79</v>
      </c>
      <c r="O55" s="8"/>
    </row>
    <row r="56" spans="1:15">
      <c r="A56" s="1" t="s">
        <v>46</v>
      </c>
      <c r="B56" s="11" t="s">
        <v>138</v>
      </c>
      <c r="C56" s="11">
        <v>0</v>
      </c>
      <c r="D56" s="11">
        <v>0</v>
      </c>
      <c r="E56" s="11">
        <v>0</v>
      </c>
      <c r="F56" s="11">
        <f t="shared" si="0"/>
        <v>0</v>
      </c>
      <c r="G56" s="17">
        <f t="shared" si="3"/>
        <v>11.79</v>
      </c>
      <c r="H56" s="17">
        <f t="shared" si="4"/>
        <v>0</v>
      </c>
      <c r="I56" s="17">
        <f t="shared" si="5"/>
        <v>0</v>
      </c>
      <c r="J56" s="18">
        <f t="shared" si="6"/>
        <v>0</v>
      </c>
      <c r="K56" s="18">
        <f t="shared" si="7"/>
        <v>0</v>
      </c>
      <c r="L56" s="18">
        <f t="shared" si="1"/>
        <v>11.79</v>
      </c>
      <c r="M56" s="18">
        <f t="shared" si="9"/>
        <v>0</v>
      </c>
      <c r="N56" s="18">
        <f t="shared" si="2"/>
        <v>11.79</v>
      </c>
      <c r="O56" s="8"/>
    </row>
    <row r="57" spans="1:15">
      <c r="A57" s="1" t="s">
        <v>47</v>
      </c>
      <c r="B57" s="11" t="s">
        <v>138</v>
      </c>
      <c r="C57" s="11">
        <v>0</v>
      </c>
      <c r="D57" s="11">
        <v>0</v>
      </c>
      <c r="E57" s="11">
        <v>0</v>
      </c>
      <c r="F57" s="11">
        <f t="shared" si="0"/>
        <v>0</v>
      </c>
      <c r="G57" s="17">
        <f t="shared" si="3"/>
        <v>11.79</v>
      </c>
      <c r="H57" s="17">
        <f t="shared" si="4"/>
        <v>0</v>
      </c>
      <c r="I57" s="17">
        <f t="shared" si="5"/>
        <v>0</v>
      </c>
      <c r="J57" s="18">
        <f t="shared" si="6"/>
        <v>0</v>
      </c>
      <c r="K57" s="18">
        <f t="shared" si="7"/>
        <v>0</v>
      </c>
      <c r="L57" s="18">
        <f t="shared" si="1"/>
        <v>11.79</v>
      </c>
      <c r="M57" s="18">
        <f t="shared" si="9"/>
        <v>0</v>
      </c>
      <c r="N57" s="18">
        <f t="shared" si="2"/>
        <v>11.79</v>
      </c>
      <c r="O57" s="8"/>
    </row>
    <row r="58" spans="1:15">
      <c r="A58" s="1" t="s">
        <v>48</v>
      </c>
      <c r="B58" s="11"/>
      <c r="C58" s="11">
        <v>1120000</v>
      </c>
      <c r="D58" s="11">
        <v>1123000</v>
      </c>
      <c r="E58" s="11">
        <v>0</v>
      </c>
      <c r="F58" s="11">
        <f t="shared" si="0"/>
        <v>3000</v>
      </c>
      <c r="G58" s="17">
        <f t="shared" si="3"/>
        <v>40.090000000000003</v>
      </c>
      <c r="H58" s="17">
        <f t="shared" si="4"/>
        <v>0</v>
      </c>
      <c r="I58" s="17">
        <f t="shared" si="5"/>
        <v>0</v>
      </c>
      <c r="J58" s="18">
        <f t="shared" si="6"/>
        <v>0</v>
      </c>
      <c r="K58" s="18">
        <f t="shared" si="7"/>
        <v>0</v>
      </c>
      <c r="L58" s="18">
        <f t="shared" si="1"/>
        <v>40.090000000000003</v>
      </c>
      <c r="M58" s="18">
        <f t="shared" si="9"/>
        <v>0</v>
      </c>
      <c r="N58" s="18">
        <f t="shared" si="2"/>
        <v>40.090000000000003</v>
      </c>
      <c r="O58" s="8"/>
    </row>
    <row r="59" spans="1:15">
      <c r="A59" s="1" t="s">
        <v>49</v>
      </c>
      <c r="B59" s="11"/>
      <c r="C59" s="11">
        <v>896000</v>
      </c>
      <c r="D59" s="11">
        <v>903000</v>
      </c>
      <c r="E59" s="11">
        <v>0</v>
      </c>
      <c r="F59" s="11">
        <f t="shared" si="0"/>
        <v>7000</v>
      </c>
      <c r="G59" s="17">
        <f t="shared" si="3"/>
        <v>40.090000000000003</v>
      </c>
      <c r="H59" s="17">
        <f t="shared" si="4"/>
        <v>0</v>
      </c>
      <c r="I59" s="17">
        <f t="shared" si="5"/>
        <v>0</v>
      </c>
      <c r="J59" s="18">
        <f t="shared" si="6"/>
        <v>0</v>
      </c>
      <c r="K59" s="18">
        <f t="shared" si="7"/>
        <v>0</v>
      </c>
      <c r="L59" s="18">
        <f t="shared" si="1"/>
        <v>40.090000000000003</v>
      </c>
      <c r="M59" s="18">
        <f t="shared" si="9"/>
        <v>0</v>
      </c>
      <c r="N59" s="18">
        <f t="shared" si="2"/>
        <v>40.090000000000003</v>
      </c>
      <c r="O59" s="8"/>
    </row>
    <row r="60" spans="1:15">
      <c r="A60" s="1" t="s">
        <v>50</v>
      </c>
      <c r="B60" s="11"/>
      <c r="C60" s="11">
        <v>3489000</v>
      </c>
      <c r="D60" s="11">
        <v>3492000</v>
      </c>
      <c r="E60" s="11">
        <v>0</v>
      </c>
      <c r="F60" s="11">
        <f t="shared" si="0"/>
        <v>3000</v>
      </c>
      <c r="G60" s="17">
        <f t="shared" si="3"/>
        <v>40.090000000000003</v>
      </c>
      <c r="H60" s="17">
        <f t="shared" si="4"/>
        <v>0</v>
      </c>
      <c r="I60" s="17">
        <f t="shared" si="5"/>
        <v>0</v>
      </c>
      <c r="J60" s="18">
        <f t="shared" si="6"/>
        <v>0</v>
      </c>
      <c r="K60" s="18">
        <f t="shared" si="7"/>
        <v>0</v>
      </c>
      <c r="L60" s="18">
        <f t="shared" si="1"/>
        <v>40.090000000000003</v>
      </c>
      <c r="M60" s="18">
        <f t="shared" si="9"/>
        <v>0</v>
      </c>
      <c r="N60" s="18">
        <f t="shared" si="2"/>
        <v>40.090000000000003</v>
      </c>
      <c r="O60" s="8"/>
    </row>
    <row r="61" spans="1:15">
      <c r="A61" s="1" t="s">
        <v>51</v>
      </c>
      <c r="B61" s="11" t="s">
        <v>138</v>
      </c>
      <c r="C61" s="11">
        <v>0</v>
      </c>
      <c r="D61" s="11">
        <v>0</v>
      </c>
      <c r="E61" s="11">
        <v>0</v>
      </c>
      <c r="F61" s="11">
        <f t="shared" si="0"/>
        <v>0</v>
      </c>
      <c r="G61" s="17">
        <f t="shared" si="3"/>
        <v>11.79</v>
      </c>
      <c r="H61" s="17">
        <f t="shared" si="4"/>
        <v>0</v>
      </c>
      <c r="I61" s="17">
        <f t="shared" si="5"/>
        <v>0</v>
      </c>
      <c r="J61" s="18">
        <f t="shared" si="6"/>
        <v>0</v>
      </c>
      <c r="K61" s="18">
        <f t="shared" si="7"/>
        <v>0</v>
      </c>
      <c r="L61" s="18">
        <f t="shared" si="1"/>
        <v>11.79</v>
      </c>
      <c r="M61" s="18">
        <f t="shared" si="9"/>
        <v>0</v>
      </c>
      <c r="N61" s="18">
        <f t="shared" si="2"/>
        <v>11.79</v>
      </c>
      <c r="O61" s="8"/>
    </row>
    <row r="62" spans="1:15">
      <c r="A62" s="1" t="s">
        <v>52</v>
      </c>
      <c r="B62" s="11"/>
      <c r="C62" s="11">
        <v>1708000</v>
      </c>
      <c r="D62" s="11">
        <v>1710000</v>
      </c>
      <c r="E62" s="11">
        <v>0</v>
      </c>
      <c r="F62" s="11">
        <f t="shared" si="0"/>
        <v>2000</v>
      </c>
      <c r="G62" s="17">
        <f t="shared" si="3"/>
        <v>40.090000000000003</v>
      </c>
      <c r="H62" s="17">
        <f t="shared" si="4"/>
        <v>0</v>
      </c>
      <c r="I62" s="17">
        <f t="shared" si="5"/>
        <v>0</v>
      </c>
      <c r="J62" s="18">
        <f t="shared" si="6"/>
        <v>0</v>
      </c>
      <c r="K62" s="18">
        <f t="shared" si="7"/>
        <v>0</v>
      </c>
      <c r="L62" s="18">
        <f t="shared" si="1"/>
        <v>40.090000000000003</v>
      </c>
      <c r="M62" s="18">
        <f t="shared" si="9"/>
        <v>0</v>
      </c>
      <c r="N62" s="18">
        <f t="shared" si="2"/>
        <v>40.090000000000003</v>
      </c>
      <c r="O62" s="8"/>
    </row>
    <row r="63" spans="1:15">
      <c r="A63" s="1" t="s">
        <v>53</v>
      </c>
      <c r="B63" s="11"/>
      <c r="C63" s="11">
        <v>2323000</v>
      </c>
      <c r="D63" s="11">
        <v>2330000</v>
      </c>
      <c r="E63" s="11">
        <v>0</v>
      </c>
      <c r="F63" s="11">
        <f t="shared" si="0"/>
        <v>7000</v>
      </c>
      <c r="G63" s="17">
        <f t="shared" si="3"/>
        <v>40.090000000000003</v>
      </c>
      <c r="H63" s="17">
        <f t="shared" si="4"/>
        <v>0</v>
      </c>
      <c r="I63" s="17">
        <f t="shared" si="5"/>
        <v>0</v>
      </c>
      <c r="J63" s="18">
        <f t="shared" si="6"/>
        <v>0</v>
      </c>
      <c r="K63" s="18">
        <f t="shared" si="7"/>
        <v>0</v>
      </c>
      <c r="L63" s="18">
        <f t="shared" si="1"/>
        <v>40.090000000000003</v>
      </c>
      <c r="M63" s="18">
        <f t="shared" si="9"/>
        <v>0</v>
      </c>
      <c r="N63" s="18">
        <f t="shared" si="2"/>
        <v>40.090000000000003</v>
      </c>
      <c r="O63" s="8"/>
    </row>
    <row r="64" spans="1:15">
      <c r="A64" s="1" t="s">
        <v>54</v>
      </c>
      <c r="B64" s="11"/>
      <c r="C64" s="11">
        <v>3336000</v>
      </c>
      <c r="D64" s="11">
        <v>3340000</v>
      </c>
      <c r="E64" s="11">
        <v>0</v>
      </c>
      <c r="F64" s="11">
        <f t="shared" si="0"/>
        <v>4000</v>
      </c>
      <c r="G64" s="17">
        <f t="shared" si="3"/>
        <v>40.090000000000003</v>
      </c>
      <c r="H64" s="17">
        <f t="shared" si="4"/>
        <v>0</v>
      </c>
      <c r="I64" s="17">
        <f t="shared" si="5"/>
        <v>0</v>
      </c>
      <c r="J64" s="18">
        <f t="shared" si="6"/>
        <v>0</v>
      </c>
      <c r="K64" s="18">
        <f t="shared" si="7"/>
        <v>0</v>
      </c>
      <c r="L64" s="18">
        <f t="shared" si="1"/>
        <v>40.090000000000003</v>
      </c>
      <c r="M64" s="18">
        <f t="shared" si="9"/>
        <v>0</v>
      </c>
      <c r="N64" s="18">
        <f t="shared" si="2"/>
        <v>40.090000000000003</v>
      </c>
      <c r="O64" s="8"/>
    </row>
    <row r="65" spans="1:15">
      <c r="A65" s="1" t="s">
        <v>55</v>
      </c>
      <c r="B65" s="11" t="s">
        <v>138</v>
      </c>
      <c r="C65" s="11">
        <v>0</v>
      </c>
      <c r="D65" s="11">
        <v>0</v>
      </c>
      <c r="E65" s="11">
        <v>0</v>
      </c>
      <c r="F65" s="11">
        <f t="shared" si="0"/>
        <v>0</v>
      </c>
      <c r="G65" s="17">
        <f t="shared" si="3"/>
        <v>11.79</v>
      </c>
      <c r="H65" s="17">
        <f t="shared" si="4"/>
        <v>0</v>
      </c>
      <c r="I65" s="17">
        <f t="shared" si="5"/>
        <v>0</v>
      </c>
      <c r="J65" s="18">
        <f t="shared" si="6"/>
        <v>0</v>
      </c>
      <c r="K65" s="18">
        <f t="shared" si="7"/>
        <v>0</v>
      </c>
      <c r="L65" s="18">
        <f t="shared" si="1"/>
        <v>11.79</v>
      </c>
      <c r="M65" s="18">
        <f t="shared" si="9"/>
        <v>0</v>
      </c>
      <c r="N65" s="18">
        <f t="shared" si="2"/>
        <v>11.79</v>
      </c>
      <c r="O65" s="8"/>
    </row>
    <row r="66" spans="1:15">
      <c r="A66" s="1" t="s">
        <v>56</v>
      </c>
      <c r="B66" s="11"/>
      <c r="C66" s="11">
        <v>1514000</v>
      </c>
      <c r="D66" s="11">
        <v>1518000</v>
      </c>
      <c r="E66" s="11">
        <v>0</v>
      </c>
      <c r="F66" s="11">
        <f t="shared" si="0"/>
        <v>4000</v>
      </c>
      <c r="G66" s="17">
        <f t="shared" si="3"/>
        <v>40.090000000000003</v>
      </c>
      <c r="H66" s="17">
        <f t="shared" si="4"/>
        <v>0</v>
      </c>
      <c r="I66" s="17">
        <f t="shared" si="5"/>
        <v>0</v>
      </c>
      <c r="J66" s="18">
        <f t="shared" si="6"/>
        <v>0</v>
      </c>
      <c r="K66" s="18">
        <f t="shared" si="7"/>
        <v>0</v>
      </c>
      <c r="L66" s="18">
        <f t="shared" si="1"/>
        <v>40.090000000000003</v>
      </c>
      <c r="M66" s="18">
        <f t="shared" si="9"/>
        <v>0</v>
      </c>
      <c r="N66" s="18">
        <f t="shared" si="2"/>
        <v>40.090000000000003</v>
      </c>
      <c r="O66" s="8"/>
    </row>
    <row r="67" spans="1:15">
      <c r="A67" s="1" t="s">
        <v>57</v>
      </c>
      <c r="B67" s="11"/>
      <c r="C67" s="11">
        <v>1615000</v>
      </c>
      <c r="D67" s="11">
        <v>1616000</v>
      </c>
      <c r="E67" s="11">
        <v>0</v>
      </c>
      <c r="F67" s="11">
        <f t="shared" si="0"/>
        <v>1000</v>
      </c>
      <c r="G67" s="17">
        <f t="shared" si="3"/>
        <v>40.090000000000003</v>
      </c>
      <c r="H67" s="17">
        <f t="shared" si="4"/>
        <v>0</v>
      </c>
      <c r="I67" s="17">
        <f t="shared" si="5"/>
        <v>0</v>
      </c>
      <c r="J67" s="18">
        <f t="shared" si="6"/>
        <v>0</v>
      </c>
      <c r="K67" s="18">
        <f t="shared" si="7"/>
        <v>0</v>
      </c>
      <c r="L67" s="18">
        <f t="shared" si="1"/>
        <v>40.090000000000003</v>
      </c>
      <c r="M67" s="18">
        <f t="shared" si="9"/>
        <v>0</v>
      </c>
      <c r="N67" s="18">
        <f t="shared" si="2"/>
        <v>40.090000000000003</v>
      </c>
      <c r="O67" s="8"/>
    </row>
    <row r="68" spans="1:15">
      <c r="A68" s="1" t="s">
        <v>58</v>
      </c>
      <c r="B68" s="11" t="s">
        <v>138</v>
      </c>
      <c r="C68" s="11">
        <v>0</v>
      </c>
      <c r="D68" s="11">
        <v>0</v>
      </c>
      <c r="E68" s="11">
        <v>0</v>
      </c>
      <c r="F68" s="11">
        <f t="shared" si="0"/>
        <v>0</v>
      </c>
      <c r="G68" s="17">
        <f t="shared" si="3"/>
        <v>11.79</v>
      </c>
      <c r="H68" s="17">
        <f t="shared" si="4"/>
        <v>0</v>
      </c>
      <c r="I68" s="17">
        <f t="shared" si="5"/>
        <v>0</v>
      </c>
      <c r="J68" s="18">
        <f t="shared" si="6"/>
        <v>0</v>
      </c>
      <c r="K68" s="18">
        <f t="shared" si="7"/>
        <v>0</v>
      </c>
      <c r="L68" s="18">
        <f t="shared" si="1"/>
        <v>11.79</v>
      </c>
      <c r="M68" s="18">
        <f t="shared" si="9"/>
        <v>0</v>
      </c>
      <c r="N68" s="18">
        <f t="shared" si="2"/>
        <v>11.79</v>
      </c>
      <c r="O68" s="8"/>
    </row>
    <row r="69" spans="1:15">
      <c r="A69" s="1" t="s">
        <v>59</v>
      </c>
      <c r="B69" s="11" t="s">
        <v>138</v>
      </c>
      <c r="C69" s="11">
        <v>0</v>
      </c>
      <c r="D69" s="11">
        <v>0</v>
      </c>
      <c r="E69" s="11">
        <v>0</v>
      </c>
      <c r="F69" s="11">
        <f t="shared" si="0"/>
        <v>0</v>
      </c>
      <c r="G69" s="17">
        <f t="shared" si="3"/>
        <v>11.79</v>
      </c>
      <c r="H69" s="17">
        <f t="shared" si="4"/>
        <v>0</v>
      </c>
      <c r="I69" s="17">
        <f t="shared" si="5"/>
        <v>0</v>
      </c>
      <c r="J69" s="18">
        <f t="shared" si="6"/>
        <v>0</v>
      </c>
      <c r="K69" s="18">
        <f t="shared" si="7"/>
        <v>0</v>
      </c>
      <c r="L69" s="18">
        <f t="shared" si="1"/>
        <v>11.79</v>
      </c>
      <c r="M69" s="18">
        <f t="shared" si="9"/>
        <v>0</v>
      </c>
      <c r="N69" s="18">
        <f t="shared" si="2"/>
        <v>11.79</v>
      </c>
      <c r="O69" s="8"/>
    </row>
    <row r="70" spans="1:15">
      <c r="A70" s="1" t="s">
        <v>60</v>
      </c>
      <c r="B70" s="11" t="s">
        <v>138</v>
      </c>
      <c r="C70" s="11">
        <v>0</v>
      </c>
      <c r="D70" s="11">
        <v>0</v>
      </c>
      <c r="E70" s="11">
        <v>0</v>
      </c>
      <c r="F70" s="11">
        <f t="shared" si="0"/>
        <v>0</v>
      </c>
      <c r="G70" s="17">
        <f t="shared" si="3"/>
        <v>11.79</v>
      </c>
      <c r="H70" s="17">
        <f t="shared" si="4"/>
        <v>0</v>
      </c>
      <c r="I70" s="17">
        <f t="shared" si="5"/>
        <v>0</v>
      </c>
      <c r="J70" s="18">
        <f t="shared" si="6"/>
        <v>0</v>
      </c>
      <c r="K70" s="18">
        <f t="shared" si="7"/>
        <v>0</v>
      </c>
      <c r="L70" s="18">
        <f t="shared" si="1"/>
        <v>11.79</v>
      </c>
      <c r="M70" s="18">
        <f t="shared" si="9"/>
        <v>0</v>
      </c>
      <c r="N70" s="18">
        <f t="shared" si="2"/>
        <v>11.79</v>
      </c>
      <c r="O70" s="8"/>
    </row>
    <row r="71" spans="1:15">
      <c r="A71" s="1" t="s">
        <v>61</v>
      </c>
      <c r="B71" s="11"/>
      <c r="C71" s="11">
        <v>1343000</v>
      </c>
      <c r="D71" s="11">
        <v>1347000</v>
      </c>
      <c r="E71" s="11">
        <v>0</v>
      </c>
      <c r="F71" s="11">
        <f t="shared" si="0"/>
        <v>4000</v>
      </c>
      <c r="G71" s="17">
        <f t="shared" si="3"/>
        <v>40.090000000000003</v>
      </c>
      <c r="H71" s="17">
        <f t="shared" si="4"/>
        <v>0</v>
      </c>
      <c r="I71" s="17">
        <f t="shared" si="5"/>
        <v>0</v>
      </c>
      <c r="J71" s="18">
        <f t="shared" si="6"/>
        <v>0</v>
      </c>
      <c r="K71" s="18">
        <f t="shared" si="7"/>
        <v>0</v>
      </c>
      <c r="L71" s="18">
        <f t="shared" si="1"/>
        <v>40.090000000000003</v>
      </c>
      <c r="M71" s="18">
        <f t="shared" si="9"/>
        <v>0</v>
      </c>
      <c r="N71" s="18">
        <f t="shared" si="2"/>
        <v>40.090000000000003</v>
      </c>
      <c r="O71" s="8"/>
    </row>
    <row r="72" spans="1:15">
      <c r="A72" s="1" t="s">
        <v>62</v>
      </c>
      <c r="B72" s="11"/>
      <c r="C72" s="11">
        <v>1903000</v>
      </c>
      <c r="D72" s="11">
        <v>1909000</v>
      </c>
      <c r="E72" s="11">
        <v>0</v>
      </c>
      <c r="F72" s="11">
        <f t="shared" si="0"/>
        <v>6000</v>
      </c>
      <c r="G72" s="17">
        <f t="shared" si="3"/>
        <v>40.090000000000003</v>
      </c>
      <c r="H72" s="17">
        <f t="shared" si="4"/>
        <v>0</v>
      </c>
      <c r="I72" s="17">
        <f t="shared" si="5"/>
        <v>0</v>
      </c>
      <c r="J72" s="18">
        <f t="shared" si="6"/>
        <v>0</v>
      </c>
      <c r="K72" s="18">
        <f t="shared" si="7"/>
        <v>0</v>
      </c>
      <c r="L72" s="18">
        <f t="shared" si="1"/>
        <v>40.090000000000003</v>
      </c>
      <c r="M72" s="18">
        <f t="shared" si="9"/>
        <v>0</v>
      </c>
      <c r="N72" s="18">
        <f t="shared" si="2"/>
        <v>40.090000000000003</v>
      </c>
      <c r="O72" s="8"/>
    </row>
    <row r="73" spans="1:15">
      <c r="A73" s="1" t="s">
        <v>63</v>
      </c>
      <c r="B73" s="11" t="s">
        <v>138</v>
      </c>
      <c r="C73" s="11">
        <v>0</v>
      </c>
      <c r="D73" s="11">
        <v>0</v>
      </c>
      <c r="E73" s="11">
        <v>0</v>
      </c>
      <c r="F73" s="11">
        <f t="shared" si="0"/>
        <v>0</v>
      </c>
      <c r="G73" s="17">
        <f t="shared" si="3"/>
        <v>11.79</v>
      </c>
      <c r="H73" s="17">
        <f t="shared" si="4"/>
        <v>0</v>
      </c>
      <c r="I73" s="17">
        <f t="shared" si="5"/>
        <v>0</v>
      </c>
      <c r="J73" s="18">
        <f t="shared" si="6"/>
        <v>0</v>
      </c>
      <c r="K73" s="18">
        <f t="shared" si="7"/>
        <v>0</v>
      </c>
      <c r="L73" s="18">
        <f t="shared" si="1"/>
        <v>11.79</v>
      </c>
      <c r="M73" s="18">
        <f t="shared" si="9"/>
        <v>0</v>
      </c>
      <c r="N73" s="18">
        <f t="shared" si="2"/>
        <v>11.79</v>
      </c>
      <c r="O73" s="8"/>
    </row>
    <row r="74" spans="1:15">
      <c r="A74" s="1" t="s">
        <v>64</v>
      </c>
      <c r="B74" s="11"/>
      <c r="C74" s="11">
        <v>4913000</v>
      </c>
      <c r="D74" s="11">
        <v>4919000</v>
      </c>
      <c r="E74" s="11">
        <v>0</v>
      </c>
      <c r="F74" s="11">
        <f t="shared" si="0"/>
        <v>6000</v>
      </c>
      <c r="G74" s="17">
        <f t="shared" si="3"/>
        <v>40.090000000000003</v>
      </c>
      <c r="H74" s="17">
        <f t="shared" si="4"/>
        <v>0</v>
      </c>
      <c r="I74" s="17">
        <f t="shared" si="5"/>
        <v>0</v>
      </c>
      <c r="J74" s="18">
        <f t="shared" si="6"/>
        <v>0</v>
      </c>
      <c r="K74" s="18">
        <f t="shared" si="7"/>
        <v>0</v>
      </c>
      <c r="L74" s="18">
        <f t="shared" si="1"/>
        <v>40.090000000000003</v>
      </c>
      <c r="M74" s="18">
        <f t="shared" si="9"/>
        <v>0</v>
      </c>
      <c r="N74" s="18">
        <f t="shared" si="2"/>
        <v>40.090000000000003</v>
      </c>
      <c r="O74" s="8"/>
    </row>
    <row r="75" spans="1:15">
      <c r="A75" s="1" t="s">
        <v>65</v>
      </c>
      <c r="B75" s="11"/>
      <c r="C75" s="11">
        <v>6642000</v>
      </c>
      <c r="D75" s="11">
        <v>6644000</v>
      </c>
      <c r="E75" s="11">
        <v>0</v>
      </c>
      <c r="F75" s="11">
        <f t="shared" ref="F75:F136" si="10">($D75-$C75)+$E75</f>
        <v>2000</v>
      </c>
      <c r="G75" s="17">
        <f t="shared" si="3"/>
        <v>40.090000000000003</v>
      </c>
      <c r="H75" s="17">
        <f t="shared" si="4"/>
        <v>0</v>
      </c>
      <c r="I75" s="17">
        <f t="shared" si="5"/>
        <v>0</v>
      </c>
      <c r="J75" s="18">
        <f t="shared" si="6"/>
        <v>0</v>
      </c>
      <c r="K75" s="18">
        <f t="shared" si="7"/>
        <v>0</v>
      </c>
      <c r="L75" s="18">
        <f t="shared" si="1"/>
        <v>40.090000000000003</v>
      </c>
      <c r="M75" s="18">
        <f t="shared" si="9"/>
        <v>0</v>
      </c>
      <c r="N75" s="18">
        <f t="shared" si="2"/>
        <v>40.090000000000003</v>
      </c>
      <c r="O75" s="8"/>
    </row>
    <row r="76" spans="1:15">
      <c r="A76" s="1" t="s">
        <v>66</v>
      </c>
      <c r="B76" s="11"/>
      <c r="C76" s="11">
        <v>9228000</v>
      </c>
      <c r="D76" s="11">
        <v>9231000</v>
      </c>
      <c r="E76" s="11">
        <v>0</v>
      </c>
      <c r="F76" s="11">
        <f t="shared" si="10"/>
        <v>3000</v>
      </c>
      <c r="G76" s="17">
        <f t="shared" si="3"/>
        <v>40.090000000000003</v>
      </c>
      <c r="H76" s="17">
        <f t="shared" si="4"/>
        <v>0</v>
      </c>
      <c r="I76" s="17">
        <f t="shared" si="5"/>
        <v>0</v>
      </c>
      <c r="J76" s="18">
        <f t="shared" si="6"/>
        <v>0</v>
      </c>
      <c r="K76" s="18">
        <f t="shared" si="7"/>
        <v>0</v>
      </c>
      <c r="L76" s="18">
        <f t="shared" ref="L76:L136" si="11">SUM(G76:K76)</f>
        <v>40.090000000000003</v>
      </c>
      <c r="M76" s="18">
        <f t="shared" si="9"/>
        <v>0</v>
      </c>
      <c r="N76" s="18">
        <f t="shared" ref="N76:N136" si="12">SUM(L76:M76)</f>
        <v>40.090000000000003</v>
      </c>
      <c r="O76" s="8"/>
    </row>
    <row r="77" spans="1:15">
      <c r="A77" s="1" t="s">
        <v>67</v>
      </c>
      <c r="B77" s="11" t="s">
        <v>138</v>
      </c>
      <c r="C77" s="11">
        <v>0</v>
      </c>
      <c r="D77" s="11">
        <v>0</v>
      </c>
      <c r="E77" s="11">
        <v>0</v>
      </c>
      <c r="F77" s="11">
        <f t="shared" si="10"/>
        <v>0</v>
      </c>
      <c r="G77" s="17">
        <f t="shared" si="3"/>
        <v>11.79</v>
      </c>
      <c r="H77" s="17">
        <f t="shared" si="4"/>
        <v>0</v>
      </c>
      <c r="I77" s="17">
        <f t="shared" si="5"/>
        <v>0</v>
      </c>
      <c r="J77" s="18">
        <f t="shared" si="6"/>
        <v>0</v>
      </c>
      <c r="K77" s="18">
        <f t="shared" si="7"/>
        <v>0</v>
      </c>
      <c r="L77" s="18">
        <f t="shared" si="11"/>
        <v>11.79</v>
      </c>
      <c r="M77" s="18">
        <f t="shared" si="9"/>
        <v>0</v>
      </c>
      <c r="N77" s="18">
        <f t="shared" si="12"/>
        <v>11.79</v>
      </c>
      <c r="O77" s="8"/>
    </row>
    <row r="78" spans="1:15">
      <c r="A78" s="1" t="s">
        <v>68</v>
      </c>
      <c r="B78" s="11"/>
      <c r="C78" s="11">
        <v>3581000</v>
      </c>
      <c r="D78" s="11">
        <v>3587000</v>
      </c>
      <c r="E78" s="11">
        <v>0</v>
      </c>
      <c r="F78" s="11">
        <f t="shared" si="10"/>
        <v>6000</v>
      </c>
      <c r="G78" s="17">
        <f t="shared" si="3"/>
        <v>40.090000000000003</v>
      </c>
      <c r="H78" s="17">
        <f t="shared" si="4"/>
        <v>0</v>
      </c>
      <c r="I78" s="17">
        <f t="shared" si="5"/>
        <v>0</v>
      </c>
      <c r="J78" s="18">
        <f t="shared" si="6"/>
        <v>0</v>
      </c>
      <c r="K78" s="18">
        <f t="shared" si="7"/>
        <v>0</v>
      </c>
      <c r="L78" s="18">
        <f t="shared" si="11"/>
        <v>40.090000000000003</v>
      </c>
      <c r="M78" s="18">
        <f t="shared" si="9"/>
        <v>0</v>
      </c>
      <c r="N78" s="18">
        <f t="shared" si="12"/>
        <v>40.090000000000003</v>
      </c>
      <c r="O78" s="8"/>
    </row>
    <row r="79" spans="1:15">
      <c r="A79" s="1" t="s">
        <v>69</v>
      </c>
      <c r="B79" s="11"/>
      <c r="C79" s="11">
        <v>2301000</v>
      </c>
      <c r="D79" s="11">
        <v>2312000</v>
      </c>
      <c r="E79" s="11">
        <v>0</v>
      </c>
      <c r="F79" s="11">
        <f t="shared" si="10"/>
        <v>11000</v>
      </c>
      <c r="G79" s="17">
        <f t="shared" si="3"/>
        <v>40.090000000000003</v>
      </c>
      <c r="H79" s="17">
        <f t="shared" si="4"/>
        <v>2.1800000000000002</v>
      </c>
      <c r="I79" s="17">
        <f t="shared" si="5"/>
        <v>0</v>
      </c>
      <c r="J79" s="18">
        <f t="shared" si="6"/>
        <v>0</v>
      </c>
      <c r="K79" s="18">
        <f t="shared" si="7"/>
        <v>0</v>
      </c>
      <c r="L79" s="18">
        <f t="shared" si="11"/>
        <v>42.27</v>
      </c>
      <c r="M79" s="18">
        <f t="shared" si="9"/>
        <v>0</v>
      </c>
      <c r="N79" s="18">
        <f t="shared" si="12"/>
        <v>42.27</v>
      </c>
      <c r="O79" s="8"/>
    </row>
    <row r="80" spans="1:15">
      <c r="A80" s="1" t="s">
        <v>70</v>
      </c>
      <c r="B80" s="11"/>
      <c r="C80" s="11">
        <v>1404000</v>
      </c>
      <c r="D80" s="11">
        <v>1414000</v>
      </c>
      <c r="E80" s="11">
        <v>0</v>
      </c>
      <c r="F80" s="11">
        <f t="shared" si="10"/>
        <v>10000</v>
      </c>
      <c r="G80" s="17">
        <f t="shared" si="3"/>
        <v>40.090000000000003</v>
      </c>
      <c r="H80" s="17">
        <f t="shared" si="4"/>
        <v>0</v>
      </c>
      <c r="I80" s="17">
        <f t="shared" si="5"/>
        <v>0</v>
      </c>
      <c r="J80" s="18">
        <f t="shared" si="6"/>
        <v>0</v>
      </c>
      <c r="K80" s="18">
        <f t="shared" si="7"/>
        <v>0</v>
      </c>
      <c r="L80" s="18">
        <f t="shared" si="11"/>
        <v>40.090000000000003</v>
      </c>
      <c r="M80" s="18">
        <f t="shared" si="9"/>
        <v>0</v>
      </c>
      <c r="N80" s="18">
        <f t="shared" si="12"/>
        <v>40.090000000000003</v>
      </c>
      <c r="O80" s="8"/>
    </row>
    <row r="81" spans="1:15">
      <c r="A81" s="1" t="s">
        <v>71</v>
      </c>
      <c r="B81" s="11" t="s">
        <v>138</v>
      </c>
      <c r="C81" s="11">
        <v>0</v>
      </c>
      <c r="D81" s="11">
        <v>0</v>
      </c>
      <c r="E81" s="11">
        <v>0</v>
      </c>
      <c r="F81" s="11">
        <f t="shared" si="10"/>
        <v>0</v>
      </c>
      <c r="G81" s="17">
        <f t="shared" ref="G81:G136" si="13">IF(OR($F81&gt;0,$B81=""),40.09,11.79)</f>
        <v>11.79</v>
      </c>
      <c r="H81" s="17">
        <f t="shared" ref="H81:H136" si="14">IF(AND((($F81-10000)&gt;=0),(($F81-10000)&lt;= 10000)),($F81-10000)/1000*2.18,IF(($F81-10000)&gt;=10000,2.18*10,0))</f>
        <v>0</v>
      </c>
      <c r="I81" s="17">
        <f t="shared" ref="I81:I136" si="15">IF(AND((($F81-20000)&gt;=0),(($F81-20000)&lt;=10000)),($F81-20000)/1000*2.53,IF(($F81-20000)&gt;=10000,2.53*10,0))</f>
        <v>0</v>
      </c>
      <c r="J81" s="18">
        <f t="shared" ref="J81:J136" si="16">IF(AND((($F81-30000)&gt;=0),(($F81-30000)&lt;=10000)),($F81-30000)/1000*2.95,IF(($F81-30000)&gt;=10000,2.95*10,0))</f>
        <v>0</v>
      </c>
      <c r="K81" s="18">
        <f t="shared" ref="K81:K136" si="17">IF((($F81-40000)&gt;=0),($F81-40000)/1000*3.42,0)</f>
        <v>0</v>
      </c>
      <c r="L81" s="18">
        <f t="shared" si="11"/>
        <v>11.79</v>
      </c>
      <c r="M81" s="18">
        <f t="shared" ref="M81:M112" si="18">IF(   $H$5=1,    IF((F81-$H$6)&gt;0,((F81-$H$6)/$N$7)*$E$8,0),   IF(F81&gt;0,(F81/$N$4)*$E$8,0)    )</f>
        <v>0</v>
      </c>
      <c r="N81" s="18">
        <f t="shared" si="12"/>
        <v>11.79</v>
      </c>
      <c r="O81" s="8"/>
    </row>
    <row r="82" spans="1:15">
      <c r="A82" s="1" t="s">
        <v>72</v>
      </c>
      <c r="B82" s="11"/>
      <c r="C82" s="11">
        <v>125000</v>
      </c>
      <c r="D82" s="11">
        <v>134000</v>
      </c>
      <c r="E82" s="11">
        <v>0</v>
      </c>
      <c r="F82" s="11">
        <f t="shared" si="10"/>
        <v>9000</v>
      </c>
      <c r="G82" s="17">
        <f t="shared" si="13"/>
        <v>40.090000000000003</v>
      </c>
      <c r="H82" s="17">
        <f t="shared" si="14"/>
        <v>0</v>
      </c>
      <c r="I82" s="17">
        <f t="shared" si="15"/>
        <v>0</v>
      </c>
      <c r="J82" s="18">
        <f t="shared" si="16"/>
        <v>0</v>
      </c>
      <c r="K82" s="18">
        <f t="shared" si="17"/>
        <v>0</v>
      </c>
      <c r="L82" s="18">
        <f t="shared" si="11"/>
        <v>40.090000000000003</v>
      </c>
      <c r="M82" s="18">
        <f t="shared" si="18"/>
        <v>0</v>
      </c>
      <c r="N82" s="18">
        <f t="shared" si="12"/>
        <v>40.090000000000003</v>
      </c>
      <c r="O82" s="8" t="s">
        <v>139</v>
      </c>
    </row>
    <row r="83" spans="1:15">
      <c r="A83" s="1" t="s">
        <v>73</v>
      </c>
      <c r="B83" s="11"/>
      <c r="C83" s="11">
        <v>1929000</v>
      </c>
      <c r="D83" s="11">
        <v>1943000</v>
      </c>
      <c r="E83" s="11">
        <v>0</v>
      </c>
      <c r="F83" s="11">
        <f t="shared" si="10"/>
        <v>14000</v>
      </c>
      <c r="G83" s="17">
        <f t="shared" si="13"/>
        <v>40.090000000000003</v>
      </c>
      <c r="H83" s="17">
        <f t="shared" si="14"/>
        <v>8.7200000000000006</v>
      </c>
      <c r="I83" s="17">
        <f t="shared" si="15"/>
        <v>0</v>
      </c>
      <c r="J83" s="18">
        <f t="shared" si="16"/>
        <v>0</v>
      </c>
      <c r="K83" s="18">
        <f t="shared" si="17"/>
        <v>0</v>
      </c>
      <c r="L83" s="18">
        <f t="shared" si="11"/>
        <v>48.81</v>
      </c>
      <c r="M83" s="18">
        <f t="shared" si="18"/>
        <v>0</v>
      </c>
      <c r="N83" s="18">
        <f t="shared" si="12"/>
        <v>48.81</v>
      </c>
      <c r="O83" s="8"/>
    </row>
    <row r="84" spans="1:15">
      <c r="A84" s="1" t="s">
        <v>74</v>
      </c>
      <c r="B84" s="11" t="s">
        <v>138</v>
      </c>
      <c r="C84" s="11">
        <v>0</v>
      </c>
      <c r="D84" s="11">
        <v>0</v>
      </c>
      <c r="E84" s="11">
        <v>0</v>
      </c>
      <c r="F84" s="11">
        <f t="shared" si="10"/>
        <v>0</v>
      </c>
      <c r="G84" s="17">
        <f t="shared" si="13"/>
        <v>11.79</v>
      </c>
      <c r="H84" s="17">
        <f t="shared" si="14"/>
        <v>0</v>
      </c>
      <c r="I84" s="17">
        <f t="shared" si="15"/>
        <v>0</v>
      </c>
      <c r="J84" s="18">
        <f t="shared" si="16"/>
        <v>0</v>
      </c>
      <c r="K84" s="18">
        <f t="shared" si="17"/>
        <v>0</v>
      </c>
      <c r="L84" s="18">
        <f t="shared" si="11"/>
        <v>11.79</v>
      </c>
      <c r="M84" s="18">
        <f t="shared" si="18"/>
        <v>0</v>
      </c>
      <c r="N84" s="18">
        <f t="shared" si="12"/>
        <v>11.79</v>
      </c>
      <c r="O84" s="8"/>
    </row>
    <row r="85" spans="1:15">
      <c r="A85" s="1" t="s">
        <v>75</v>
      </c>
      <c r="B85" s="11"/>
      <c r="C85" s="11">
        <v>723000</v>
      </c>
      <c r="D85" s="11">
        <v>727000</v>
      </c>
      <c r="E85" s="11">
        <v>0</v>
      </c>
      <c r="F85" s="11">
        <f t="shared" si="10"/>
        <v>4000</v>
      </c>
      <c r="G85" s="17">
        <f t="shared" si="13"/>
        <v>40.090000000000003</v>
      </c>
      <c r="H85" s="17">
        <f t="shared" si="14"/>
        <v>0</v>
      </c>
      <c r="I85" s="17">
        <f t="shared" si="15"/>
        <v>0</v>
      </c>
      <c r="J85" s="18">
        <f t="shared" si="16"/>
        <v>0</v>
      </c>
      <c r="K85" s="18">
        <f t="shared" si="17"/>
        <v>0</v>
      </c>
      <c r="L85" s="18">
        <f t="shared" si="11"/>
        <v>40.090000000000003</v>
      </c>
      <c r="M85" s="18">
        <f t="shared" si="18"/>
        <v>0</v>
      </c>
      <c r="N85" s="18">
        <f t="shared" si="12"/>
        <v>40.090000000000003</v>
      </c>
      <c r="O85" s="8"/>
    </row>
    <row r="86" spans="1:15">
      <c r="A86" s="1" t="s">
        <v>76</v>
      </c>
      <c r="B86" s="11"/>
      <c r="C86" s="11">
        <v>130000</v>
      </c>
      <c r="D86" s="11">
        <v>134000</v>
      </c>
      <c r="E86" s="11">
        <v>0</v>
      </c>
      <c r="F86" s="11">
        <f t="shared" si="10"/>
        <v>4000</v>
      </c>
      <c r="G86" s="17">
        <f t="shared" si="13"/>
        <v>40.090000000000003</v>
      </c>
      <c r="H86" s="17">
        <f t="shared" si="14"/>
        <v>0</v>
      </c>
      <c r="I86" s="17">
        <f t="shared" si="15"/>
        <v>0</v>
      </c>
      <c r="J86" s="18">
        <f t="shared" si="16"/>
        <v>0</v>
      </c>
      <c r="K86" s="18">
        <f t="shared" si="17"/>
        <v>0</v>
      </c>
      <c r="L86" s="18">
        <f t="shared" si="11"/>
        <v>40.090000000000003</v>
      </c>
      <c r="M86" s="18">
        <f t="shared" si="18"/>
        <v>0</v>
      </c>
      <c r="N86" s="18">
        <f t="shared" si="12"/>
        <v>40.090000000000003</v>
      </c>
      <c r="O86" s="8" t="s">
        <v>139</v>
      </c>
    </row>
    <row r="87" spans="1:15">
      <c r="A87" s="1" t="s">
        <v>77</v>
      </c>
      <c r="B87" s="11"/>
      <c r="C87" s="11">
        <v>97000</v>
      </c>
      <c r="D87" s="11">
        <v>102000</v>
      </c>
      <c r="E87" s="11">
        <v>0</v>
      </c>
      <c r="F87" s="11">
        <f t="shared" si="10"/>
        <v>5000</v>
      </c>
      <c r="G87" s="17">
        <f t="shared" si="13"/>
        <v>40.090000000000003</v>
      </c>
      <c r="H87" s="17">
        <f t="shared" si="14"/>
        <v>0</v>
      </c>
      <c r="I87" s="17">
        <f t="shared" si="15"/>
        <v>0</v>
      </c>
      <c r="J87" s="18">
        <f t="shared" si="16"/>
        <v>0</v>
      </c>
      <c r="K87" s="18">
        <f t="shared" si="17"/>
        <v>0</v>
      </c>
      <c r="L87" s="18">
        <f t="shared" si="11"/>
        <v>40.090000000000003</v>
      </c>
      <c r="M87" s="18">
        <f t="shared" si="18"/>
        <v>0</v>
      </c>
      <c r="N87" s="18">
        <f t="shared" si="12"/>
        <v>40.090000000000003</v>
      </c>
      <c r="O87" s="8"/>
    </row>
    <row r="88" spans="1:15">
      <c r="A88" s="1" t="s">
        <v>78</v>
      </c>
      <c r="B88" s="11"/>
      <c r="C88" s="11">
        <v>1245000</v>
      </c>
      <c r="D88" s="11">
        <v>1248000</v>
      </c>
      <c r="E88" s="11">
        <v>0</v>
      </c>
      <c r="F88" s="11">
        <f t="shared" si="10"/>
        <v>3000</v>
      </c>
      <c r="G88" s="17">
        <f t="shared" si="13"/>
        <v>40.090000000000003</v>
      </c>
      <c r="H88" s="17">
        <f t="shared" si="14"/>
        <v>0</v>
      </c>
      <c r="I88" s="17">
        <f t="shared" si="15"/>
        <v>0</v>
      </c>
      <c r="J88" s="18">
        <f t="shared" si="16"/>
        <v>0</v>
      </c>
      <c r="K88" s="18">
        <f t="shared" si="17"/>
        <v>0</v>
      </c>
      <c r="L88" s="18">
        <f t="shared" si="11"/>
        <v>40.090000000000003</v>
      </c>
      <c r="M88" s="18">
        <f t="shared" si="18"/>
        <v>0</v>
      </c>
      <c r="N88" s="18">
        <f t="shared" si="12"/>
        <v>40.090000000000003</v>
      </c>
      <c r="O88" s="8"/>
    </row>
    <row r="89" spans="1:15">
      <c r="A89" s="1" t="s">
        <v>79</v>
      </c>
      <c r="B89" s="11"/>
      <c r="C89" s="11">
        <v>3433000</v>
      </c>
      <c r="D89" s="11">
        <v>3439000</v>
      </c>
      <c r="E89" s="11">
        <v>0</v>
      </c>
      <c r="F89" s="11">
        <f t="shared" si="10"/>
        <v>6000</v>
      </c>
      <c r="G89" s="17">
        <f t="shared" si="13"/>
        <v>40.090000000000003</v>
      </c>
      <c r="H89" s="17">
        <f t="shared" si="14"/>
        <v>0</v>
      </c>
      <c r="I89" s="17">
        <f t="shared" si="15"/>
        <v>0</v>
      </c>
      <c r="J89" s="18">
        <f t="shared" si="16"/>
        <v>0</v>
      </c>
      <c r="K89" s="18">
        <f t="shared" si="17"/>
        <v>0</v>
      </c>
      <c r="L89" s="18">
        <f t="shared" si="11"/>
        <v>40.090000000000003</v>
      </c>
      <c r="M89" s="18">
        <f t="shared" si="18"/>
        <v>0</v>
      </c>
      <c r="N89" s="18">
        <f t="shared" si="12"/>
        <v>40.090000000000003</v>
      </c>
      <c r="O89" s="8"/>
    </row>
    <row r="90" spans="1:15">
      <c r="A90" s="1" t="s">
        <v>80</v>
      </c>
      <c r="B90" s="11"/>
      <c r="C90" s="11">
        <v>3018000</v>
      </c>
      <c r="D90" s="11">
        <v>3022000</v>
      </c>
      <c r="E90" s="11">
        <v>0</v>
      </c>
      <c r="F90" s="11">
        <f t="shared" si="10"/>
        <v>4000</v>
      </c>
      <c r="G90" s="17">
        <f t="shared" si="13"/>
        <v>40.090000000000003</v>
      </c>
      <c r="H90" s="17">
        <f t="shared" si="14"/>
        <v>0</v>
      </c>
      <c r="I90" s="17">
        <f t="shared" si="15"/>
        <v>0</v>
      </c>
      <c r="J90" s="18">
        <f t="shared" si="16"/>
        <v>0</v>
      </c>
      <c r="K90" s="18">
        <f t="shared" si="17"/>
        <v>0</v>
      </c>
      <c r="L90" s="18">
        <f t="shared" si="11"/>
        <v>40.090000000000003</v>
      </c>
      <c r="M90" s="18">
        <f t="shared" si="18"/>
        <v>0</v>
      </c>
      <c r="N90" s="18">
        <f t="shared" si="12"/>
        <v>40.090000000000003</v>
      </c>
      <c r="O90" s="8"/>
    </row>
    <row r="91" spans="1:15">
      <c r="A91" s="1" t="s">
        <v>81</v>
      </c>
      <c r="B91" s="11" t="s">
        <v>138</v>
      </c>
      <c r="C91" s="11">
        <v>0</v>
      </c>
      <c r="D91" s="11">
        <v>0</v>
      </c>
      <c r="E91" s="11">
        <v>0</v>
      </c>
      <c r="F91" s="11">
        <f t="shared" si="10"/>
        <v>0</v>
      </c>
      <c r="G91" s="17">
        <f t="shared" si="13"/>
        <v>11.79</v>
      </c>
      <c r="H91" s="17">
        <f t="shared" si="14"/>
        <v>0</v>
      </c>
      <c r="I91" s="17">
        <f t="shared" si="15"/>
        <v>0</v>
      </c>
      <c r="J91" s="18">
        <f t="shared" si="16"/>
        <v>0</v>
      </c>
      <c r="K91" s="18">
        <f t="shared" si="17"/>
        <v>0</v>
      </c>
      <c r="L91" s="18">
        <f t="shared" si="11"/>
        <v>11.79</v>
      </c>
      <c r="M91" s="18">
        <f t="shared" si="18"/>
        <v>0</v>
      </c>
      <c r="N91" s="18">
        <f t="shared" si="12"/>
        <v>11.79</v>
      </c>
      <c r="O91" s="8"/>
    </row>
    <row r="92" spans="1:15">
      <c r="A92" s="1" t="s">
        <v>82</v>
      </c>
      <c r="B92" s="11"/>
      <c r="C92" s="11">
        <v>3240000</v>
      </c>
      <c r="D92" s="11">
        <v>3248000</v>
      </c>
      <c r="E92" s="11">
        <v>0</v>
      </c>
      <c r="F92" s="11">
        <f t="shared" si="10"/>
        <v>8000</v>
      </c>
      <c r="G92" s="17">
        <f t="shared" si="13"/>
        <v>40.090000000000003</v>
      </c>
      <c r="H92" s="17">
        <f t="shared" si="14"/>
        <v>0</v>
      </c>
      <c r="I92" s="17">
        <f t="shared" si="15"/>
        <v>0</v>
      </c>
      <c r="J92" s="18">
        <f t="shared" si="16"/>
        <v>0</v>
      </c>
      <c r="K92" s="18">
        <f t="shared" si="17"/>
        <v>0</v>
      </c>
      <c r="L92" s="18">
        <f t="shared" si="11"/>
        <v>40.090000000000003</v>
      </c>
      <c r="M92" s="18">
        <f t="shared" si="18"/>
        <v>0</v>
      </c>
      <c r="N92" s="18">
        <f t="shared" si="12"/>
        <v>40.090000000000003</v>
      </c>
      <c r="O92" s="8"/>
    </row>
    <row r="93" spans="1:15">
      <c r="A93" s="1" t="s">
        <v>83</v>
      </c>
      <c r="B93" s="11"/>
      <c r="C93" s="11">
        <v>7561000</v>
      </c>
      <c r="D93" s="11">
        <v>7562000</v>
      </c>
      <c r="E93" s="11">
        <v>0</v>
      </c>
      <c r="F93" s="11">
        <f t="shared" si="10"/>
        <v>1000</v>
      </c>
      <c r="G93" s="17">
        <f t="shared" si="13"/>
        <v>40.090000000000003</v>
      </c>
      <c r="H93" s="17">
        <f t="shared" si="14"/>
        <v>0</v>
      </c>
      <c r="I93" s="17">
        <f t="shared" si="15"/>
        <v>0</v>
      </c>
      <c r="J93" s="18">
        <f t="shared" si="16"/>
        <v>0</v>
      </c>
      <c r="K93" s="18">
        <f t="shared" si="17"/>
        <v>0</v>
      </c>
      <c r="L93" s="18">
        <f t="shared" si="11"/>
        <v>40.090000000000003</v>
      </c>
      <c r="M93" s="18">
        <f t="shared" si="18"/>
        <v>0</v>
      </c>
      <c r="N93" s="18">
        <f t="shared" si="12"/>
        <v>40.090000000000003</v>
      </c>
      <c r="O93" s="8"/>
    </row>
    <row r="94" spans="1:15">
      <c r="A94" s="1" t="s">
        <v>84</v>
      </c>
      <c r="B94" s="11"/>
      <c r="C94" s="11">
        <v>3033000</v>
      </c>
      <c r="D94" s="11">
        <v>3085000</v>
      </c>
      <c r="E94" s="11">
        <v>0</v>
      </c>
      <c r="F94" s="11">
        <f t="shared" si="10"/>
        <v>52000</v>
      </c>
      <c r="G94" s="17">
        <f t="shared" si="13"/>
        <v>40.090000000000003</v>
      </c>
      <c r="H94" s="17">
        <f t="shared" si="14"/>
        <v>21.8</v>
      </c>
      <c r="I94" s="17">
        <f t="shared" si="15"/>
        <v>25.299999999999997</v>
      </c>
      <c r="J94" s="18">
        <f t="shared" si="16"/>
        <v>29.5</v>
      </c>
      <c r="K94" s="18">
        <f t="shared" si="17"/>
        <v>41.04</v>
      </c>
      <c r="L94" s="18">
        <f t="shared" si="11"/>
        <v>157.72999999999999</v>
      </c>
      <c r="M94" s="18">
        <f t="shared" si="18"/>
        <v>0</v>
      </c>
      <c r="N94" s="18">
        <f t="shared" si="12"/>
        <v>157.72999999999999</v>
      </c>
      <c r="O94" s="8"/>
    </row>
    <row r="95" spans="1:15">
      <c r="A95" s="1" t="s">
        <v>85</v>
      </c>
      <c r="B95" s="11"/>
      <c r="C95" s="11">
        <v>2016000</v>
      </c>
      <c r="D95" s="11">
        <v>2017000</v>
      </c>
      <c r="E95" s="11">
        <v>0</v>
      </c>
      <c r="F95" s="11">
        <f t="shared" si="10"/>
        <v>1000</v>
      </c>
      <c r="G95" s="17">
        <f t="shared" si="13"/>
        <v>40.090000000000003</v>
      </c>
      <c r="H95" s="17">
        <f t="shared" si="14"/>
        <v>0</v>
      </c>
      <c r="I95" s="17">
        <f t="shared" si="15"/>
        <v>0</v>
      </c>
      <c r="J95" s="18">
        <f t="shared" si="16"/>
        <v>0</v>
      </c>
      <c r="K95" s="18">
        <f t="shared" si="17"/>
        <v>0</v>
      </c>
      <c r="L95" s="18">
        <f t="shared" si="11"/>
        <v>40.090000000000003</v>
      </c>
      <c r="M95" s="18">
        <f t="shared" si="18"/>
        <v>0</v>
      </c>
      <c r="N95" s="18">
        <f t="shared" si="12"/>
        <v>40.090000000000003</v>
      </c>
      <c r="O95" s="8"/>
    </row>
    <row r="96" spans="1:15">
      <c r="A96" s="1" t="s">
        <v>86</v>
      </c>
      <c r="B96" s="11"/>
      <c r="C96" s="11">
        <v>1844000</v>
      </c>
      <c r="D96" s="11">
        <v>1852000</v>
      </c>
      <c r="E96" s="11">
        <v>0</v>
      </c>
      <c r="F96" s="11">
        <f t="shared" si="10"/>
        <v>8000</v>
      </c>
      <c r="G96" s="17">
        <f t="shared" si="13"/>
        <v>40.090000000000003</v>
      </c>
      <c r="H96" s="17">
        <f t="shared" si="14"/>
        <v>0</v>
      </c>
      <c r="I96" s="17">
        <f t="shared" si="15"/>
        <v>0</v>
      </c>
      <c r="J96" s="18">
        <f t="shared" si="16"/>
        <v>0</v>
      </c>
      <c r="K96" s="18">
        <f t="shared" si="17"/>
        <v>0</v>
      </c>
      <c r="L96" s="18">
        <f t="shared" si="11"/>
        <v>40.090000000000003</v>
      </c>
      <c r="M96" s="18">
        <f t="shared" si="18"/>
        <v>0</v>
      </c>
      <c r="N96" s="18">
        <f t="shared" si="12"/>
        <v>40.090000000000003</v>
      </c>
      <c r="O96" s="8"/>
    </row>
    <row r="97" spans="1:15">
      <c r="A97" s="1" t="s">
        <v>87</v>
      </c>
      <c r="B97" s="11" t="s">
        <v>138</v>
      </c>
      <c r="C97" s="11">
        <v>0</v>
      </c>
      <c r="D97" s="11">
        <v>0</v>
      </c>
      <c r="E97" s="11">
        <v>0</v>
      </c>
      <c r="F97" s="11">
        <f t="shared" si="10"/>
        <v>0</v>
      </c>
      <c r="G97" s="17">
        <f t="shared" si="13"/>
        <v>11.79</v>
      </c>
      <c r="H97" s="17">
        <f t="shared" si="14"/>
        <v>0</v>
      </c>
      <c r="I97" s="17">
        <f t="shared" si="15"/>
        <v>0</v>
      </c>
      <c r="J97" s="18">
        <f t="shared" si="16"/>
        <v>0</v>
      </c>
      <c r="K97" s="18">
        <f t="shared" si="17"/>
        <v>0</v>
      </c>
      <c r="L97" s="18">
        <f t="shared" si="11"/>
        <v>11.79</v>
      </c>
      <c r="M97" s="18">
        <f t="shared" si="18"/>
        <v>0</v>
      </c>
      <c r="N97" s="18">
        <f t="shared" si="12"/>
        <v>11.79</v>
      </c>
      <c r="O97" s="8"/>
    </row>
    <row r="98" spans="1:15">
      <c r="A98" s="1" t="s">
        <v>88</v>
      </c>
      <c r="B98" s="11"/>
      <c r="C98" s="11">
        <v>1231000</v>
      </c>
      <c r="D98" s="11">
        <v>1231000</v>
      </c>
      <c r="E98" s="11">
        <v>0</v>
      </c>
      <c r="F98" s="11">
        <f t="shared" si="10"/>
        <v>0</v>
      </c>
      <c r="G98" s="17">
        <f t="shared" si="13"/>
        <v>40.090000000000003</v>
      </c>
      <c r="H98" s="17">
        <f t="shared" si="14"/>
        <v>0</v>
      </c>
      <c r="I98" s="17">
        <f t="shared" si="15"/>
        <v>0</v>
      </c>
      <c r="J98" s="18">
        <f t="shared" si="16"/>
        <v>0</v>
      </c>
      <c r="K98" s="18">
        <f t="shared" si="17"/>
        <v>0</v>
      </c>
      <c r="L98" s="18">
        <f t="shared" si="11"/>
        <v>40.090000000000003</v>
      </c>
      <c r="M98" s="18">
        <f t="shared" si="18"/>
        <v>0</v>
      </c>
      <c r="N98" s="18">
        <f t="shared" si="12"/>
        <v>40.090000000000003</v>
      </c>
      <c r="O98" s="8"/>
    </row>
    <row r="99" spans="1:15">
      <c r="A99" s="1" t="s">
        <v>89</v>
      </c>
      <c r="B99" s="11"/>
      <c r="C99" s="11">
        <v>2257000</v>
      </c>
      <c r="D99" s="11">
        <v>2262000</v>
      </c>
      <c r="E99" s="11">
        <v>0</v>
      </c>
      <c r="F99" s="11">
        <f t="shared" si="10"/>
        <v>5000</v>
      </c>
      <c r="G99" s="17">
        <f t="shared" si="13"/>
        <v>40.090000000000003</v>
      </c>
      <c r="H99" s="17">
        <f t="shared" si="14"/>
        <v>0</v>
      </c>
      <c r="I99" s="17">
        <f t="shared" si="15"/>
        <v>0</v>
      </c>
      <c r="J99" s="18">
        <f t="shared" si="16"/>
        <v>0</v>
      </c>
      <c r="K99" s="18">
        <f t="shared" si="17"/>
        <v>0</v>
      </c>
      <c r="L99" s="18">
        <f t="shared" si="11"/>
        <v>40.090000000000003</v>
      </c>
      <c r="M99" s="18">
        <f t="shared" si="18"/>
        <v>0</v>
      </c>
      <c r="N99" s="18">
        <f t="shared" si="12"/>
        <v>40.090000000000003</v>
      </c>
      <c r="O99" s="8"/>
    </row>
    <row r="100" spans="1:15">
      <c r="A100" s="1" t="s">
        <v>90</v>
      </c>
      <c r="B100" s="11"/>
      <c r="C100" s="11">
        <v>1236000</v>
      </c>
      <c r="D100" s="11">
        <v>1240000</v>
      </c>
      <c r="E100" s="11">
        <v>0</v>
      </c>
      <c r="F100" s="11">
        <f t="shared" si="10"/>
        <v>4000</v>
      </c>
      <c r="G100" s="17">
        <f t="shared" si="13"/>
        <v>40.090000000000003</v>
      </c>
      <c r="H100" s="17">
        <f t="shared" si="14"/>
        <v>0</v>
      </c>
      <c r="I100" s="17">
        <f t="shared" si="15"/>
        <v>0</v>
      </c>
      <c r="J100" s="18">
        <f t="shared" si="16"/>
        <v>0</v>
      </c>
      <c r="K100" s="18">
        <f t="shared" si="17"/>
        <v>0</v>
      </c>
      <c r="L100" s="18">
        <f t="shared" si="11"/>
        <v>40.090000000000003</v>
      </c>
      <c r="M100" s="18">
        <f t="shared" si="18"/>
        <v>0</v>
      </c>
      <c r="N100" s="18">
        <f t="shared" si="12"/>
        <v>40.090000000000003</v>
      </c>
      <c r="O100" s="8"/>
    </row>
    <row r="101" spans="1:15">
      <c r="A101" s="1" t="s">
        <v>91</v>
      </c>
      <c r="B101" s="11"/>
      <c r="C101" s="11">
        <v>250900</v>
      </c>
      <c r="D101" s="11">
        <v>254000</v>
      </c>
      <c r="E101" s="11">
        <v>0</v>
      </c>
      <c r="F101" s="11">
        <f t="shared" si="10"/>
        <v>3100</v>
      </c>
      <c r="G101" s="17">
        <f t="shared" si="13"/>
        <v>40.090000000000003</v>
      </c>
      <c r="H101" s="17">
        <f t="shared" si="14"/>
        <v>0</v>
      </c>
      <c r="I101" s="17">
        <f t="shared" si="15"/>
        <v>0</v>
      </c>
      <c r="J101" s="18">
        <f t="shared" si="16"/>
        <v>0</v>
      </c>
      <c r="K101" s="18">
        <f t="shared" si="17"/>
        <v>0</v>
      </c>
      <c r="L101" s="18">
        <f t="shared" si="11"/>
        <v>40.090000000000003</v>
      </c>
      <c r="M101" s="18">
        <f t="shared" si="18"/>
        <v>0</v>
      </c>
      <c r="N101" s="18">
        <f t="shared" si="12"/>
        <v>40.090000000000003</v>
      </c>
      <c r="O101" s="8"/>
    </row>
    <row r="102" spans="1:15">
      <c r="A102" s="1" t="s">
        <v>92</v>
      </c>
      <c r="B102" s="11"/>
      <c r="C102" s="11">
        <v>2514000</v>
      </c>
      <c r="D102" s="11">
        <v>2518000</v>
      </c>
      <c r="E102" s="11">
        <v>0</v>
      </c>
      <c r="F102" s="11">
        <f t="shared" si="10"/>
        <v>4000</v>
      </c>
      <c r="G102" s="17">
        <f t="shared" si="13"/>
        <v>40.090000000000003</v>
      </c>
      <c r="H102" s="17">
        <f t="shared" si="14"/>
        <v>0</v>
      </c>
      <c r="I102" s="17">
        <f t="shared" si="15"/>
        <v>0</v>
      </c>
      <c r="J102" s="18">
        <f t="shared" si="16"/>
        <v>0</v>
      </c>
      <c r="K102" s="18">
        <f t="shared" si="17"/>
        <v>0</v>
      </c>
      <c r="L102" s="18">
        <f t="shared" si="11"/>
        <v>40.090000000000003</v>
      </c>
      <c r="M102" s="18">
        <f t="shared" si="18"/>
        <v>0</v>
      </c>
      <c r="N102" s="18">
        <f t="shared" si="12"/>
        <v>40.090000000000003</v>
      </c>
      <c r="O102" s="8"/>
    </row>
    <row r="103" spans="1:15">
      <c r="A103" s="1" t="s">
        <v>93</v>
      </c>
      <c r="B103" s="11" t="s">
        <v>138</v>
      </c>
      <c r="C103" s="11">
        <v>0</v>
      </c>
      <c r="D103" s="11">
        <v>0</v>
      </c>
      <c r="E103" s="11">
        <v>0</v>
      </c>
      <c r="F103" s="11">
        <f t="shared" si="10"/>
        <v>0</v>
      </c>
      <c r="G103" s="17">
        <f t="shared" si="13"/>
        <v>11.79</v>
      </c>
      <c r="H103" s="17">
        <f t="shared" si="14"/>
        <v>0</v>
      </c>
      <c r="I103" s="17">
        <f t="shared" si="15"/>
        <v>0</v>
      </c>
      <c r="J103" s="18">
        <f t="shared" si="16"/>
        <v>0</v>
      </c>
      <c r="K103" s="18">
        <f t="shared" si="17"/>
        <v>0</v>
      </c>
      <c r="L103" s="18">
        <f t="shared" si="11"/>
        <v>11.79</v>
      </c>
      <c r="M103" s="18">
        <f t="shared" si="18"/>
        <v>0</v>
      </c>
      <c r="N103" s="18">
        <f t="shared" si="12"/>
        <v>11.79</v>
      </c>
      <c r="O103" s="8"/>
    </row>
    <row r="104" spans="1:15">
      <c r="A104" s="1" t="s">
        <v>94</v>
      </c>
      <c r="B104" s="11" t="s">
        <v>138</v>
      </c>
      <c r="C104" s="11">
        <v>0</v>
      </c>
      <c r="D104" s="11">
        <v>0</v>
      </c>
      <c r="E104" s="11">
        <v>0</v>
      </c>
      <c r="F104" s="11">
        <f t="shared" si="10"/>
        <v>0</v>
      </c>
      <c r="G104" s="17">
        <f t="shared" si="13"/>
        <v>11.79</v>
      </c>
      <c r="H104" s="17">
        <f t="shared" si="14"/>
        <v>0</v>
      </c>
      <c r="I104" s="17">
        <f t="shared" si="15"/>
        <v>0</v>
      </c>
      <c r="J104" s="18">
        <f t="shared" si="16"/>
        <v>0</v>
      </c>
      <c r="K104" s="18">
        <f t="shared" si="17"/>
        <v>0</v>
      </c>
      <c r="L104" s="18">
        <f t="shared" si="11"/>
        <v>11.79</v>
      </c>
      <c r="M104" s="18">
        <f t="shared" si="18"/>
        <v>0</v>
      </c>
      <c r="N104" s="18">
        <f t="shared" si="12"/>
        <v>11.79</v>
      </c>
      <c r="O104" s="8"/>
    </row>
    <row r="105" spans="1:15">
      <c r="A105" s="1" t="s">
        <v>95</v>
      </c>
      <c r="B105" s="11" t="s">
        <v>138</v>
      </c>
      <c r="C105" s="11">
        <v>0</v>
      </c>
      <c r="D105" s="11">
        <v>0</v>
      </c>
      <c r="E105" s="11">
        <v>0</v>
      </c>
      <c r="F105" s="11">
        <f t="shared" si="10"/>
        <v>0</v>
      </c>
      <c r="G105" s="17">
        <f t="shared" si="13"/>
        <v>11.79</v>
      </c>
      <c r="H105" s="17">
        <f t="shared" si="14"/>
        <v>0</v>
      </c>
      <c r="I105" s="17">
        <f t="shared" si="15"/>
        <v>0</v>
      </c>
      <c r="J105" s="18">
        <f t="shared" si="16"/>
        <v>0</v>
      </c>
      <c r="K105" s="18">
        <f t="shared" si="17"/>
        <v>0</v>
      </c>
      <c r="L105" s="18">
        <f t="shared" si="11"/>
        <v>11.79</v>
      </c>
      <c r="M105" s="18">
        <f t="shared" si="18"/>
        <v>0</v>
      </c>
      <c r="N105" s="18">
        <f t="shared" si="12"/>
        <v>11.79</v>
      </c>
      <c r="O105" s="8"/>
    </row>
    <row r="106" spans="1:15">
      <c r="A106" s="1" t="s">
        <v>96</v>
      </c>
      <c r="B106" s="11"/>
      <c r="C106" s="11">
        <v>1836000</v>
      </c>
      <c r="D106" s="11">
        <v>1842000</v>
      </c>
      <c r="E106" s="11">
        <v>0</v>
      </c>
      <c r="F106" s="11">
        <f t="shared" si="10"/>
        <v>6000</v>
      </c>
      <c r="G106" s="17">
        <f t="shared" si="13"/>
        <v>40.090000000000003</v>
      </c>
      <c r="H106" s="17">
        <f t="shared" si="14"/>
        <v>0</v>
      </c>
      <c r="I106" s="17">
        <f t="shared" si="15"/>
        <v>0</v>
      </c>
      <c r="J106" s="18">
        <f t="shared" si="16"/>
        <v>0</v>
      </c>
      <c r="K106" s="18">
        <f t="shared" si="17"/>
        <v>0</v>
      </c>
      <c r="L106" s="18">
        <f t="shared" si="11"/>
        <v>40.090000000000003</v>
      </c>
      <c r="M106" s="18">
        <f t="shared" si="18"/>
        <v>0</v>
      </c>
      <c r="N106" s="18">
        <f t="shared" si="12"/>
        <v>40.090000000000003</v>
      </c>
      <c r="O106" s="8"/>
    </row>
    <row r="107" spans="1:15">
      <c r="A107" s="1" t="s">
        <v>97</v>
      </c>
      <c r="B107" s="11" t="s">
        <v>138</v>
      </c>
      <c r="C107" s="11">
        <v>0</v>
      </c>
      <c r="D107" s="11">
        <v>0</v>
      </c>
      <c r="E107" s="11">
        <v>0</v>
      </c>
      <c r="F107" s="11">
        <f t="shared" si="10"/>
        <v>0</v>
      </c>
      <c r="G107" s="17">
        <f t="shared" si="13"/>
        <v>11.79</v>
      </c>
      <c r="H107" s="17">
        <f t="shared" si="14"/>
        <v>0</v>
      </c>
      <c r="I107" s="17">
        <f t="shared" si="15"/>
        <v>0</v>
      </c>
      <c r="J107" s="18">
        <f t="shared" si="16"/>
        <v>0</v>
      </c>
      <c r="K107" s="18">
        <f t="shared" si="17"/>
        <v>0</v>
      </c>
      <c r="L107" s="18">
        <f t="shared" si="11"/>
        <v>11.79</v>
      </c>
      <c r="M107" s="18">
        <f t="shared" si="18"/>
        <v>0</v>
      </c>
      <c r="N107" s="18">
        <f t="shared" si="12"/>
        <v>11.79</v>
      </c>
      <c r="O107" s="8"/>
    </row>
    <row r="108" spans="1:15">
      <c r="A108" s="1" t="s">
        <v>98</v>
      </c>
      <c r="B108" s="11" t="s">
        <v>138</v>
      </c>
      <c r="C108" s="11">
        <v>0</v>
      </c>
      <c r="D108" s="11">
        <v>0</v>
      </c>
      <c r="E108" s="11">
        <v>0</v>
      </c>
      <c r="F108" s="11">
        <f t="shared" si="10"/>
        <v>0</v>
      </c>
      <c r="G108" s="17">
        <f t="shared" si="13"/>
        <v>11.79</v>
      </c>
      <c r="H108" s="17">
        <f t="shared" si="14"/>
        <v>0</v>
      </c>
      <c r="I108" s="17">
        <f t="shared" si="15"/>
        <v>0</v>
      </c>
      <c r="J108" s="18">
        <f t="shared" si="16"/>
        <v>0</v>
      </c>
      <c r="K108" s="18">
        <f t="shared" si="17"/>
        <v>0</v>
      </c>
      <c r="L108" s="18">
        <f t="shared" si="11"/>
        <v>11.79</v>
      </c>
      <c r="M108" s="18">
        <f t="shared" si="18"/>
        <v>0</v>
      </c>
      <c r="N108" s="18">
        <f t="shared" si="12"/>
        <v>11.79</v>
      </c>
      <c r="O108" s="8"/>
    </row>
    <row r="109" spans="1:15">
      <c r="A109" s="1" t="s">
        <v>99</v>
      </c>
      <c r="B109" s="11"/>
      <c r="C109" s="11">
        <v>1658000</v>
      </c>
      <c r="D109" s="11">
        <v>1662000</v>
      </c>
      <c r="E109" s="11">
        <v>0</v>
      </c>
      <c r="F109" s="11">
        <f t="shared" si="10"/>
        <v>4000</v>
      </c>
      <c r="G109" s="17">
        <f t="shared" si="13"/>
        <v>40.090000000000003</v>
      </c>
      <c r="H109" s="17">
        <f t="shared" si="14"/>
        <v>0</v>
      </c>
      <c r="I109" s="17">
        <f t="shared" si="15"/>
        <v>0</v>
      </c>
      <c r="J109" s="18">
        <f t="shared" si="16"/>
        <v>0</v>
      </c>
      <c r="K109" s="18">
        <f t="shared" si="17"/>
        <v>0</v>
      </c>
      <c r="L109" s="18">
        <f t="shared" si="11"/>
        <v>40.090000000000003</v>
      </c>
      <c r="M109" s="18">
        <f t="shared" si="18"/>
        <v>0</v>
      </c>
      <c r="N109" s="18">
        <f t="shared" si="12"/>
        <v>40.090000000000003</v>
      </c>
      <c r="O109" s="8"/>
    </row>
    <row r="110" spans="1:15">
      <c r="A110" s="1" t="s">
        <v>100</v>
      </c>
      <c r="B110" s="11"/>
      <c r="C110" s="11">
        <v>512000</v>
      </c>
      <c r="D110" s="11">
        <v>515000</v>
      </c>
      <c r="E110" s="11">
        <v>0</v>
      </c>
      <c r="F110" s="11">
        <f t="shared" si="10"/>
        <v>3000</v>
      </c>
      <c r="G110" s="17">
        <f t="shared" si="13"/>
        <v>40.090000000000003</v>
      </c>
      <c r="H110" s="17">
        <f t="shared" si="14"/>
        <v>0</v>
      </c>
      <c r="I110" s="17">
        <f t="shared" si="15"/>
        <v>0</v>
      </c>
      <c r="J110" s="18">
        <f t="shared" si="16"/>
        <v>0</v>
      </c>
      <c r="K110" s="18">
        <f t="shared" si="17"/>
        <v>0</v>
      </c>
      <c r="L110" s="18">
        <f t="shared" si="11"/>
        <v>40.090000000000003</v>
      </c>
      <c r="M110" s="18">
        <f t="shared" si="18"/>
        <v>0</v>
      </c>
      <c r="N110" s="18">
        <f t="shared" si="12"/>
        <v>40.090000000000003</v>
      </c>
      <c r="O110" s="8"/>
    </row>
    <row r="111" spans="1:15">
      <c r="A111" s="1" t="s">
        <v>101</v>
      </c>
      <c r="B111" s="11"/>
      <c r="C111" s="11">
        <v>4545000</v>
      </c>
      <c r="D111" s="11">
        <v>4548000</v>
      </c>
      <c r="E111" s="11">
        <v>0</v>
      </c>
      <c r="F111" s="11">
        <f t="shared" si="10"/>
        <v>3000</v>
      </c>
      <c r="G111" s="17">
        <f t="shared" si="13"/>
        <v>40.090000000000003</v>
      </c>
      <c r="H111" s="17">
        <f t="shared" si="14"/>
        <v>0</v>
      </c>
      <c r="I111" s="17">
        <f t="shared" si="15"/>
        <v>0</v>
      </c>
      <c r="J111" s="18">
        <f t="shared" si="16"/>
        <v>0</v>
      </c>
      <c r="K111" s="18">
        <f t="shared" si="17"/>
        <v>0</v>
      </c>
      <c r="L111" s="18">
        <f t="shared" si="11"/>
        <v>40.090000000000003</v>
      </c>
      <c r="M111" s="18">
        <f t="shared" si="18"/>
        <v>0</v>
      </c>
      <c r="N111" s="18">
        <f t="shared" si="12"/>
        <v>40.090000000000003</v>
      </c>
      <c r="O111" s="8"/>
    </row>
    <row r="112" spans="1:15">
      <c r="A112" s="1" t="s">
        <v>102</v>
      </c>
      <c r="B112" s="11" t="s">
        <v>138</v>
      </c>
      <c r="C112" s="11">
        <v>0</v>
      </c>
      <c r="D112" s="11">
        <v>0</v>
      </c>
      <c r="E112" s="11">
        <v>0</v>
      </c>
      <c r="F112" s="11">
        <f t="shared" si="10"/>
        <v>0</v>
      </c>
      <c r="G112" s="17">
        <f t="shared" si="13"/>
        <v>11.79</v>
      </c>
      <c r="H112" s="17">
        <f t="shared" si="14"/>
        <v>0</v>
      </c>
      <c r="I112" s="17">
        <f t="shared" si="15"/>
        <v>0</v>
      </c>
      <c r="J112" s="18">
        <f t="shared" si="16"/>
        <v>0</v>
      </c>
      <c r="K112" s="18">
        <f t="shared" si="17"/>
        <v>0</v>
      </c>
      <c r="L112" s="18">
        <f t="shared" si="11"/>
        <v>11.79</v>
      </c>
      <c r="M112" s="18">
        <f t="shared" si="18"/>
        <v>0</v>
      </c>
      <c r="N112" s="18">
        <f t="shared" si="12"/>
        <v>11.79</v>
      </c>
      <c r="O112" s="8"/>
    </row>
    <row r="113" spans="1:15">
      <c r="A113" s="1" t="s">
        <v>103</v>
      </c>
      <c r="B113" s="11"/>
      <c r="C113" s="11">
        <v>1191000</v>
      </c>
      <c r="D113" s="11">
        <v>1201000</v>
      </c>
      <c r="E113" s="11">
        <v>0</v>
      </c>
      <c r="F113" s="11">
        <f t="shared" si="10"/>
        <v>10000</v>
      </c>
      <c r="G113" s="17">
        <f t="shared" si="13"/>
        <v>40.090000000000003</v>
      </c>
      <c r="H113" s="17">
        <f t="shared" si="14"/>
        <v>0</v>
      </c>
      <c r="I113" s="17">
        <f t="shared" si="15"/>
        <v>0</v>
      </c>
      <c r="J113" s="18">
        <f t="shared" si="16"/>
        <v>0</v>
      </c>
      <c r="K113" s="18">
        <f t="shared" si="17"/>
        <v>0</v>
      </c>
      <c r="L113" s="18">
        <f t="shared" si="11"/>
        <v>40.090000000000003</v>
      </c>
      <c r="M113" s="18">
        <f t="shared" ref="M113:M136" si="19">IF(   $H$5=1,    IF((F113-$H$6)&gt;0,((F113-$H$6)/$N$7)*$E$8,0),   IF(F113&gt;0,(F113/$N$4)*$E$8,0)    )</f>
        <v>0</v>
      </c>
      <c r="N113" s="18">
        <f t="shared" si="12"/>
        <v>40.090000000000003</v>
      </c>
      <c r="O113" s="8"/>
    </row>
    <row r="114" spans="1:15">
      <c r="A114" s="1" t="s">
        <v>104</v>
      </c>
      <c r="B114" s="11" t="s">
        <v>138</v>
      </c>
      <c r="C114" s="11">
        <v>0</v>
      </c>
      <c r="D114" s="11">
        <v>0</v>
      </c>
      <c r="E114" s="11">
        <v>0</v>
      </c>
      <c r="F114" s="11">
        <f t="shared" si="10"/>
        <v>0</v>
      </c>
      <c r="G114" s="17">
        <f t="shared" si="13"/>
        <v>11.79</v>
      </c>
      <c r="H114" s="17">
        <f t="shared" si="14"/>
        <v>0</v>
      </c>
      <c r="I114" s="17">
        <f t="shared" si="15"/>
        <v>0</v>
      </c>
      <c r="J114" s="18">
        <f t="shared" si="16"/>
        <v>0</v>
      </c>
      <c r="K114" s="18">
        <f t="shared" si="17"/>
        <v>0</v>
      </c>
      <c r="L114" s="18">
        <f t="shared" si="11"/>
        <v>11.79</v>
      </c>
      <c r="M114" s="18">
        <f t="shared" si="19"/>
        <v>0</v>
      </c>
      <c r="N114" s="18">
        <f t="shared" si="12"/>
        <v>11.79</v>
      </c>
      <c r="O114" s="8"/>
    </row>
    <row r="115" spans="1:15">
      <c r="A115" s="1" t="s">
        <v>105</v>
      </c>
      <c r="B115" s="11"/>
      <c r="C115" s="11">
        <v>1464000</v>
      </c>
      <c r="D115" s="11">
        <v>1467000</v>
      </c>
      <c r="E115" s="11">
        <v>0</v>
      </c>
      <c r="F115" s="11">
        <f t="shared" si="10"/>
        <v>3000</v>
      </c>
      <c r="G115" s="17">
        <f t="shared" si="13"/>
        <v>40.090000000000003</v>
      </c>
      <c r="H115" s="17">
        <f t="shared" si="14"/>
        <v>0</v>
      </c>
      <c r="I115" s="17">
        <f t="shared" si="15"/>
        <v>0</v>
      </c>
      <c r="J115" s="18">
        <f t="shared" si="16"/>
        <v>0</v>
      </c>
      <c r="K115" s="18">
        <f t="shared" si="17"/>
        <v>0</v>
      </c>
      <c r="L115" s="18">
        <f t="shared" si="11"/>
        <v>40.090000000000003</v>
      </c>
      <c r="M115" s="18">
        <f t="shared" si="19"/>
        <v>0</v>
      </c>
      <c r="N115" s="18">
        <f t="shared" si="12"/>
        <v>40.090000000000003</v>
      </c>
      <c r="O115" s="8"/>
    </row>
    <row r="116" spans="1:15">
      <c r="A116" s="1" t="s">
        <v>106</v>
      </c>
      <c r="B116" s="11"/>
      <c r="C116" s="11">
        <v>1790000</v>
      </c>
      <c r="D116" s="11">
        <v>1791000</v>
      </c>
      <c r="E116" s="11">
        <v>0</v>
      </c>
      <c r="F116" s="11">
        <f t="shared" si="10"/>
        <v>1000</v>
      </c>
      <c r="G116" s="17">
        <f t="shared" si="13"/>
        <v>40.090000000000003</v>
      </c>
      <c r="H116" s="17">
        <f t="shared" si="14"/>
        <v>0</v>
      </c>
      <c r="I116" s="17">
        <f t="shared" si="15"/>
        <v>0</v>
      </c>
      <c r="J116" s="18">
        <f t="shared" si="16"/>
        <v>0</v>
      </c>
      <c r="K116" s="18">
        <f t="shared" si="17"/>
        <v>0</v>
      </c>
      <c r="L116" s="18">
        <f t="shared" si="11"/>
        <v>40.090000000000003</v>
      </c>
      <c r="M116" s="18">
        <f t="shared" si="19"/>
        <v>0</v>
      </c>
      <c r="N116" s="18">
        <f t="shared" si="12"/>
        <v>40.090000000000003</v>
      </c>
      <c r="O116" s="8"/>
    </row>
    <row r="117" spans="1:15">
      <c r="A117" s="1" t="s">
        <v>107</v>
      </c>
      <c r="B117" s="11"/>
      <c r="C117" s="11">
        <v>320000</v>
      </c>
      <c r="D117" s="11">
        <v>322000</v>
      </c>
      <c r="E117" s="11">
        <v>0</v>
      </c>
      <c r="F117" s="11">
        <f t="shared" si="10"/>
        <v>2000</v>
      </c>
      <c r="G117" s="17">
        <f t="shared" si="13"/>
        <v>40.090000000000003</v>
      </c>
      <c r="H117" s="17">
        <f t="shared" si="14"/>
        <v>0</v>
      </c>
      <c r="I117" s="17">
        <f t="shared" si="15"/>
        <v>0</v>
      </c>
      <c r="J117" s="18">
        <f t="shared" si="16"/>
        <v>0</v>
      </c>
      <c r="K117" s="18">
        <f t="shared" si="17"/>
        <v>0</v>
      </c>
      <c r="L117" s="18">
        <f t="shared" si="11"/>
        <v>40.090000000000003</v>
      </c>
      <c r="M117" s="18">
        <f t="shared" si="19"/>
        <v>0</v>
      </c>
      <c r="N117" s="18">
        <f t="shared" si="12"/>
        <v>40.090000000000003</v>
      </c>
      <c r="O117" s="8"/>
    </row>
    <row r="118" spans="1:15">
      <c r="A118" s="1" t="s">
        <v>108</v>
      </c>
      <c r="B118" s="11"/>
      <c r="C118" s="11">
        <v>2580000</v>
      </c>
      <c r="D118" s="11">
        <v>2588000</v>
      </c>
      <c r="E118" s="11">
        <v>0</v>
      </c>
      <c r="F118" s="11">
        <f t="shared" si="10"/>
        <v>8000</v>
      </c>
      <c r="G118" s="17">
        <f t="shared" si="13"/>
        <v>40.090000000000003</v>
      </c>
      <c r="H118" s="17">
        <f t="shared" si="14"/>
        <v>0</v>
      </c>
      <c r="I118" s="17">
        <f t="shared" si="15"/>
        <v>0</v>
      </c>
      <c r="J118" s="18">
        <f t="shared" si="16"/>
        <v>0</v>
      </c>
      <c r="K118" s="18">
        <f t="shared" si="17"/>
        <v>0</v>
      </c>
      <c r="L118" s="18">
        <f t="shared" si="11"/>
        <v>40.090000000000003</v>
      </c>
      <c r="M118" s="18">
        <f t="shared" si="19"/>
        <v>0</v>
      </c>
      <c r="N118" s="18">
        <f t="shared" si="12"/>
        <v>40.090000000000003</v>
      </c>
      <c r="O118" s="8"/>
    </row>
    <row r="119" spans="1:15">
      <c r="A119" s="1" t="s">
        <v>109</v>
      </c>
      <c r="B119" s="11" t="s">
        <v>138</v>
      </c>
      <c r="C119" s="11">
        <v>0</v>
      </c>
      <c r="D119" s="11">
        <v>0</v>
      </c>
      <c r="E119" s="11">
        <v>0</v>
      </c>
      <c r="F119" s="11">
        <f t="shared" si="10"/>
        <v>0</v>
      </c>
      <c r="G119" s="17">
        <f t="shared" si="13"/>
        <v>11.79</v>
      </c>
      <c r="H119" s="17">
        <f t="shared" si="14"/>
        <v>0</v>
      </c>
      <c r="I119" s="17">
        <f t="shared" si="15"/>
        <v>0</v>
      </c>
      <c r="J119" s="18">
        <f t="shared" si="16"/>
        <v>0</v>
      </c>
      <c r="K119" s="18">
        <f t="shared" si="17"/>
        <v>0</v>
      </c>
      <c r="L119" s="18">
        <f t="shared" si="11"/>
        <v>11.79</v>
      </c>
      <c r="M119" s="18">
        <f t="shared" si="19"/>
        <v>0</v>
      </c>
      <c r="N119" s="18">
        <f t="shared" si="12"/>
        <v>11.79</v>
      </c>
      <c r="O119" s="8"/>
    </row>
    <row r="120" spans="1:15">
      <c r="A120" s="1" t="s">
        <v>110</v>
      </c>
      <c r="B120" s="11"/>
      <c r="C120" s="11">
        <v>3785000</v>
      </c>
      <c r="D120" s="11">
        <v>3793000</v>
      </c>
      <c r="E120" s="11">
        <v>0</v>
      </c>
      <c r="F120" s="11">
        <f t="shared" si="10"/>
        <v>8000</v>
      </c>
      <c r="G120" s="17">
        <f t="shared" si="13"/>
        <v>40.090000000000003</v>
      </c>
      <c r="H120" s="17">
        <f t="shared" si="14"/>
        <v>0</v>
      </c>
      <c r="I120" s="17">
        <f t="shared" si="15"/>
        <v>0</v>
      </c>
      <c r="J120" s="18">
        <f t="shared" si="16"/>
        <v>0</v>
      </c>
      <c r="K120" s="18">
        <f t="shared" si="17"/>
        <v>0</v>
      </c>
      <c r="L120" s="18">
        <f t="shared" si="11"/>
        <v>40.090000000000003</v>
      </c>
      <c r="M120" s="18">
        <f t="shared" si="19"/>
        <v>0</v>
      </c>
      <c r="N120" s="18">
        <f t="shared" si="12"/>
        <v>40.090000000000003</v>
      </c>
      <c r="O120" s="8"/>
    </row>
    <row r="121" spans="1:15">
      <c r="A121" s="1" t="s">
        <v>111</v>
      </c>
      <c r="B121" s="11"/>
      <c r="C121" s="11">
        <v>3503000</v>
      </c>
      <c r="D121" s="11">
        <v>3508000</v>
      </c>
      <c r="E121" s="11">
        <v>0</v>
      </c>
      <c r="F121" s="11">
        <f t="shared" si="10"/>
        <v>5000</v>
      </c>
      <c r="G121" s="17">
        <f t="shared" si="13"/>
        <v>40.090000000000003</v>
      </c>
      <c r="H121" s="17">
        <f t="shared" si="14"/>
        <v>0</v>
      </c>
      <c r="I121" s="17">
        <f t="shared" si="15"/>
        <v>0</v>
      </c>
      <c r="J121" s="18">
        <f t="shared" si="16"/>
        <v>0</v>
      </c>
      <c r="K121" s="18">
        <f t="shared" si="17"/>
        <v>0</v>
      </c>
      <c r="L121" s="18">
        <f t="shared" si="11"/>
        <v>40.090000000000003</v>
      </c>
      <c r="M121" s="18">
        <f t="shared" si="19"/>
        <v>0</v>
      </c>
      <c r="N121" s="18">
        <f t="shared" si="12"/>
        <v>40.090000000000003</v>
      </c>
      <c r="O121" s="8"/>
    </row>
    <row r="122" spans="1:15">
      <c r="A122" s="1" t="s">
        <v>112</v>
      </c>
      <c r="B122" s="11"/>
      <c r="C122" s="11">
        <v>339000</v>
      </c>
      <c r="D122" s="11">
        <v>341000</v>
      </c>
      <c r="E122" s="11">
        <v>0</v>
      </c>
      <c r="F122" s="11">
        <f t="shared" si="10"/>
        <v>2000</v>
      </c>
      <c r="G122" s="17">
        <f t="shared" si="13"/>
        <v>40.090000000000003</v>
      </c>
      <c r="H122" s="17">
        <f t="shared" si="14"/>
        <v>0</v>
      </c>
      <c r="I122" s="17">
        <f t="shared" si="15"/>
        <v>0</v>
      </c>
      <c r="J122" s="18">
        <f t="shared" si="16"/>
        <v>0</v>
      </c>
      <c r="K122" s="18">
        <f t="shared" si="17"/>
        <v>0</v>
      </c>
      <c r="L122" s="18">
        <f t="shared" si="11"/>
        <v>40.090000000000003</v>
      </c>
      <c r="M122" s="18">
        <f t="shared" si="19"/>
        <v>0</v>
      </c>
      <c r="N122" s="18">
        <f t="shared" si="12"/>
        <v>40.090000000000003</v>
      </c>
      <c r="O122" s="8"/>
    </row>
    <row r="123" spans="1:15">
      <c r="A123" s="1" t="s">
        <v>113</v>
      </c>
      <c r="B123" s="11"/>
      <c r="C123" s="11">
        <v>1435000</v>
      </c>
      <c r="D123" s="11">
        <v>1443000</v>
      </c>
      <c r="E123" s="11">
        <v>0</v>
      </c>
      <c r="F123" s="11">
        <f t="shared" si="10"/>
        <v>8000</v>
      </c>
      <c r="G123" s="17">
        <f t="shared" si="13"/>
        <v>40.090000000000003</v>
      </c>
      <c r="H123" s="17">
        <f t="shared" si="14"/>
        <v>0</v>
      </c>
      <c r="I123" s="17">
        <f t="shared" si="15"/>
        <v>0</v>
      </c>
      <c r="J123" s="18">
        <f t="shared" si="16"/>
        <v>0</v>
      </c>
      <c r="K123" s="18">
        <f t="shared" si="17"/>
        <v>0</v>
      </c>
      <c r="L123" s="18">
        <f t="shared" si="11"/>
        <v>40.090000000000003</v>
      </c>
      <c r="M123" s="18">
        <f t="shared" si="19"/>
        <v>0</v>
      </c>
      <c r="N123" s="18">
        <f t="shared" si="12"/>
        <v>40.090000000000003</v>
      </c>
      <c r="O123" s="8"/>
    </row>
    <row r="124" spans="1:15">
      <c r="A124" s="1" t="s">
        <v>114</v>
      </c>
      <c r="B124" s="11"/>
      <c r="C124" s="11">
        <v>2574000</v>
      </c>
      <c r="D124" s="11">
        <v>2578000</v>
      </c>
      <c r="E124" s="11">
        <v>0</v>
      </c>
      <c r="F124" s="11">
        <f t="shared" si="10"/>
        <v>4000</v>
      </c>
      <c r="G124" s="17">
        <f t="shared" si="13"/>
        <v>40.090000000000003</v>
      </c>
      <c r="H124" s="17">
        <f t="shared" si="14"/>
        <v>0</v>
      </c>
      <c r="I124" s="17">
        <f t="shared" si="15"/>
        <v>0</v>
      </c>
      <c r="J124" s="18">
        <f t="shared" si="16"/>
        <v>0</v>
      </c>
      <c r="K124" s="18">
        <f t="shared" si="17"/>
        <v>0</v>
      </c>
      <c r="L124" s="18">
        <f t="shared" si="11"/>
        <v>40.090000000000003</v>
      </c>
      <c r="M124" s="18">
        <f t="shared" si="19"/>
        <v>0</v>
      </c>
      <c r="N124" s="18">
        <f t="shared" si="12"/>
        <v>40.090000000000003</v>
      </c>
      <c r="O124" s="8"/>
    </row>
    <row r="125" spans="1:15">
      <c r="A125" s="1" t="s">
        <v>115</v>
      </c>
      <c r="B125" s="11"/>
      <c r="C125" s="11">
        <v>2457000</v>
      </c>
      <c r="D125" s="11">
        <v>2468000</v>
      </c>
      <c r="E125" s="11">
        <v>0</v>
      </c>
      <c r="F125" s="11">
        <f t="shared" si="10"/>
        <v>11000</v>
      </c>
      <c r="G125" s="17">
        <f t="shared" si="13"/>
        <v>40.090000000000003</v>
      </c>
      <c r="H125" s="17">
        <f t="shared" si="14"/>
        <v>2.1800000000000002</v>
      </c>
      <c r="I125" s="17">
        <f t="shared" si="15"/>
        <v>0</v>
      </c>
      <c r="J125" s="18">
        <f t="shared" si="16"/>
        <v>0</v>
      </c>
      <c r="K125" s="18">
        <f t="shared" si="17"/>
        <v>0</v>
      </c>
      <c r="L125" s="18">
        <f t="shared" si="11"/>
        <v>42.27</v>
      </c>
      <c r="M125" s="18">
        <f t="shared" si="19"/>
        <v>0</v>
      </c>
      <c r="N125" s="18">
        <f t="shared" si="12"/>
        <v>42.27</v>
      </c>
      <c r="O125" s="8"/>
    </row>
    <row r="126" spans="1:15">
      <c r="A126" s="1" t="s">
        <v>116</v>
      </c>
      <c r="B126" s="11"/>
      <c r="C126" s="11">
        <v>4253000</v>
      </c>
      <c r="D126" s="11">
        <v>4257000</v>
      </c>
      <c r="E126" s="11">
        <v>0</v>
      </c>
      <c r="F126" s="11">
        <f t="shared" si="10"/>
        <v>4000</v>
      </c>
      <c r="G126" s="17">
        <f t="shared" si="13"/>
        <v>40.090000000000003</v>
      </c>
      <c r="H126" s="17">
        <f t="shared" si="14"/>
        <v>0</v>
      </c>
      <c r="I126" s="17">
        <f t="shared" si="15"/>
        <v>0</v>
      </c>
      <c r="J126" s="18">
        <f t="shared" si="16"/>
        <v>0</v>
      </c>
      <c r="K126" s="18">
        <f t="shared" si="17"/>
        <v>0</v>
      </c>
      <c r="L126" s="18">
        <f t="shared" si="11"/>
        <v>40.090000000000003</v>
      </c>
      <c r="M126" s="18">
        <f t="shared" si="19"/>
        <v>0</v>
      </c>
      <c r="N126" s="18">
        <f t="shared" si="12"/>
        <v>40.090000000000003</v>
      </c>
      <c r="O126" s="8"/>
    </row>
    <row r="127" spans="1:15">
      <c r="A127" s="1" t="s">
        <v>117</v>
      </c>
      <c r="B127" s="11"/>
      <c r="C127" s="11">
        <v>1886000</v>
      </c>
      <c r="D127" s="11">
        <v>1890000</v>
      </c>
      <c r="E127" s="11">
        <v>0</v>
      </c>
      <c r="F127" s="11">
        <f t="shared" si="10"/>
        <v>4000</v>
      </c>
      <c r="G127" s="17">
        <f t="shared" si="13"/>
        <v>40.090000000000003</v>
      </c>
      <c r="H127" s="17">
        <f t="shared" si="14"/>
        <v>0</v>
      </c>
      <c r="I127" s="17">
        <f t="shared" si="15"/>
        <v>0</v>
      </c>
      <c r="J127" s="18">
        <f t="shared" si="16"/>
        <v>0</v>
      </c>
      <c r="K127" s="18">
        <f t="shared" si="17"/>
        <v>0</v>
      </c>
      <c r="L127" s="18">
        <f t="shared" si="11"/>
        <v>40.090000000000003</v>
      </c>
      <c r="M127" s="18">
        <f t="shared" si="19"/>
        <v>0</v>
      </c>
      <c r="N127" s="18">
        <f t="shared" si="12"/>
        <v>40.090000000000003</v>
      </c>
      <c r="O127" s="8"/>
    </row>
    <row r="128" spans="1:15">
      <c r="A128" s="1" t="s">
        <v>118</v>
      </c>
      <c r="B128" s="11"/>
      <c r="C128" s="11">
        <v>1179000</v>
      </c>
      <c r="D128" s="11">
        <v>1179000</v>
      </c>
      <c r="E128" s="11">
        <v>4000</v>
      </c>
      <c r="F128" s="11">
        <f t="shared" si="10"/>
        <v>4000</v>
      </c>
      <c r="G128" s="17">
        <f t="shared" si="13"/>
        <v>40.090000000000003</v>
      </c>
      <c r="H128" s="17">
        <f t="shared" si="14"/>
        <v>0</v>
      </c>
      <c r="I128" s="17">
        <f t="shared" si="15"/>
        <v>0</v>
      </c>
      <c r="J128" s="18">
        <f t="shared" si="16"/>
        <v>0</v>
      </c>
      <c r="K128" s="18">
        <f t="shared" si="17"/>
        <v>0</v>
      </c>
      <c r="L128" s="18">
        <f t="shared" si="11"/>
        <v>40.090000000000003</v>
      </c>
      <c r="M128" s="18">
        <f t="shared" si="19"/>
        <v>0</v>
      </c>
      <c r="N128" s="18">
        <f t="shared" si="12"/>
        <v>40.090000000000003</v>
      </c>
      <c r="O128" s="8" t="s">
        <v>174</v>
      </c>
    </row>
    <row r="129" spans="1:15">
      <c r="A129" s="1" t="s">
        <v>119</v>
      </c>
      <c r="B129" s="11"/>
      <c r="C129" s="11">
        <v>6837000</v>
      </c>
      <c r="D129" s="11">
        <v>6840000</v>
      </c>
      <c r="E129" s="11">
        <v>0</v>
      </c>
      <c r="F129" s="11">
        <f t="shared" si="10"/>
        <v>3000</v>
      </c>
      <c r="G129" s="17">
        <f t="shared" si="13"/>
        <v>40.090000000000003</v>
      </c>
      <c r="H129" s="17">
        <f t="shared" si="14"/>
        <v>0</v>
      </c>
      <c r="I129" s="17">
        <f t="shared" si="15"/>
        <v>0</v>
      </c>
      <c r="J129" s="18">
        <f t="shared" si="16"/>
        <v>0</v>
      </c>
      <c r="K129" s="18">
        <f t="shared" si="17"/>
        <v>0</v>
      </c>
      <c r="L129" s="18">
        <f t="shared" si="11"/>
        <v>40.090000000000003</v>
      </c>
      <c r="M129" s="18">
        <f t="shared" si="19"/>
        <v>0</v>
      </c>
      <c r="N129" s="18">
        <f t="shared" si="12"/>
        <v>40.090000000000003</v>
      </c>
      <c r="O129" s="8"/>
    </row>
    <row r="130" spans="1:15">
      <c r="A130" s="1" t="s">
        <v>120</v>
      </c>
      <c r="B130" s="11"/>
      <c r="C130" s="11">
        <v>3690000</v>
      </c>
      <c r="D130" s="11">
        <v>3693000</v>
      </c>
      <c r="E130" s="11">
        <v>0</v>
      </c>
      <c r="F130" s="11">
        <f t="shared" si="10"/>
        <v>3000</v>
      </c>
      <c r="G130" s="17">
        <f t="shared" si="13"/>
        <v>40.090000000000003</v>
      </c>
      <c r="H130" s="17">
        <f t="shared" si="14"/>
        <v>0</v>
      </c>
      <c r="I130" s="17">
        <f t="shared" si="15"/>
        <v>0</v>
      </c>
      <c r="J130" s="18">
        <f t="shared" si="16"/>
        <v>0</v>
      </c>
      <c r="K130" s="18">
        <f t="shared" si="17"/>
        <v>0</v>
      </c>
      <c r="L130" s="18">
        <f t="shared" si="11"/>
        <v>40.090000000000003</v>
      </c>
      <c r="M130" s="18">
        <f t="shared" si="19"/>
        <v>0</v>
      </c>
      <c r="N130" s="18">
        <f t="shared" si="12"/>
        <v>40.090000000000003</v>
      </c>
      <c r="O130" s="8"/>
    </row>
    <row r="131" spans="1:15">
      <c r="A131" s="1" t="s">
        <v>121</v>
      </c>
      <c r="B131" s="11" t="s">
        <v>138</v>
      </c>
      <c r="C131" s="11">
        <v>0</v>
      </c>
      <c r="D131" s="11">
        <v>0</v>
      </c>
      <c r="E131" s="11">
        <v>0</v>
      </c>
      <c r="F131" s="11">
        <f t="shared" si="10"/>
        <v>0</v>
      </c>
      <c r="G131" s="17">
        <f t="shared" si="13"/>
        <v>11.79</v>
      </c>
      <c r="H131" s="17">
        <f t="shared" si="14"/>
        <v>0</v>
      </c>
      <c r="I131" s="17">
        <f t="shared" si="15"/>
        <v>0</v>
      </c>
      <c r="J131" s="18">
        <f t="shared" si="16"/>
        <v>0</v>
      </c>
      <c r="K131" s="18">
        <f t="shared" si="17"/>
        <v>0</v>
      </c>
      <c r="L131" s="18">
        <f t="shared" si="11"/>
        <v>11.79</v>
      </c>
      <c r="M131" s="18">
        <f t="shared" si="19"/>
        <v>0</v>
      </c>
      <c r="N131" s="18">
        <f t="shared" si="12"/>
        <v>11.79</v>
      </c>
      <c r="O131" s="8"/>
    </row>
    <row r="132" spans="1:15">
      <c r="A132" s="1" t="s">
        <v>122</v>
      </c>
      <c r="B132" s="11"/>
      <c r="C132" s="11">
        <v>1286000</v>
      </c>
      <c r="D132" s="11">
        <v>1297000</v>
      </c>
      <c r="E132" s="11">
        <v>0</v>
      </c>
      <c r="F132" s="11">
        <f t="shared" si="10"/>
        <v>11000</v>
      </c>
      <c r="G132" s="17">
        <f t="shared" si="13"/>
        <v>40.090000000000003</v>
      </c>
      <c r="H132" s="17">
        <f t="shared" si="14"/>
        <v>2.1800000000000002</v>
      </c>
      <c r="I132" s="17">
        <f t="shared" si="15"/>
        <v>0</v>
      </c>
      <c r="J132" s="18">
        <f t="shared" si="16"/>
        <v>0</v>
      </c>
      <c r="K132" s="18">
        <f t="shared" si="17"/>
        <v>0</v>
      </c>
      <c r="L132" s="18">
        <f t="shared" si="11"/>
        <v>42.27</v>
      </c>
      <c r="M132" s="18">
        <f t="shared" si="19"/>
        <v>0</v>
      </c>
      <c r="N132" s="18">
        <f t="shared" si="12"/>
        <v>42.27</v>
      </c>
      <c r="O132" s="8"/>
    </row>
    <row r="133" spans="1:15">
      <c r="A133" s="1" t="s">
        <v>123</v>
      </c>
      <c r="B133" s="11" t="s">
        <v>138</v>
      </c>
      <c r="C133" s="11">
        <v>0</v>
      </c>
      <c r="D133" s="11">
        <v>0</v>
      </c>
      <c r="E133" s="11">
        <v>0</v>
      </c>
      <c r="F133" s="11">
        <f t="shared" si="10"/>
        <v>0</v>
      </c>
      <c r="G133" s="17">
        <f t="shared" si="13"/>
        <v>11.79</v>
      </c>
      <c r="H133" s="17">
        <f t="shared" si="14"/>
        <v>0</v>
      </c>
      <c r="I133" s="17">
        <f t="shared" si="15"/>
        <v>0</v>
      </c>
      <c r="J133" s="18">
        <f t="shared" si="16"/>
        <v>0</v>
      </c>
      <c r="K133" s="18">
        <f t="shared" si="17"/>
        <v>0</v>
      </c>
      <c r="L133" s="18">
        <f t="shared" si="11"/>
        <v>11.79</v>
      </c>
      <c r="M133" s="18">
        <f t="shared" si="19"/>
        <v>0</v>
      </c>
      <c r="N133" s="18">
        <f t="shared" si="12"/>
        <v>11.79</v>
      </c>
      <c r="O133" s="8"/>
    </row>
    <row r="134" spans="1:15">
      <c r="A134" s="1" t="s">
        <v>124</v>
      </c>
      <c r="B134" s="11" t="s">
        <v>138</v>
      </c>
      <c r="C134" s="11">
        <v>0</v>
      </c>
      <c r="D134" s="11">
        <v>0</v>
      </c>
      <c r="E134" s="11">
        <v>0</v>
      </c>
      <c r="F134" s="11">
        <f t="shared" si="10"/>
        <v>0</v>
      </c>
      <c r="G134" s="17">
        <f t="shared" si="13"/>
        <v>11.79</v>
      </c>
      <c r="H134" s="17">
        <f t="shared" si="14"/>
        <v>0</v>
      </c>
      <c r="I134" s="17">
        <f t="shared" si="15"/>
        <v>0</v>
      </c>
      <c r="J134" s="18">
        <f t="shared" si="16"/>
        <v>0</v>
      </c>
      <c r="K134" s="18">
        <f t="shared" si="17"/>
        <v>0</v>
      </c>
      <c r="L134" s="18">
        <f t="shared" si="11"/>
        <v>11.79</v>
      </c>
      <c r="M134" s="18">
        <f t="shared" si="19"/>
        <v>0</v>
      </c>
      <c r="N134" s="18">
        <f t="shared" si="12"/>
        <v>11.79</v>
      </c>
      <c r="O134" s="8"/>
    </row>
    <row r="135" spans="1:15">
      <c r="A135" s="1" t="s">
        <v>125</v>
      </c>
      <c r="B135" s="11" t="s">
        <v>138</v>
      </c>
      <c r="C135" s="11">
        <v>0</v>
      </c>
      <c r="D135" s="11">
        <v>0</v>
      </c>
      <c r="E135" s="11">
        <v>0</v>
      </c>
      <c r="F135" s="11">
        <f t="shared" si="10"/>
        <v>0</v>
      </c>
      <c r="G135" s="17">
        <f t="shared" si="13"/>
        <v>11.79</v>
      </c>
      <c r="H135" s="17">
        <f t="shared" si="14"/>
        <v>0</v>
      </c>
      <c r="I135" s="17">
        <f t="shared" si="15"/>
        <v>0</v>
      </c>
      <c r="J135" s="18">
        <f t="shared" si="16"/>
        <v>0</v>
      </c>
      <c r="K135" s="18">
        <f t="shared" si="17"/>
        <v>0</v>
      </c>
      <c r="L135" s="18">
        <f t="shared" si="11"/>
        <v>11.79</v>
      </c>
      <c r="M135" s="18">
        <f t="shared" si="19"/>
        <v>0</v>
      </c>
      <c r="N135" s="18">
        <f t="shared" si="12"/>
        <v>11.79</v>
      </c>
      <c r="O135" s="8"/>
    </row>
    <row r="136" spans="1:15">
      <c r="A136" s="1" t="s">
        <v>126</v>
      </c>
      <c r="B136" s="11"/>
      <c r="C136" s="11">
        <v>991000</v>
      </c>
      <c r="D136" s="11">
        <v>1003000</v>
      </c>
      <c r="E136" s="11">
        <v>0</v>
      </c>
      <c r="F136" s="11">
        <f t="shared" si="10"/>
        <v>12000</v>
      </c>
      <c r="G136" s="17">
        <f t="shared" si="13"/>
        <v>40.090000000000003</v>
      </c>
      <c r="H136" s="17">
        <f t="shared" si="14"/>
        <v>4.3600000000000003</v>
      </c>
      <c r="I136" s="17">
        <f t="shared" si="15"/>
        <v>0</v>
      </c>
      <c r="J136" s="18">
        <f t="shared" si="16"/>
        <v>0</v>
      </c>
      <c r="K136" s="18">
        <f t="shared" si="17"/>
        <v>0</v>
      </c>
      <c r="L136" s="18">
        <f t="shared" si="11"/>
        <v>44.45</v>
      </c>
      <c r="M136" s="18">
        <f t="shared" si="19"/>
        <v>0</v>
      </c>
      <c r="N136" s="18">
        <f t="shared" si="12"/>
        <v>44.45</v>
      </c>
      <c r="O136" s="8"/>
    </row>
    <row r="137" spans="1:15">
      <c r="B137" s="11"/>
      <c r="C137" s="11"/>
      <c r="D137" s="83">
        <f>SUM(Table24[December])</f>
        <v>236682000</v>
      </c>
      <c r="E137" s="11"/>
      <c r="F137" s="11"/>
      <c r="G137" s="17"/>
      <c r="H137" s="17"/>
      <c r="I137" s="17"/>
      <c r="J137" s="18"/>
      <c r="K137" s="18"/>
      <c r="L137" s="18"/>
      <c r="M137" s="18"/>
      <c r="N137" s="18"/>
      <c r="O137" s="8"/>
    </row>
    <row r="138" spans="1:15">
      <c r="J138" s="1" t="s">
        <v>136</v>
      </c>
      <c r="M138" s="27">
        <f>SUM(M11:M136)</f>
        <v>0</v>
      </c>
      <c r="N138" s="5">
        <f>SUM(N11:N136)</f>
        <v>4993.3000000000056</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927100</v>
      </c>
      <c r="G140" s="75">
        <f t="shared" si="20"/>
        <v>4196.7500000000045</v>
      </c>
      <c r="H140" s="75">
        <f t="shared" si="20"/>
        <v>374.44000000000005</v>
      </c>
      <c r="I140" s="75">
        <f t="shared" si="20"/>
        <v>121.43999999999998</v>
      </c>
      <c r="J140" s="75">
        <f t="shared" si="20"/>
        <v>109.15</v>
      </c>
      <c r="K140" s="75">
        <f t="shared" si="20"/>
        <v>191.51999999999998</v>
      </c>
      <c r="L140" s="75">
        <f t="shared" si="20"/>
        <v>4993.3000000000056</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0</v>
      </c>
      <c r="G143" s="25">
        <f>SUM(G18:G130)-G145</f>
        <v>3287.3800000000028</v>
      </c>
      <c r="H143" s="80">
        <f>SUM(H18:H130)-H145</f>
        <v>98.100000000000009</v>
      </c>
      <c r="I143" s="25">
        <f>SUM(I18:I130)-I145</f>
        <v>25.299999999999997</v>
      </c>
      <c r="J143" s="25">
        <f>SUM(J18:J130)-J145</f>
        <v>29.5</v>
      </c>
      <c r="K143" s="25">
        <f>SUM(K18:K130)-K145</f>
        <v>41.04</v>
      </c>
      <c r="L143" s="25">
        <f>SUM(F143:K143)</f>
        <v>3481.3200000000029</v>
      </c>
      <c r="M143" s="1"/>
    </row>
    <row r="144" spans="1:15" customFormat="1">
      <c r="A144" t="s">
        <v>255</v>
      </c>
      <c r="D144">
        <v>8</v>
      </c>
      <c r="E144" s="25">
        <f>SUM(M11:M15)+M17+SUM(M131:M136)</f>
        <v>0</v>
      </c>
      <c r="G144" s="34">
        <f>SUM(G11:G15)+G17+G132+G136</f>
        <v>320.72000000000003</v>
      </c>
      <c r="H144" s="34">
        <f>SUM(H11:H15)+H17+H132+H136</f>
        <v>102.46000000000001</v>
      </c>
      <c r="I144" s="34">
        <f>SUM(I11:I15)+I17+I132+I136</f>
        <v>96.139999999999986</v>
      </c>
      <c r="J144" s="34">
        <f>SUM(J11:J15)+J17+J132+J136</f>
        <v>79.650000000000006</v>
      </c>
      <c r="K144" s="34">
        <f>SUM(K11:K15)+K17+K132+K136</f>
        <v>150.47999999999999</v>
      </c>
      <c r="L144" s="25">
        <f t="shared" ref="L144:L147" si="21">SUM(F144:K144)</f>
        <v>749.45</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21"/>
        <v>47.16</v>
      </c>
      <c r="M146" s="1"/>
    </row>
    <row r="147" spans="1:13" customFormat="1">
      <c r="A147" t="s">
        <v>253</v>
      </c>
      <c r="D147">
        <v>1</v>
      </c>
      <c r="E147" s="25">
        <f>M16</f>
        <v>0</v>
      </c>
      <c r="G147" s="25">
        <f>G16</f>
        <v>176</v>
      </c>
      <c r="H147" s="25">
        <f>H16</f>
        <v>173.88</v>
      </c>
      <c r="I147" s="25">
        <f>I16</f>
        <v>0</v>
      </c>
      <c r="J147" s="25">
        <f>J16</f>
        <v>0</v>
      </c>
      <c r="K147" s="25">
        <f>K16</f>
        <v>0</v>
      </c>
      <c r="L147" s="25">
        <f t="shared" si="21"/>
        <v>349.88</v>
      </c>
      <c r="M147" s="1"/>
    </row>
    <row r="148" spans="1:13" customFormat="1" ht="15.75" thickBot="1">
      <c r="B148" t="s">
        <v>257</v>
      </c>
      <c r="D148" s="73">
        <f>SUM(D143:D147)</f>
        <v>126</v>
      </c>
      <c r="E148" s="74">
        <f>SUM(E143:E147)</f>
        <v>0</v>
      </c>
      <c r="F148" s="73"/>
      <c r="G148" s="74">
        <f t="shared" ref="G148:L148" si="22">SUM(G143:G147)</f>
        <v>4196.7500000000036</v>
      </c>
      <c r="H148" s="74">
        <f t="shared" si="22"/>
        <v>374.44</v>
      </c>
      <c r="I148" s="74">
        <f t="shared" si="22"/>
        <v>121.43999999999998</v>
      </c>
      <c r="J148" s="74">
        <f t="shared" si="22"/>
        <v>109.15</v>
      </c>
      <c r="K148" s="74">
        <f t="shared" si="22"/>
        <v>191.51999999999998</v>
      </c>
      <c r="L148" s="74">
        <f t="shared" si="22"/>
        <v>4993.3000000000029</v>
      </c>
      <c r="M148" s="1"/>
    </row>
    <row r="149" spans="1:13" customFormat="1" ht="15.75" thickTop="1">
      <c r="D149" s="78"/>
      <c r="E149" s="78"/>
      <c r="F149" s="78"/>
      <c r="G149" s="79"/>
      <c r="H149" s="79"/>
      <c r="I149" s="79"/>
      <c r="J149" s="79"/>
      <c r="K149" s="79"/>
      <c r="L149" s="79"/>
      <c r="M149" s="1"/>
    </row>
    <row r="150" spans="1:13" customFormat="1">
      <c r="A150" t="s">
        <v>262</v>
      </c>
      <c r="D150" s="75"/>
      <c r="E150" s="81">
        <v>0</v>
      </c>
      <c r="F150" s="75"/>
      <c r="G150" s="81">
        <f>F140-G151-G152-(SUM(H153:K153))</f>
        <v>432100</v>
      </c>
      <c r="H150" s="81">
        <f>H143/2.18*1000</f>
        <v>45000</v>
      </c>
      <c r="I150" s="81">
        <f>I143/2.53*1000</f>
        <v>10000</v>
      </c>
      <c r="J150" s="81">
        <f>J143/2.95*1000</f>
        <v>10000</v>
      </c>
      <c r="K150" s="81">
        <f>K143/3.42*1000</f>
        <v>12000</v>
      </c>
      <c r="L150" s="81">
        <f>SUM(G150:K150)</f>
        <v>509100</v>
      </c>
      <c r="M150" s="1"/>
    </row>
    <row r="151" spans="1:13" customFormat="1">
      <c r="A151" t="s">
        <v>263</v>
      </c>
      <c r="D151" s="75"/>
      <c r="E151" s="81">
        <v>0</v>
      </c>
      <c r="F151" s="75"/>
      <c r="G151" s="81">
        <f>(SUM(F11:F15)+F17+SUM(F131:F136)-H151-I151-J151-K151)</f>
        <v>70000</v>
      </c>
      <c r="H151" s="81">
        <f>H144/2.18*1000</f>
        <v>47000</v>
      </c>
      <c r="I151" s="81">
        <f>I144/2.53*1000</f>
        <v>38000</v>
      </c>
      <c r="J151" s="81">
        <f>J144/2.95*1000</f>
        <v>27000</v>
      </c>
      <c r="K151" s="81">
        <f>K144/3.42*1000</f>
        <v>44000</v>
      </c>
      <c r="L151" s="81">
        <f>SUM(G151:K151)</f>
        <v>226000</v>
      </c>
      <c r="M151" s="1"/>
    </row>
    <row r="152" spans="1:13" customFormat="1">
      <c r="A152" t="s">
        <v>264</v>
      </c>
      <c r="D152" s="75"/>
      <c r="E152" s="81">
        <v>0</v>
      </c>
      <c r="F152" s="75"/>
      <c r="G152" s="81">
        <f>IF(F16&gt;100000,100000,F16)</f>
        <v>100000</v>
      </c>
      <c r="H152" s="81">
        <f>H147/1.89*1000</f>
        <v>92000</v>
      </c>
      <c r="I152" s="81" t="s">
        <v>259</v>
      </c>
      <c r="J152" s="81" t="s">
        <v>259</v>
      </c>
      <c r="K152" s="81" t="s">
        <v>259</v>
      </c>
      <c r="L152" s="81">
        <f>SUM(G152:K152)</f>
        <v>192000</v>
      </c>
      <c r="M152" s="1"/>
    </row>
    <row r="153" spans="1:13" customFormat="1" ht="15.75" thickBot="1">
      <c r="B153" t="s">
        <v>265</v>
      </c>
      <c r="D153" s="77"/>
      <c r="E153" s="82">
        <f>SUM(E150:E152)</f>
        <v>0</v>
      </c>
      <c r="F153" s="77"/>
      <c r="G153" s="82">
        <f>G150+G151+G152</f>
        <v>602100</v>
      </c>
      <c r="H153" s="82">
        <f>SUM(H150:H152)</f>
        <v>184000</v>
      </c>
      <c r="I153" s="82">
        <f>SUM(I150:I152)</f>
        <v>48000</v>
      </c>
      <c r="J153" s="82">
        <f>SUM(J150:J152)</f>
        <v>37000</v>
      </c>
      <c r="K153" s="82">
        <f>SUM(K150:K152)</f>
        <v>56000</v>
      </c>
      <c r="L153" s="82">
        <f>SUM(L150:L152)</f>
        <v>927100</v>
      </c>
      <c r="M153" s="1"/>
    </row>
    <row r="154" spans="1:13" ht="15.75" thickTop="1">
      <c r="E154" s="1" t="s">
        <v>274</v>
      </c>
    </row>
    <row r="155" spans="1:13">
      <c r="E155" s="75" t="s">
        <v>275</v>
      </c>
    </row>
    <row r="156" spans="1:13">
      <c r="E156" s="75" t="s">
        <v>273</v>
      </c>
    </row>
    <row r="157" spans="1:13">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sheetPr>
    <pageSetUpPr fitToPage="1"/>
  </sheetPr>
  <dimension ref="A1:O157"/>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23">
        <v>40848</v>
      </c>
      <c r="D4" s="1" t="s">
        <v>146</v>
      </c>
      <c r="G4" s="1" t="s">
        <v>156</v>
      </c>
      <c r="K4" s="1" t="s">
        <v>149</v>
      </c>
      <c r="N4" s="1">
        <f>SUM(F11:F136)</f>
        <v>919700</v>
      </c>
    </row>
    <row r="5" spans="1:15">
      <c r="A5" s="1" t="s">
        <v>165</v>
      </c>
      <c r="B5" s="24">
        <v>40877</v>
      </c>
      <c r="D5" s="1" t="s">
        <v>144</v>
      </c>
      <c r="G5" s="1" t="s">
        <v>155</v>
      </c>
      <c r="H5" s="1">
        <v>0</v>
      </c>
      <c r="K5" s="1" t="s">
        <v>154</v>
      </c>
      <c r="N5" s="1">
        <f>N4-F16</f>
        <v>834700</v>
      </c>
    </row>
    <row r="6" spans="1:15">
      <c r="B6" s="4"/>
      <c r="D6" s="1" t="s">
        <v>145</v>
      </c>
      <c r="G6" s="1" t="s">
        <v>158</v>
      </c>
      <c r="H6" s="1">
        <v>35000</v>
      </c>
      <c r="K6" s="1" t="s">
        <v>160</v>
      </c>
      <c r="N6" s="1">
        <f>SUMIF(F11:F15,"&gt;" &amp; $H$6)+SUMIF(F17:F136,"&gt;" &amp; $H$6)+SUMIF(F16,"&gt;" &amp; $H$7)</f>
        <v>269000</v>
      </c>
    </row>
    <row r="7" spans="1:15">
      <c r="B7" s="4"/>
      <c r="D7" s="1" t="s">
        <v>150</v>
      </c>
      <c r="E7" s="12">
        <f>E6-E5</f>
        <v>0</v>
      </c>
      <c r="G7" s="1" t="s">
        <v>159</v>
      </c>
      <c r="H7" s="12">
        <v>100000</v>
      </c>
      <c r="K7" s="1" t="s">
        <v>161</v>
      </c>
      <c r="N7" s="1">
        <f>(SUMIF(F11:F15,"&gt;" &amp; $H$6)-(COUNTIF(F11:F15,"&gt;" &amp; $H$6)*$H$6))+(SUMIF(F17:F136,"&gt;" &amp; $H$6)-(COUNTIF(F17:F136,"&gt;" &amp; $H$6)*$H$6))+(SUMIF(F16,"&gt;" &amp; $H$7)-(COUNTIF(F16,"&gt;" &amp; $H$7)*$H$7))</f>
        <v>129000</v>
      </c>
    </row>
    <row r="8" spans="1:15">
      <c r="D8" s="1" t="s">
        <v>147</v>
      </c>
      <c r="E8" s="25">
        <v>0</v>
      </c>
      <c r="H8" s="6"/>
    </row>
    <row r="10" spans="1:15">
      <c r="A10" s="7" t="s">
        <v>0</v>
      </c>
      <c r="B10" s="10" t="s">
        <v>137</v>
      </c>
      <c r="C10" s="35" t="s">
        <v>190</v>
      </c>
      <c r="D10" s="13" t="s">
        <v>191</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7587000</v>
      </c>
      <c r="D11" s="11">
        <v>7687000</v>
      </c>
      <c r="E11" s="11">
        <v>0</v>
      </c>
      <c r="F11" s="11">
        <f t="shared" ref="F11:F74" si="0">($D11-$C11)+$E11</f>
        <v>100000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205.2</v>
      </c>
      <c r="L11" s="18">
        <f>SUM(G11:K11)</f>
        <v>321.89</v>
      </c>
      <c r="M11" s="18">
        <f>IF(   $H$5=1,    IF((F11-$H$6)&gt;0,((F11-$H$6)/$N$7)*$E$8,0),   IF(F11&gt;0,(F11/$N$4)*$E$8,0)    )</f>
        <v>0</v>
      </c>
      <c r="N11" s="18">
        <f>SUM(L11:M11)</f>
        <v>321.89</v>
      </c>
      <c r="O11" s="8"/>
    </row>
    <row r="12" spans="1:15">
      <c r="A12" s="1" t="s">
        <v>2</v>
      </c>
      <c r="B12" s="11"/>
      <c r="C12" s="11">
        <v>6572000</v>
      </c>
      <c r="D12" s="11">
        <v>6639000</v>
      </c>
      <c r="E12" s="11">
        <v>0</v>
      </c>
      <c r="F12" s="11">
        <f t="shared" si="0"/>
        <v>67000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92.34</v>
      </c>
      <c r="L12" s="18">
        <f t="shared" ref="L12:L75" si="1">SUM(G12:K12)</f>
        <v>209.03</v>
      </c>
      <c r="M12" s="18">
        <f>IF(   $H$5=1,    IF((F12-$H$6)&gt;0,((F12-$H$6)/$N$7)*$E$8,0),   IF(F12&gt;0,(F12/$N$4)*$E$8,0)    )</f>
        <v>0</v>
      </c>
      <c r="N12" s="18">
        <f t="shared" ref="N12:N75" si="2">SUM(L12:M12)</f>
        <v>209.03</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3275000</v>
      </c>
      <c r="D14" s="11">
        <v>3330000</v>
      </c>
      <c r="E14" s="11">
        <v>0</v>
      </c>
      <c r="F14" s="11">
        <f t="shared" si="0"/>
        <v>55000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51.3</v>
      </c>
      <c r="L14" s="18">
        <f t="shared" si="1"/>
        <v>167.99</v>
      </c>
      <c r="M14" s="18">
        <f>IF(   $H$5=1,    IF((F14-$H$6)&gt;0,((F14-$H$6)/$N$7)*$E$8,0),   IF(F14&gt;0,(F14/$N$4)*$E$8,0)    )</f>
        <v>0</v>
      </c>
      <c r="N14" s="18">
        <f t="shared" si="2"/>
        <v>167.99</v>
      </c>
      <c r="O14" s="8"/>
    </row>
    <row r="15" spans="1:15">
      <c r="A15" s="1" t="s">
        <v>5</v>
      </c>
      <c r="B15" s="11"/>
      <c r="C15" s="11">
        <v>2194000</v>
      </c>
      <c r="D15" s="11">
        <v>2241000</v>
      </c>
      <c r="E15" s="11">
        <v>0</v>
      </c>
      <c r="F15" s="11">
        <f t="shared" si="0"/>
        <v>47000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23.939999999999998</v>
      </c>
      <c r="L15" s="18">
        <f t="shared" si="1"/>
        <v>140.63</v>
      </c>
      <c r="M15" s="18">
        <f>IF(   $H$5=1,    IF((F15-$H$6)&gt;0,((F15-$H$6)/$N$7)*$E$8,0),   IF(F15&gt;0,(F15/$N$4)*$E$8,0)    )</f>
        <v>0</v>
      </c>
      <c r="N15" s="18">
        <f t="shared" si="2"/>
        <v>140.63</v>
      </c>
      <c r="O15" s="8"/>
    </row>
    <row r="16" spans="1:15">
      <c r="A16" s="1" t="s">
        <v>6</v>
      </c>
      <c r="B16" s="11"/>
      <c r="C16" s="11">
        <v>24851000</v>
      </c>
      <c r="D16" s="11">
        <v>24936000</v>
      </c>
      <c r="E16" s="11">
        <v>0</v>
      </c>
      <c r="F16" s="11">
        <f t="shared" si="0"/>
        <v>85000</v>
      </c>
      <c r="G16" s="17">
        <v>176</v>
      </c>
      <c r="H16" s="17">
        <f>IF(($F16-100000)&gt;=0,($F16-100000)/1000*1.89,0)</f>
        <v>0</v>
      </c>
      <c r="I16" s="17"/>
      <c r="J16" s="18"/>
      <c r="K16" s="18"/>
      <c r="L16" s="18">
        <f t="shared" si="1"/>
        <v>176</v>
      </c>
      <c r="M16" s="18">
        <f>IF(   $H$5=1,     IF((F16-$H$7)&gt;0,((F16-$H$7)/$N$7)*$E$8,0),   IF(F16&gt;0,(F16/$N$4)*$E$8,0)    )</f>
        <v>0</v>
      </c>
      <c r="N16" s="18">
        <f t="shared" si="2"/>
        <v>176</v>
      </c>
      <c r="O16" s="8" t="s">
        <v>133</v>
      </c>
    </row>
    <row r="17" spans="1:15">
      <c r="A17" s="1" t="s">
        <v>7</v>
      </c>
      <c r="B17" s="11"/>
      <c r="C17" s="11">
        <v>522000</v>
      </c>
      <c r="D17" s="11">
        <v>536000</v>
      </c>
      <c r="E17" s="11">
        <v>0</v>
      </c>
      <c r="F17" s="11">
        <f t="shared" si="0"/>
        <v>14000</v>
      </c>
      <c r="G17" s="17">
        <f t="shared" ref="G17:G80" si="3">IF(OR($F17&gt;0,$B17=""),40.09,11.79)</f>
        <v>40.090000000000003</v>
      </c>
      <c r="H17" s="17">
        <f t="shared" ref="H17:H80" si="4">IF(AND((($F17-10000)&gt;=0),(($F17-10000)&lt;= 10000)),($F17-10000)/1000*2.18,IF(($F17-10000)&gt;=10000,2.18*10,0))</f>
        <v>8.7200000000000006</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48.81</v>
      </c>
      <c r="M17" s="18">
        <f t="shared" ref="M17:M48" si="8">IF(   $H$5=1,    IF((F17-$H$6)&gt;0,((F17-$H$6)/$N$7)*$E$8,0),   IF(F17&gt;0,(F17/$N$4)*$E$8,0)    )</f>
        <v>0</v>
      </c>
      <c r="N17" s="18">
        <f t="shared" si="2"/>
        <v>48.81</v>
      </c>
      <c r="O17" s="8"/>
    </row>
    <row r="18" spans="1:15">
      <c r="A18" s="1" t="s">
        <v>8</v>
      </c>
      <c r="B18" s="11"/>
      <c r="C18" s="11">
        <v>2211000</v>
      </c>
      <c r="D18" s="11">
        <v>2218000</v>
      </c>
      <c r="E18" s="11">
        <v>0</v>
      </c>
      <c r="F18" s="11">
        <f t="shared" si="0"/>
        <v>7000</v>
      </c>
      <c r="G18" s="17">
        <f t="shared" si="3"/>
        <v>40.090000000000003</v>
      </c>
      <c r="H18" s="17">
        <f t="shared" si="4"/>
        <v>0</v>
      </c>
      <c r="I18" s="17">
        <f t="shared" si="5"/>
        <v>0</v>
      </c>
      <c r="J18" s="18">
        <f t="shared" si="6"/>
        <v>0</v>
      </c>
      <c r="K18" s="18">
        <f t="shared" si="7"/>
        <v>0</v>
      </c>
      <c r="L18" s="18">
        <f t="shared" si="1"/>
        <v>40.090000000000003</v>
      </c>
      <c r="M18" s="18">
        <f t="shared" si="8"/>
        <v>0</v>
      </c>
      <c r="N18" s="18">
        <f t="shared" si="2"/>
        <v>40.090000000000003</v>
      </c>
      <c r="O18" s="8"/>
    </row>
    <row r="19" spans="1:15">
      <c r="A19" s="1" t="s">
        <v>9</v>
      </c>
      <c r="B19" s="11"/>
      <c r="C19" s="11">
        <v>186000</v>
      </c>
      <c r="D19" s="11">
        <v>209000</v>
      </c>
      <c r="E19" s="11">
        <v>0</v>
      </c>
      <c r="F19" s="11">
        <f t="shared" si="0"/>
        <v>23000</v>
      </c>
      <c r="G19" s="17">
        <f t="shared" si="3"/>
        <v>40.090000000000003</v>
      </c>
      <c r="H19" s="17">
        <f t="shared" si="4"/>
        <v>21.8</v>
      </c>
      <c r="I19" s="17">
        <f t="shared" si="5"/>
        <v>7.59</v>
      </c>
      <c r="J19" s="18">
        <f t="shared" si="6"/>
        <v>0</v>
      </c>
      <c r="K19" s="18">
        <f t="shared" si="7"/>
        <v>0</v>
      </c>
      <c r="L19" s="18">
        <f t="shared" si="1"/>
        <v>69.48</v>
      </c>
      <c r="M19" s="18">
        <f t="shared" si="8"/>
        <v>0</v>
      </c>
      <c r="N19" s="18">
        <f t="shared" si="2"/>
        <v>69.48</v>
      </c>
      <c r="O19" s="8"/>
    </row>
    <row r="20" spans="1:15">
      <c r="A20" s="1" t="s">
        <v>10</v>
      </c>
      <c r="B20" s="11"/>
      <c r="C20" s="11">
        <v>1513000</v>
      </c>
      <c r="D20" s="11">
        <v>1521000</v>
      </c>
      <c r="E20" s="11">
        <v>0</v>
      </c>
      <c r="F20" s="11">
        <f t="shared" si="0"/>
        <v>8000</v>
      </c>
      <c r="G20" s="17">
        <f t="shared" si="3"/>
        <v>40.090000000000003</v>
      </c>
      <c r="H20" s="17">
        <f t="shared" si="4"/>
        <v>0</v>
      </c>
      <c r="I20" s="17">
        <f t="shared" si="5"/>
        <v>0</v>
      </c>
      <c r="J20" s="18">
        <f t="shared" si="6"/>
        <v>0</v>
      </c>
      <c r="K20" s="18">
        <f t="shared" si="7"/>
        <v>0</v>
      </c>
      <c r="L20" s="18">
        <f t="shared" si="1"/>
        <v>40.090000000000003</v>
      </c>
      <c r="M20" s="18">
        <f t="shared" si="8"/>
        <v>0</v>
      </c>
      <c r="N20" s="18">
        <f t="shared" si="2"/>
        <v>40.090000000000003</v>
      </c>
      <c r="O20" s="8"/>
    </row>
    <row r="21" spans="1:15">
      <c r="A21" s="1" t="s">
        <v>11</v>
      </c>
      <c r="B21" s="11"/>
      <c r="C21" s="11">
        <v>1957000</v>
      </c>
      <c r="D21" s="11">
        <v>1970000</v>
      </c>
      <c r="E21" s="11">
        <v>0</v>
      </c>
      <c r="F21" s="11">
        <f t="shared" si="0"/>
        <v>13000</v>
      </c>
      <c r="G21" s="17">
        <f t="shared" si="3"/>
        <v>40.090000000000003</v>
      </c>
      <c r="H21" s="17">
        <f t="shared" si="4"/>
        <v>6.5400000000000009</v>
      </c>
      <c r="I21" s="17">
        <f t="shared" si="5"/>
        <v>0</v>
      </c>
      <c r="J21" s="18">
        <f t="shared" si="6"/>
        <v>0</v>
      </c>
      <c r="K21" s="18">
        <f t="shared" si="7"/>
        <v>0</v>
      </c>
      <c r="L21" s="18">
        <f t="shared" si="1"/>
        <v>46.63</v>
      </c>
      <c r="M21" s="18">
        <f t="shared" si="8"/>
        <v>0</v>
      </c>
      <c r="N21" s="18">
        <f t="shared" si="2"/>
        <v>46.63</v>
      </c>
      <c r="O21" s="8"/>
    </row>
    <row r="22" spans="1:15">
      <c r="A22" s="1" t="s">
        <v>12</v>
      </c>
      <c r="B22" s="11"/>
      <c r="C22" s="11">
        <v>2191000</v>
      </c>
      <c r="D22" s="11">
        <v>2218000</v>
      </c>
      <c r="E22" s="11">
        <v>0</v>
      </c>
      <c r="F22" s="11">
        <f t="shared" si="0"/>
        <v>27000</v>
      </c>
      <c r="G22" s="17">
        <f t="shared" si="3"/>
        <v>40.090000000000003</v>
      </c>
      <c r="H22" s="17">
        <f t="shared" si="4"/>
        <v>21.8</v>
      </c>
      <c r="I22" s="17">
        <f t="shared" si="5"/>
        <v>17.709999999999997</v>
      </c>
      <c r="J22" s="18">
        <f t="shared" si="6"/>
        <v>0</v>
      </c>
      <c r="K22" s="18">
        <f t="shared" si="7"/>
        <v>0</v>
      </c>
      <c r="L22" s="18">
        <f t="shared" si="1"/>
        <v>79.599999999999994</v>
      </c>
      <c r="M22" s="18">
        <f t="shared" si="8"/>
        <v>0</v>
      </c>
      <c r="N22" s="18">
        <f t="shared" si="2"/>
        <v>79.599999999999994</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6402000</v>
      </c>
      <c r="D24" s="11">
        <v>6407000</v>
      </c>
      <c r="E24" s="11">
        <v>0</v>
      </c>
      <c r="F24" s="11">
        <f t="shared" si="0"/>
        <v>5000</v>
      </c>
      <c r="G24" s="17">
        <f t="shared" si="3"/>
        <v>40.090000000000003</v>
      </c>
      <c r="H24" s="17">
        <f t="shared" si="4"/>
        <v>0</v>
      </c>
      <c r="I24" s="17">
        <f t="shared" si="5"/>
        <v>0</v>
      </c>
      <c r="J24" s="18">
        <f t="shared" si="6"/>
        <v>0</v>
      </c>
      <c r="K24" s="18">
        <f t="shared" si="7"/>
        <v>0</v>
      </c>
      <c r="L24" s="18">
        <f t="shared" si="1"/>
        <v>40.090000000000003</v>
      </c>
      <c r="M24" s="18">
        <f t="shared" si="8"/>
        <v>0</v>
      </c>
      <c r="N24" s="18">
        <f t="shared" si="2"/>
        <v>40.090000000000003</v>
      </c>
      <c r="O24" s="8"/>
    </row>
    <row r="25" spans="1:15">
      <c r="A25" s="1" t="s">
        <v>15</v>
      </c>
      <c r="B25" s="11"/>
      <c r="C25" s="11">
        <v>2653000</v>
      </c>
      <c r="D25" s="11">
        <v>2664000</v>
      </c>
      <c r="E25" s="11">
        <v>0</v>
      </c>
      <c r="F25" s="11">
        <f t="shared" si="0"/>
        <v>11000</v>
      </c>
      <c r="G25" s="17">
        <f t="shared" si="3"/>
        <v>40.090000000000003</v>
      </c>
      <c r="H25" s="17">
        <f t="shared" si="4"/>
        <v>2.1800000000000002</v>
      </c>
      <c r="I25" s="17">
        <f t="shared" si="5"/>
        <v>0</v>
      </c>
      <c r="J25" s="18">
        <f t="shared" si="6"/>
        <v>0</v>
      </c>
      <c r="K25" s="18">
        <f t="shared" si="7"/>
        <v>0</v>
      </c>
      <c r="L25" s="18">
        <f t="shared" si="1"/>
        <v>42.27</v>
      </c>
      <c r="M25" s="18">
        <f t="shared" si="8"/>
        <v>0</v>
      </c>
      <c r="N25" s="18">
        <f t="shared" si="2"/>
        <v>42.27</v>
      </c>
      <c r="O25" s="8"/>
    </row>
    <row r="26" spans="1:15">
      <c r="A26" s="1" t="s">
        <v>16</v>
      </c>
      <c r="B26" s="11"/>
      <c r="C26" s="11">
        <v>1582000</v>
      </c>
      <c r="D26" s="11">
        <v>1583000</v>
      </c>
      <c r="E26" s="11">
        <v>0</v>
      </c>
      <c r="F26" s="11">
        <f t="shared" si="0"/>
        <v>1000</v>
      </c>
      <c r="G26" s="17">
        <f t="shared" si="3"/>
        <v>40.090000000000003</v>
      </c>
      <c r="H26" s="17">
        <f t="shared" si="4"/>
        <v>0</v>
      </c>
      <c r="I26" s="17">
        <f t="shared" si="5"/>
        <v>0</v>
      </c>
      <c r="J26" s="18">
        <f t="shared" si="6"/>
        <v>0</v>
      </c>
      <c r="K26" s="18">
        <f t="shared" si="7"/>
        <v>0</v>
      </c>
      <c r="L26" s="18">
        <f t="shared" si="1"/>
        <v>40.090000000000003</v>
      </c>
      <c r="M26" s="18">
        <f t="shared" si="8"/>
        <v>0</v>
      </c>
      <c r="N26" s="18">
        <f t="shared" si="2"/>
        <v>40.090000000000003</v>
      </c>
      <c r="O26" s="8"/>
    </row>
    <row r="27" spans="1:15">
      <c r="A27" s="1" t="s">
        <v>17</v>
      </c>
      <c r="B27" s="11"/>
      <c r="C27" s="11">
        <v>1161000</v>
      </c>
      <c r="D27" s="11">
        <v>1167000</v>
      </c>
      <c r="E27" s="11">
        <v>0</v>
      </c>
      <c r="F27" s="11">
        <f t="shared" si="0"/>
        <v>6000</v>
      </c>
      <c r="G27" s="17">
        <f t="shared" si="3"/>
        <v>40.090000000000003</v>
      </c>
      <c r="H27" s="17">
        <f t="shared" si="4"/>
        <v>0</v>
      </c>
      <c r="I27" s="17">
        <f t="shared" si="5"/>
        <v>0</v>
      </c>
      <c r="J27" s="18">
        <f t="shared" si="6"/>
        <v>0</v>
      </c>
      <c r="K27" s="18">
        <f t="shared" si="7"/>
        <v>0</v>
      </c>
      <c r="L27" s="18">
        <f t="shared" si="1"/>
        <v>40.090000000000003</v>
      </c>
      <c r="M27" s="18">
        <f t="shared" si="8"/>
        <v>0</v>
      </c>
      <c r="N27" s="18">
        <f t="shared" si="2"/>
        <v>40.090000000000003</v>
      </c>
      <c r="O27" s="8"/>
    </row>
    <row r="28" spans="1:15">
      <c r="A28" s="1" t="s">
        <v>18</v>
      </c>
      <c r="B28" s="11"/>
      <c r="C28" s="11">
        <v>4025000</v>
      </c>
      <c r="D28" s="11">
        <v>4032000</v>
      </c>
      <c r="E28" s="11">
        <v>0</v>
      </c>
      <c r="F28" s="11">
        <f t="shared" si="0"/>
        <v>7000</v>
      </c>
      <c r="G28" s="17">
        <f t="shared" si="3"/>
        <v>40.090000000000003</v>
      </c>
      <c r="H28" s="17">
        <f t="shared" si="4"/>
        <v>0</v>
      </c>
      <c r="I28" s="17">
        <f t="shared" si="5"/>
        <v>0</v>
      </c>
      <c r="J28" s="18">
        <f t="shared" si="6"/>
        <v>0</v>
      </c>
      <c r="K28" s="18">
        <f t="shared" si="7"/>
        <v>0</v>
      </c>
      <c r="L28" s="18">
        <f t="shared" si="1"/>
        <v>40.090000000000003</v>
      </c>
      <c r="M28" s="18">
        <f t="shared" si="8"/>
        <v>0</v>
      </c>
      <c r="N28" s="18">
        <f t="shared" si="2"/>
        <v>40.090000000000003</v>
      </c>
      <c r="O28" s="8"/>
    </row>
    <row r="29" spans="1:15">
      <c r="A29" s="1" t="s">
        <v>19</v>
      </c>
      <c r="B29" s="11"/>
      <c r="C29" s="11">
        <v>1161000</v>
      </c>
      <c r="D29" s="11">
        <v>1165000</v>
      </c>
      <c r="E29" s="11">
        <v>0</v>
      </c>
      <c r="F29" s="11">
        <f t="shared" si="0"/>
        <v>4000</v>
      </c>
      <c r="G29" s="17">
        <f t="shared" si="3"/>
        <v>40.090000000000003</v>
      </c>
      <c r="H29" s="17">
        <f t="shared" si="4"/>
        <v>0</v>
      </c>
      <c r="I29" s="17">
        <f t="shared" si="5"/>
        <v>0</v>
      </c>
      <c r="J29" s="18">
        <f t="shared" si="6"/>
        <v>0</v>
      </c>
      <c r="K29" s="18">
        <f t="shared" si="7"/>
        <v>0</v>
      </c>
      <c r="L29" s="18">
        <f t="shared" si="1"/>
        <v>40.090000000000003</v>
      </c>
      <c r="M29" s="18">
        <f t="shared" si="8"/>
        <v>0</v>
      </c>
      <c r="N29" s="18">
        <f t="shared" si="2"/>
        <v>40.090000000000003</v>
      </c>
      <c r="O29" s="8"/>
    </row>
    <row r="30" spans="1:15">
      <c r="A30" s="1" t="s">
        <v>20</v>
      </c>
      <c r="B30" s="11"/>
      <c r="C30" s="11">
        <v>2214000</v>
      </c>
      <c r="D30" s="11">
        <v>2216000</v>
      </c>
      <c r="E30" s="11">
        <v>0</v>
      </c>
      <c r="F30" s="11">
        <f t="shared" si="0"/>
        <v>2000</v>
      </c>
      <c r="G30" s="17">
        <f t="shared" si="3"/>
        <v>40.090000000000003</v>
      </c>
      <c r="H30" s="17">
        <f t="shared" si="4"/>
        <v>0</v>
      </c>
      <c r="I30" s="17">
        <f t="shared" si="5"/>
        <v>0</v>
      </c>
      <c r="J30" s="18">
        <f t="shared" si="6"/>
        <v>0</v>
      </c>
      <c r="K30" s="18">
        <f t="shared" si="7"/>
        <v>0</v>
      </c>
      <c r="L30" s="18">
        <f t="shared" si="1"/>
        <v>40.090000000000003</v>
      </c>
      <c r="M30" s="18">
        <f t="shared" si="8"/>
        <v>0</v>
      </c>
      <c r="N30" s="18">
        <f t="shared" si="2"/>
        <v>40.090000000000003</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613000</v>
      </c>
      <c r="D32" s="11">
        <v>625000</v>
      </c>
      <c r="E32" s="11">
        <v>0</v>
      </c>
      <c r="F32" s="11">
        <f t="shared" si="0"/>
        <v>12000</v>
      </c>
      <c r="G32" s="17">
        <f t="shared" si="3"/>
        <v>40.090000000000003</v>
      </c>
      <c r="H32" s="17">
        <f t="shared" si="4"/>
        <v>4.3600000000000003</v>
      </c>
      <c r="I32" s="17">
        <f t="shared" si="5"/>
        <v>0</v>
      </c>
      <c r="J32" s="18">
        <f t="shared" si="6"/>
        <v>0</v>
      </c>
      <c r="K32" s="18">
        <f t="shared" si="7"/>
        <v>0</v>
      </c>
      <c r="L32" s="18">
        <f t="shared" si="1"/>
        <v>44.45</v>
      </c>
      <c r="M32" s="18">
        <f t="shared" si="8"/>
        <v>0</v>
      </c>
      <c r="N32" s="18">
        <f t="shared" si="2"/>
        <v>44.45</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2368000</v>
      </c>
      <c r="D35" s="11">
        <v>2386000</v>
      </c>
      <c r="E35" s="11">
        <v>0</v>
      </c>
      <c r="F35" s="11">
        <f t="shared" si="0"/>
        <v>18000</v>
      </c>
      <c r="G35" s="17">
        <f t="shared" si="3"/>
        <v>40.090000000000003</v>
      </c>
      <c r="H35" s="17">
        <f t="shared" si="4"/>
        <v>17.440000000000001</v>
      </c>
      <c r="I35" s="17">
        <f t="shared" si="5"/>
        <v>0</v>
      </c>
      <c r="J35" s="18">
        <f t="shared" si="6"/>
        <v>0</v>
      </c>
      <c r="K35" s="18">
        <f t="shared" si="7"/>
        <v>0</v>
      </c>
      <c r="L35" s="18">
        <f t="shared" si="1"/>
        <v>57.53</v>
      </c>
      <c r="M35" s="18">
        <f t="shared" si="8"/>
        <v>0</v>
      </c>
      <c r="N35" s="18">
        <f t="shared" si="2"/>
        <v>57.53</v>
      </c>
      <c r="O35" s="8"/>
    </row>
    <row r="36" spans="1:15">
      <c r="A36" s="1" t="s">
        <v>26</v>
      </c>
      <c r="B36" s="11"/>
      <c r="C36" s="11">
        <v>356000</v>
      </c>
      <c r="D36" s="11">
        <v>364000</v>
      </c>
      <c r="E36" s="11">
        <v>0</v>
      </c>
      <c r="F36" s="11">
        <f t="shared" si="0"/>
        <v>8000</v>
      </c>
      <c r="G36" s="17">
        <f t="shared" si="3"/>
        <v>40.090000000000003</v>
      </c>
      <c r="H36" s="17">
        <f t="shared" si="4"/>
        <v>0</v>
      </c>
      <c r="I36" s="17">
        <f t="shared" si="5"/>
        <v>0</v>
      </c>
      <c r="J36" s="18">
        <f t="shared" si="6"/>
        <v>0</v>
      </c>
      <c r="K36" s="18">
        <f t="shared" si="7"/>
        <v>0</v>
      </c>
      <c r="L36" s="18">
        <f t="shared" si="1"/>
        <v>40.090000000000003</v>
      </c>
      <c r="M36" s="18">
        <f t="shared" si="8"/>
        <v>0</v>
      </c>
      <c r="N36" s="18">
        <f t="shared" si="2"/>
        <v>40.090000000000003</v>
      </c>
      <c r="O36" s="8"/>
    </row>
    <row r="37" spans="1:15">
      <c r="A37" s="1" t="s">
        <v>27</v>
      </c>
      <c r="B37" s="11"/>
      <c r="C37" s="11">
        <v>2127000</v>
      </c>
      <c r="D37" s="11">
        <v>2131000</v>
      </c>
      <c r="E37" s="11">
        <v>0</v>
      </c>
      <c r="F37" s="11">
        <f t="shared" si="0"/>
        <v>4000</v>
      </c>
      <c r="G37" s="17">
        <f t="shared" si="3"/>
        <v>40.090000000000003</v>
      </c>
      <c r="H37" s="17">
        <f t="shared" si="4"/>
        <v>0</v>
      </c>
      <c r="I37" s="17">
        <f t="shared" si="5"/>
        <v>0</v>
      </c>
      <c r="J37" s="18">
        <f t="shared" si="6"/>
        <v>0</v>
      </c>
      <c r="K37" s="18">
        <f t="shared" si="7"/>
        <v>0</v>
      </c>
      <c r="L37" s="18">
        <f t="shared" si="1"/>
        <v>40.090000000000003</v>
      </c>
      <c r="M37" s="18">
        <f t="shared" si="8"/>
        <v>0</v>
      </c>
      <c r="N37" s="18">
        <f t="shared" si="2"/>
        <v>40.090000000000003</v>
      </c>
      <c r="O37" s="8"/>
    </row>
    <row r="38" spans="1:15">
      <c r="A38" s="1" t="s">
        <v>28</v>
      </c>
      <c r="B38" s="11"/>
      <c r="C38" s="11">
        <v>1339000</v>
      </c>
      <c r="D38" s="11">
        <v>1347000</v>
      </c>
      <c r="E38" s="11">
        <v>0</v>
      </c>
      <c r="F38" s="11">
        <f t="shared" si="0"/>
        <v>8000</v>
      </c>
      <c r="G38" s="17">
        <f t="shared" si="3"/>
        <v>40.090000000000003</v>
      </c>
      <c r="H38" s="17">
        <f t="shared" si="4"/>
        <v>0</v>
      </c>
      <c r="I38" s="17">
        <f t="shared" si="5"/>
        <v>0</v>
      </c>
      <c r="J38" s="18">
        <f t="shared" si="6"/>
        <v>0</v>
      </c>
      <c r="K38" s="18">
        <f t="shared" si="7"/>
        <v>0</v>
      </c>
      <c r="L38" s="18">
        <f t="shared" si="1"/>
        <v>40.090000000000003</v>
      </c>
      <c r="M38" s="18">
        <f t="shared" si="8"/>
        <v>0</v>
      </c>
      <c r="N38" s="18">
        <f t="shared" si="2"/>
        <v>40.090000000000003</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513000</v>
      </c>
      <c r="D41" s="11">
        <v>516000</v>
      </c>
      <c r="E41" s="11">
        <v>0</v>
      </c>
      <c r="F41" s="11">
        <f t="shared" si="0"/>
        <v>3000</v>
      </c>
      <c r="G41" s="17">
        <f t="shared" si="3"/>
        <v>40.090000000000003</v>
      </c>
      <c r="H41" s="17">
        <f t="shared" si="4"/>
        <v>0</v>
      </c>
      <c r="I41" s="17">
        <f t="shared" si="5"/>
        <v>0</v>
      </c>
      <c r="J41" s="18">
        <f t="shared" si="6"/>
        <v>0</v>
      </c>
      <c r="K41" s="18">
        <f t="shared" si="7"/>
        <v>0</v>
      </c>
      <c r="L41" s="18">
        <f t="shared" si="1"/>
        <v>40.090000000000003</v>
      </c>
      <c r="M41" s="18">
        <f t="shared" si="8"/>
        <v>0</v>
      </c>
      <c r="N41" s="18">
        <f t="shared" si="2"/>
        <v>40.090000000000003</v>
      </c>
      <c r="O41" s="8"/>
    </row>
    <row r="42" spans="1:15">
      <c r="A42" s="1" t="s">
        <v>32</v>
      </c>
      <c r="B42" s="11"/>
      <c r="C42" s="11">
        <v>3873000</v>
      </c>
      <c r="D42" s="11">
        <v>3876000</v>
      </c>
      <c r="E42" s="11">
        <v>0</v>
      </c>
      <c r="F42" s="11">
        <f t="shared" si="0"/>
        <v>3000</v>
      </c>
      <c r="G42" s="17">
        <f t="shared" si="3"/>
        <v>40.090000000000003</v>
      </c>
      <c r="H42" s="17">
        <f t="shared" si="4"/>
        <v>0</v>
      </c>
      <c r="I42" s="17">
        <f t="shared" si="5"/>
        <v>0</v>
      </c>
      <c r="J42" s="18">
        <f t="shared" si="6"/>
        <v>0</v>
      </c>
      <c r="K42" s="18">
        <f t="shared" si="7"/>
        <v>0</v>
      </c>
      <c r="L42" s="18">
        <f t="shared" si="1"/>
        <v>40.090000000000003</v>
      </c>
      <c r="M42" s="18">
        <f t="shared" si="8"/>
        <v>0</v>
      </c>
      <c r="N42" s="18">
        <f t="shared" si="2"/>
        <v>40.090000000000003</v>
      </c>
      <c r="O42" s="8"/>
    </row>
    <row r="43" spans="1:15">
      <c r="A43" s="1" t="s">
        <v>33</v>
      </c>
      <c r="B43" s="11"/>
      <c r="C43" s="11">
        <v>1178000</v>
      </c>
      <c r="D43" s="11">
        <v>1182000</v>
      </c>
      <c r="E43" s="11">
        <v>0</v>
      </c>
      <c r="F43" s="11">
        <f t="shared" si="0"/>
        <v>4000</v>
      </c>
      <c r="G43" s="17">
        <f t="shared" si="3"/>
        <v>40.090000000000003</v>
      </c>
      <c r="H43" s="17">
        <f t="shared" si="4"/>
        <v>0</v>
      </c>
      <c r="I43" s="17">
        <f t="shared" si="5"/>
        <v>0</v>
      </c>
      <c r="J43" s="18">
        <f t="shared" si="6"/>
        <v>0</v>
      </c>
      <c r="K43" s="18">
        <f t="shared" si="7"/>
        <v>0</v>
      </c>
      <c r="L43" s="18">
        <f t="shared" si="1"/>
        <v>40.090000000000003</v>
      </c>
      <c r="M43" s="18">
        <f t="shared" si="8"/>
        <v>0</v>
      </c>
      <c r="N43" s="18">
        <f t="shared" si="2"/>
        <v>40.090000000000003</v>
      </c>
      <c r="O43" s="8"/>
    </row>
    <row r="44" spans="1:15">
      <c r="A44" s="14" t="s">
        <v>34</v>
      </c>
      <c r="B44" s="15"/>
      <c r="C44" s="15">
        <v>203000</v>
      </c>
      <c r="D44" s="15">
        <v>214000</v>
      </c>
      <c r="E44" s="15">
        <v>0</v>
      </c>
      <c r="F44" s="15">
        <f t="shared" si="0"/>
        <v>11000</v>
      </c>
      <c r="G44" s="19">
        <f t="shared" si="3"/>
        <v>40.090000000000003</v>
      </c>
      <c r="H44" s="19">
        <f t="shared" si="4"/>
        <v>2.1800000000000002</v>
      </c>
      <c r="I44" s="19">
        <f t="shared" si="5"/>
        <v>0</v>
      </c>
      <c r="J44" s="20">
        <f t="shared" si="6"/>
        <v>0</v>
      </c>
      <c r="K44" s="20">
        <f t="shared" si="7"/>
        <v>0</v>
      </c>
      <c r="L44" s="20">
        <f t="shared" si="1"/>
        <v>42.27</v>
      </c>
      <c r="M44" s="20">
        <f t="shared" si="8"/>
        <v>0</v>
      </c>
      <c r="N44" s="20">
        <f t="shared" si="2"/>
        <v>42.27</v>
      </c>
      <c r="O44" s="16" t="s">
        <v>178</v>
      </c>
    </row>
    <row r="45" spans="1:15">
      <c r="A45" s="1" t="s">
        <v>35</v>
      </c>
      <c r="B45" s="11"/>
      <c r="C45" s="11">
        <v>1501000</v>
      </c>
      <c r="D45" s="11">
        <v>1518000</v>
      </c>
      <c r="E45" s="11">
        <v>0</v>
      </c>
      <c r="F45" s="11">
        <f t="shared" si="0"/>
        <v>17000</v>
      </c>
      <c r="G45" s="17">
        <f t="shared" si="3"/>
        <v>40.090000000000003</v>
      </c>
      <c r="H45" s="17">
        <f t="shared" si="4"/>
        <v>15.260000000000002</v>
      </c>
      <c r="I45" s="17">
        <f t="shared" si="5"/>
        <v>0</v>
      </c>
      <c r="J45" s="18">
        <f t="shared" si="6"/>
        <v>0</v>
      </c>
      <c r="K45" s="18">
        <f t="shared" si="7"/>
        <v>0</v>
      </c>
      <c r="L45" s="18">
        <f t="shared" si="1"/>
        <v>55.350000000000009</v>
      </c>
      <c r="M45" s="18">
        <f t="shared" si="8"/>
        <v>0</v>
      </c>
      <c r="N45" s="18">
        <f t="shared" si="2"/>
        <v>55.350000000000009</v>
      </c>
      <c r="O45" s="8"/>
    </row>
    <row r="46" spans="1:15">
      <c r="A46" s="1" t="s">
        <v>36</v>
      </c>
      <c r="B46" s="11"/>
      <c r="C46" s="11">
        <v>1592000</v>
      </c>
      <c r="D46" s="11">
        <v>1594000</v>
      </c>
      <c r="E46" s="11">
        <v>0</v>
      </c>
      <c r="F46" s="11">
        <f t="shared" si="0"/>
        <v>2000</v>
      </c>
      <c r="G46" s="17">
        <f t="shared" si="3"/>
        <v>40.090000000000003</v>
      </c>
      <c r="H46" s="17">
        <f t="shared" si="4"/>
        <v>0</v>
      </c>
      <c r="I46" s="17">
        <f t="shared" si="5"/>
        <v>0</v>
      </c>
      <c r="J46" s="18">
        <f t="shared" si="6"/>
        <v>0</v>
      </c>
      <c r="K46" s="18">
        <f t="shared" si="7"/>
        <v>0</v>
      </c>
      <c r="L46" s="18">
        <f t="shared" si="1"/>
        <v>40.090000000000003</v>
      </c>
      <c r="M46" s="18">
        <f t="shared" si="8"/>
        <v>0</v>
      </c>
      <c r="N46" s="18">
        <f t="shared" si="2"/>
        <v>40.090000000000003</v>
      </c>
      <c r="O46" s="8"/>
    </row>
    <row r="47" spans="1:15">
      <c r="A47" s="1" t="s">
        <v>37</v>
      </c>
      <c r="B47" s="11"/>
      <c r="C47" s="11">
        <v>1874000</v>
      </c>
      <c r="D47" s="11">
        <v>1889000</v>
      </c>
      <c r="E47" s="11">
        <v>0</v>
      </c>
      <c r="F47" s="11">
        <f t="shared" si="0"/>
        <v>15000</v>
      </c>
      <c r="G47" s="17">
        <f t="shared" si="3"/>
        <v>40.090000000000003</v>
      </c>
      <c r="H47" s="17">
        <f t="shared" si="4"/>
        <v>10.9</v>
      </c>
      <c r="I47" s="17">
        <f t="shared" si="5"/>
        <v>0</v>
      </c>
      <c r="J47" s="18">
        <f t="shared" si="6"/>
        <v>0</v>
      </c>
      <c r="K47" s="18">
        <f t="shared" si="7"/>
        <v>0</v>
      </c>
      <c r="L47" s="18">
        <f t="shared" si="1"/>
        <v>50.99</v>
      </c>
      <c r="M47" s="18">
        <f t="shared" si="8"/>
        <v>0</v>
      </c>
      <c r="N47" s="18">
        <f t="shared" si="2"/>
        <v>50.99</v>
      </c>
      <c r="O47" s="8"/>
    </row>
    <row r="48" spans="1:15">
      <c r="A48" s="1" t="s">
        <v>38</v>
      </c>
      <c r="B48" s="11"/>
      <c r="C48" s="11">
        <v>1687000</v>
      </c>
      <c r="D48" s="11">
        <v>1695000</v>
      </c>
      <c r="E48" s="11">
        <v>0</v>
      </c>
      <c r="F48" s="11">
        <f t="shared" si="0"/>
        <v>8000</v>
      </c>
      <c r="G48" s="17">
        <f t="shared" si="3"/>
        <v>40.090000000000003</v>
      </c>
      <c r="H48" s="17">
        <f t="shared" si="4"/>
        <v>0</v>
      </c>
      <c r="I48" s="17">
        <f t="shared" si="5"/>
        <v>0</v>
      </c>
      <c r="J48" s="18">
        <f t="shared" si="6"/>
        <v>0</v>
      </c>
      <c r="K48" s="18">
        <f t="shared" si="7"/>
        <v>0</v>
      </c>
      <c r="L48" s="18">
        <f t="shared" si="1"/>
        <v>40.090000000000003</v>
      </c>
      <c r="M48" s="18">
        <f t="shared" si="8"/>
        <v>0</v>
      </c>
      <c r="N48" s="18">
        <f t="shared" si="2"/>
        <v>40.090000000000003</v>
      </c>
      <c r="O48" s="8"/>
    </row>
    <row r="49" spans="1:15">
      <c r="A49" s="1" t="s">
        <v>39</v>
      </c>
      <c r="B49" s="11" t="s">
        <v>138</v>
      </c>
      <c r="C49" s="11">
        <v>0</v>
      </c>
      <c r="D49" s="11">
        <v>0</v>
      </c>
      <c r="E49" s="11">
        <v>0</v>
      </c>
      <c r="F49" s="11">
        <f t="shared" si="0"/>
        <v>0</v>
      </c>
      <c r="G49" s="17">
        <f t="shared" si="3"/>
        <v>11.79</v>
      </c>
      <c r="H49" s="17">
        <f t="shared" si="4"/>
        <v>0</v>
      </c>
      <c r="I49" s="17">
        <f t="shared" si="5"/>
        <v>0</v>
      </c>
      <c r="J49" s="18">
        <f t="shared" si="6"/>
        <v>0</v>
      </c>
      <c r="K49" s="18">
        <f t="shared" si="7"/>
        <v>0</v>
      </c>
      <c r="L49" s="18">
        <f t="shared" si="1"/>
        <v>11.79</v>
      </c>
      <c r="M49" s="18">
        <f t="shared" ref="M49:M80" si="9">IF(   $H$5=1,    IF((F49-$H$6)&gt;0,((F49-$H$6)/$N$7)*$E$8,0),   IF(F49&gt;0,(F49/$N$4)*$E$8,0)    )</f>
        <v>0</v>
      </c>
      <c r="N49" s="18">
        <f t="shared" si="2"/>
        <v>11.79</v>
      </c>
      <c r="O49" s="8"/>
    </row>
    <row r="50" spans="1:15">
      <c r="A50" s="1" t="s">
        <v>40</v>
      </c>
      <c r="B50" s="11" t="s">
        <v>138</v>
      </c>
      <c r="C50" s="11">
        <v>0</v>
      </c>
      <c r="D50" s="11">
        <v>0</v>
      </c>
      <c r="E50" s="11">
        <v>0</v>
      </c>
      <c r="F50" s="11">
        <f t="shared" si="0"/>
        <v>0</v>
      </c>
      <c r="G50" s="17">
        <f t="shared" si="3"/>
        <v>11.79</v>
      </c>
      <c r="H50" s="17">
        <f t="shared" si="4"/>
        <v>0</v>
      </c>
      <c r="I50" s="17">
        <f t="shared" si="5"/>
        <v>0</v>
      </c>
      <c r="J50" s="18">
        <f t="shared" si="6"/>
        <v>0</v>
      </c>
      <c r="K50" s="18">
        <f t="shared" si="7"/>
        <v>0</v>
      </c>
      <c r="L50" s="18">
        <f t="shared" si="1"/>
        <v>11.79</v>
      </c>
      <c r="M50" s="18">
        <f t="shared" si="9"/>
        <v>0</v>
      </c>
      <c r="N50" s="18">
        <f t="shared" si="2"/>
        <v>11.79</v>
      </c>
      <c r="O50" s="8"/>
    </row>
    <row r="51" spans="1:15">
      <c r="A51" s="1" t="s">
        <v>41</v>
      </c>
      <c r="B51" s="11" t="s">
        <v>138</v>
      </c>
      <c r="C51" s="11">
        <v>0</v>
      </c>
      <c r="D51" s="11">
        <v>0</v>
      </c>
      <c r="E51" s="11">
        <v>0</v>
      </c>
      <c r="F51" s="11">
        <f t="shared" si="0"/>
        <v>0</v>
      </c>
      <c r="G51" s="17">
        <f t="shared" si="3"/>
        <v>11.79</v>
      </c>
      <c r="H51" s="17">
        <f t="shared" si="4"/>
        <v>0</v>
      </c>
      <c r="I51" s="17">
        <f t="shared" si="5"/>
        <v>0</v>
      </c>
      <c r="J51" s="18">
        <f t="shared" si="6"/>
        <v>0</v>
      </c>
      <c r="K51" s="18">
        <f t="shared" si="7"/>
        <v>0</v>
      </c>
      <c r="L51" s="18">
        <f t="shared" si="1"/>
        <v>11.79</v>
      </c>
      <c r="M51" s="18">
        <f t="shared" si="9"/>
        <v>0</v>
      </c>
      <c r="N51" s="18">
        <f t="shared" si="2"/>
        <v>11.79</v>
      </c>
      <c r="O51" s="8"/>
    </row>
    <row r="52" spans="1:15">
      <c r="A52" s="1" t="s">
        <v>42</v>
      </c>
      <c r="B52" s="11"/>
      <c r="C52" s="11">
        <v>3070000</v>
      </c>
      <c r="D52" s="11">
        <v>3071000</v>
      </c>
      <c r="E52" s="11">
        <v>0</v>
      </c>
      <c r="F52" s="11">
        <f t="shared" si="0"/>
        <v>1000</v>
      </c>
      <c r="G52" s="17">
        <f t="shared" si="3"/>
        <v>40.090000000000003</v>
      </c>
      <c r="H52" s="17">
        <f t="shared" si="4"/>
        <v>0</v>
      </c>
      <c r="I52" s="17">
        <f t="shared" si="5"/>
        <v>0</v>
      </c>
      <c r="J52" s="18">
        <f t="shared" si="6"/>
        <v>0</v>
      </c>
      <c r="K52" s="18">
        <f t="shared" si="7"/>
        <v>0</v>
      </c>
      <c r="L52" s="18">
        <f t="shared" si="1"/>
        <v>40.090000000000003</v>
      </c>
      <c r="M52" s="18">
        <f t="shared" si="9"/>
        <v>0</v>
      </c>
      <c r="N52" s="18">
        <f t="shared" si="2"/>
        <v>40.090000000000003</v>
      </c>
      <c r="O52" s="8"/>
    </row>
    <row r="53" spans="1:15">
      <c r="A53" s="1" t="s">
        <v>43</v>
      </c>
      <c r="B53" s="11"/>
      <c r="C53" s="11">
        <v>3244000</v>
      </c>
      <c r="D53" s="11">
        <v>3250000</v>
      </c>
      <c r="E53" s="11">
        <v>0</v>
      </c>
      <c r="F53" s="11">
        <f t="shared" si="0"/>
        <v>6000</v>
      </c>
      <c r="G53" s="17">
        <f t="shared" si="3"/>
        <v>40.090000000000003</v>
      </c>
      <c r="H53" s="17">
        <f t="shared" si="4"/>
        <v>0</v>
      </c>
      <c r="I53" s="17">
        <f t="shared" si="5"/>
        <v>0</v>
      </c>
      <c r="J53" s="18">
        <f t="shared" si="6"/>
        <v>0</v>
      </c>
      <c r="K53" s="18">
        <f t="shared" si="7"/>
        <v>0</v>
      </c>
      <c r="L53" s="18">
        <f t="shared" si="1"/>
        <v>40.090000000000003</v>
      </c>
      <c r="M53" s="18">
        <f t="shared" si="9"/>
        <v>0</v>
      </c>
      <c r="N53" s="18">
        <f t="shared" si="2"/>
        <v>40.090000000000003</v>
      </c>
      <c r="O53" s="8"/>
    </row>
    <row r="54" spans="1:15">
      <c r="A54" s="1" t="s">
        <v>44</v>
      </c>
      <c r="B54" s="11"/>
      <c r="C54" s="11">
        <v>4051000</v>
      </c>
      <c r="D54" s="11">
        <v>4058000</v>
      </c>
      <c r="E54" s="11">
        <v>0</v>
      </c>
      <c r="F54" s="11">
        <f t="shared" si="0"/>
        <v>7000</v>
      </c>
      <c r="G54" s="17">
        <f t="shared" si="3"/>
        <v>40.090000000000003</v>
      </c>
      <c r="H54" s="17">
        <f t="shared" si="4"/>
        <v>0</v>
      </c>
      <c r="I54" s="17">
        <f t="shared" si="5"/>
        <v>0</v>
      </c>
      <c r="J54" s="18">
        <f t="shared" si="6"/>
        <v>0</v>
      </c>
      <c r="K54" s="18">
        <f t="shared" si="7"/>
        <v>0</v>
      </c>
      <c r="L54" s="18">
        <f t="shared" si="1"/>
        <v>40.090000000000003</v>
      </c>
      <c r="M54" s="18">
        <f t="shared" si="9"/>
        <v>0</v>
      </c>
      <c r="N54" s="18">
        <f t="shared" si="2"/>
        <v>40.090000000000003</v>
      </c>
      <c r="O54" s="8"/>
    </row>
    <row r="55" spans="1:15">
      <c r="A55" s="1" t="s">
        <v>45</v>
      </c>
      <c r="B55" s="11" t="s">
        <v>138</v>
      </c>
      <c r="C55" s="11">
        <v>0</v>
      </c>
      <c r="D55" s="11">
        <v>0</v>
      </c>
      <c r="E55" s="11">
        <v>0</v>
      </c>
      <c r="F55" s="11">
        <f t="shared" si="0"/>
        <v>0</v>
      </c>
      <c r="G55" s="17">
        <f t="shared" si="3"/>
        <v>11.79</v>
      </c>
      <c r="H55" s="17">
        <f t="shared" si="4"/>
        <v>0</v>
      </c>
      <c r="I55" s="17">
        <f t="shared" si="5"/>
        <v>0</v>
      </c>
      <c r="J55" s="18">
        <f t="shared" si="6"/>
        <v>0</v>
      </c>
      <c r="K55" s="18">
        <f t="shared" si="7"/>
        <v>0</v>
      </c>
      <c r="L55" s="18">
        <f t="shared" si="1"/>
        <v>11.79</v>
      </c>
      <c r="M55" s="18">
        <f t="shared" si="9"/>
        <v>0</v>
      </c>
      <c r="N55" s="18">
        <f t="shared" si="2"/>
        <v>11.79</v>
      </c>
      <c r="O55" s="8"/>
    </row>
    <row r="56" spans="1:15">
      <c r="A56" s="1" t="s">
        <v>46</v>
      </c>
      <c r="B56" s="11" t="s">
        <v>138</v>
      </c>
      <c r="C56" s="11">
        <v>0</v>
      </c>
      <c r="D56" s="11">
        <v>0</v>
      </c>
      <c r="E56" s="11">
        <v>0</v>
      </c>
      <c r="F56" s="11">
        <f t="shared" si="0"/>
        <v>0</v>
      </c>
      <c r="G56" s="17">
        <f t="shared" si="3"/>
        <v>11.79</v>
      </c>
      <c r="H56" s="17">
        <f t="shared" si="4"/>
        <v>0</v>
      </c>
      <c r="I56" s="17">
        <f t="shared" si="5"/>
        <v>0</v>
      </c>
      <c r="J56" s="18">
        <f t="shared" si="6"/>
        <v>0</v>
      </c>
      <c r="K56" s="18">
        <f t="shared" si="7"/>
        <v>0</v>
      </c>
      <c r="L56" s="18">
        <f t="shared" si="1"/>
        <v>11.79</v>
      </c>
      <c r="M56" s="18">
        <f t="shared" si="9"/>
        <v>0</v>
      </c>
      <c r="N56" s="18">
        <f t="shared" si="2"/>
        <v>11.79</v>
      </c>
      <c r="O56" s="8"/>
    </row>
    <row r="57" spans="1:15">
      <c r="A57" s="1" t="s">
        <v>47</v>
      </c>
      <c r="B57" s="11" t="s">
        <v>138</v>
      </c>
      <c r="C57" s="11">
        <v>0</v>
      </c>
      <c r="D57" s="11">
        <v>0</v>
      </c>
      <c r="E57" s="11">
        <v>0</v>
      </c>
      <c r="F57" s="11">
        <f t="shared" si="0"/>
        <v>0</v>
      </c>
      <c r="G57" s="17">
        <f t="shared" si="3"/>
        <v>11.79</v>
      </c>
      <c r="H57" s="17">
        <f t="shared" si="4"/>
        <v>0</v>
      </c>
      <c r="I57" s="17">
        <f t="shared" si="5"/>
        <v>0</v>
      </c>
      <c r="J57" s="18">
        <f t="shared" si="6"/>
        <v>0</v>
      </c>
      <c r="K57" s="18">
        <f t="shared" si="7"/>
        <v>0</v>
      </c>
      <c r="L57" s="18">
        <f t="shared" si="1"/>
        <v>11.79</v>
      </c>
      <c r="M57" s="18">
        <f t="shared" si="9"/>
        <v>0</v>
      </c>
      <c r="N57" s="18">
        <f t="shared" si="2"/>
        <v>11.79</v>
      </c>
      <c r="O57" s="8"/>
    </row>
    <row r="58" spans="1:15">
      <c r="A58" s="1" t="s">
        <v>48</v>
      </c>
      <c r="B58" s="11"/>
      <c r="C58" s="11">
        <v>1118000</v>
      </c>
      <c r="D58" s="11">
        <v>1120000</v>
      </c>
      <c r="E58" s="11">
        <v>0</v>
      </c>
      <c r="F58" s="11">
        <f t="shared" si="0"/>
        <v>2000</v>
      </c>
      <c r="G58" s="17">
        <f t="shared" si="3"/>
        <v>40.090000000000003</v>
      </c>
      <c r="H58" s="17">
        <f t="shared" si="4"/>
        <v>0</v>
      </c>
      <c r="I58" s="17">
        <f t="shared" si="5"/>
        <v>0</v>
      </c>
      <c r="J58" s="18">
        <f t="shared" si="6"/>
        <v>0</v>
      </c>
      <c r="K58" s="18">
        <f t="shared" si="7"/>
        <v>0</v>
      </c>
      <c r="L58" s="18">
        <f t="shared" si="1"/>
        <v>40.090000000000003</v>
      </c>
      <c r="M58" s="18">
        <f t="shared" si="9"/>
        <v>0</v>
      </c>
      <c r="N58" s="18">
        <f t="shared" si="2"/>
        <v>40.090000000000003</v>
      </c>
      <c r="O58" s="8"/>
    </row>
    <row r="59" spans="1:15">
      <c r="A59" s="1" t="s">
        <v>49</v>
      </c>
      <c r="B59" s="11"/>
      <c r="C59" s="11">
        <v>888000</v>
      </c>
      <c r="D59" s="11">
        <v>896000</v>
      </c>
      <c r="E59" s="11">
        <v>0</v>
      </c>
      <c r="F59" s="11">
        <f t="shared" si="0"/>
        <v>8000</v>
      </c>
      <c r="G59" s="17">
        <f t="shared" si="3"/>
        <v>40.090000000000003</v>
      </c>
      <c r="H59" s="17">
        <f t="shared" si="4"/>
        <v>0</v>
      </c>
      <c r="I59" s="17">
        <f t="shared" si="5"/>
        <v>0</v>
      </c>
      <c r="J59" s="18">
        <f t="shared" si="6"/>
        <v>0</v>
      </c>
      <c r="K59" s="18">
        <f t="shared" si="7"/>
        <v>0</v>
      </c>
      <c r="L59" s="18">
        <f t="shared" si="1"/>
        <v>40.090000000000003</v>
      </c>
      <c r="M59" s="18">
        <f t="shared" si="9"/>
        <v>0</v>
      </c>
      <c r="N59" s="18">
        <f t="shared" si="2"/>
        <v>40.090000000000003</v>
      </c>
      <c r="O59" s="8"/>
    </row>
    <row r="60" spans="1:15">
      <c r="A60" s="1" t="s">
        <v>50</v>
      </c>
      <c r="B60" s="11"/>
      <c r="C60" s="11">
        <v>3487000</v>
      </c>
      <c r="D60" s="11">
        <v>3489000</v>
      </c>
      <c r="E60" s="11">
        <v>0</v>
      </c>
      <c r="F60" s="11">
        <f t="shared" si="0"/>
        <v>2000</v>
      </c>
      <c r="G60" s="17">
        <f t="shared" si="3"/>
        <v>40.090000000000003</v>
      </c>
      <c r="H60" s="17">
        <f t="shared" si="4"/>
        <v>0</v>
      </c>
      <c r="I60" s="17">
        <f t="shared" si="5"/>
        <v>0</v>
      </c>
      <c r="J60" s="18">
        <f t="shared" si="6"/>
        <v>0</v>
      </c>
      <c r="K60" s="18">
        <f t="shared" si="7"/>
        <v>0</v>
      </c>
      <c r="L60" s="18">
        <f t="shared" si="1"/>
        <v>40.090000000000003</v>
      </c>
      <c r="M60" s="18">
        <f t="shared" si="9"/>
        <v>0</v>
      </c>
      <c r="N60" s="18">
        <f t="shared" si="2"/>
        <v>40.090000000000003</v>
      </c>
      <c r="O60" s="8"/>
    </row>
    <row r="61" spans="1:15">
      <c r="A61" s="1" t="s">
        <v>51</v>
      </c>
      <c r="B61" s="11" t="s">
        <v>138</v>
      </c>
      <c r="C61" s="11">
        <v>0</v>
      </c>
      <c r="D61" s="11">
        <v>0</v>
      </c>
      <c r="E61" s="11">
        <v>0</v>
      </c>
      <c r="F61" s="11">
        <f t="shared" si="0"/>
        <v>0</v>
      </c>
      <c r="G61" s="17">
        <f t="shared" si="3"/>
        <v>11.79</v>
      </c>
      <c r="H61" s="17">
        <f t="shared" si="4"/>
        <v>0</v>
      </c>
      <c r="I61" s="17">
        <f t="shared" si="5"/>
        <v>0</v>
      </c>
      <c r="J61" s="18">
        <f t="shared" si="6"/>
        <v>0</v>
      </c>
      <c r="K61" s="18">
        <f t="shared" si="7"/>
        <v>0</v>
      </c>
      <c r="L61" s="18">
        <f t="shared" si="1"/>
        <v>11.79</v>
      </c>
      <c r="M61" s="18">
        <f t="shared" si="9"/>
        <v>0</v>
      </c>
      <c r="N61" s="18">
        <f t="shared" si="2"/>
        <v>11.79</v>
      </c>
      <c r="O61" s="8"/>
    </row>
    <row r="62" spans="1:15">
      <c r="A62" s="1" t="s">
        <v>52</v>
      </c>
      <c r="B62" s="11"/>
      <c r="C62" s="11">
        <v>1705000</v>
      </c>
      <c r="D62" s="11">
        <v>1708000</v>
      </c>
      <c r="E62" s="11">
        <v>0</v>
      </c>
      <c r="F62" s="11">
        <f t="shared" si="0"/>
        <v>3000</v>
      </c>
      <c r="G62" s="17">
        <f t="shared" si="3"/>
        <v>40.090000000000003</v>
      </c>
      <c r="H62" s="17">
        <f t="shared" si="4"/>
        <v>0</v>
      </c>
      <c r="I62" s="17">
        <f t="shared" si="5"/>
        <v>0</v>
      </c>
      <c r="J62" s="18">
        <f t="shared" si="6"/>
        <v>0</v>
      </c>
      <c r="K62" s="18">
        <f t="shared" si="7"/>
        <v>0</v>
      </c>
      <c r="L62" s="18">
        <f t="shared" si="1"/>
        <v>40.090000000000003</v>
      </c>
      <c r="M62" s="18">
        <f t="shared" si="9"/>
        <v>0</v>
      </c>
      <c r="N62" s="18">
        <f t="shared" si="2"/>
        <v>40.090000000000003</v>
      </c>
      <c r="O62" s="8"/>
    </row>
    <row r="63" spans="1:15">
      <c r="A63" s="1" t="s">
        <v>53</v>
      </c>
      <c r="B63" s="11"/>
      <c r="C63" s="11">
        <v>2316000</v>
      </c>
      <c r="D63" s="11">
        <v>2323000</v>
      </c>
      <c r="E63" s="11">
        <v>0</v>
      </c>
      <c r="F63" s="11">
        <f t="shared" si="0"/>
        <v>7000</v>
      </c>
      <c r="G63" s="17">
        <f t="shared" si="3"/>
        <v>40.090000000000003</v>
      </c>
      <c r="H63" s="17">
        <f t="shared" si="4"/>
        <v>0</v>
      </c>
      <c r="I63" s="17">
        <f t="shared" si="5"/>
        <v>0</v>
      </c>
      <c r="J63" s="18">
        <f t="shared" si="6"/>
        <v>0</v>
      </c>
      <c r="K63" s="18">
        <f t="shared" si="7"/>
        <v>0</v>
      </c>
      <c r="L63" s="18">
        <f t="shared" si="1"/>
        <v>40.090000000000003</v>
      </c>
      <c r="M63" s="18">
        <f t="shared" si="9"/>
        <v>0</v>
      </c>
      <c r="N63" s="18">
        <f t="shared" si="2"/>
        <v>40.090000000000003</v>
      </c>
      <c r="O63" s="8"/>
    </row>
    <row r="64" spans="1:15">
      <c r="A64" s="1" t="s">
        <v>54</v>
      </c>
      <c r="B64" s="11"/>
      <c r="C64" s="11">
        <v>3332000</v>
      </c>
      <c r="D64" s="11">
        <v>3336000</v>
      </c>
      <c r="E64" s="11">
        <v>0</v>
      </c>
      <c r="F64" s="11">
        <f t="shared" si="0"/>
        <v>4000</v>
      </c>
      <c r="G64" s="17">
        <f t="shared" si="3"/>
        <v>40.090000000000003</v>
      </c>
      <c r="H64" s="17">
        <f t="shared" si="4"/>
        <v>0</v>
      </c>
      <c r="I64" s="17">
        <f t="shared" si="5"/>
        <v>0</v>
      </c>
      <c r="J64" s="18">
        <f t="shared" si="6"/>
        <v>0</v>
      </c>
      <c r="K64" s="18">
        <f t="shared" si="7"/>
        <v>0</v>
      </c>
      <c r="L64" s="18">
        <f t="shared" si="1"/>
        <v>40.090000000000003</v>
      </c>
      <c r="M64" s="18">
        <f t="shared" si="9"/>
        <v>0</v>
      </c>
      <c r="N64" s="18">
        <f t="shared" si="2"/>
        <v>40.090000000000003</v>
      </c>
      <c r="O64" s="8"/>
    </row>
    <row r="65" spans="1:15">
      <c r="A65" s="1" t="s">
        <v>55</v>
      </c>
      <c r="B65" s="11" t="s">
        <v>138</v>
      </c>
      <c r="C65" s="11">
        <v>0</v>
      </c>
      <c r="D65" s="11">
        <v>0</v>
      </c>
      <c r="E65" s="11">
        <v>0</v>
      </c>
      <c r="F65" s="11">
        <f t="shared" si="0"/>
        <v>0</v>
      </c>
      <c r="G65" s="17">
        <f t="shared" si="3"/>
        <v>11.79</v>
      </c>
      <c r="H65" s="17">
        <f t="shared" si="4"/>
        <v>0</v>
      </c>
      <c r="I65" s="17">
        <f t="shared" si="5"/>
        <v>0</v>
      </c>
      <c r="J65" s="18">
        <f t="shared" si="6"/>
        <v>0</v>
      </c>
      <c r="K65" s="18">
        <f t="shared" si="7"/>
        <v>0</v>
      </c>
      <c r="L65" s="18">
        <f t="shared" si="1"/>
        <v>11.79</v>
      </c>
      <c r="M65" s="18">
        <f t="shared" si="9"/>
        <v>0</v>
      </c>
      <c r="N65" s="18">
        <f t="shared" si="2"/>
        <v>11.79</v>
      </c>
      <c r="O65" s="8"/>
    </row>
    <row r="66" spans="1:15">
      <c r="A66" s="1" t="s">
        <v>56</v>
      </c>
      <c r="B66" s="11"/>
      <c r="C66" s="11">
        <v>1509000</v>
      </c>
      <c r="D66" s="11">
        <v>1514000</v>
      </c>
      <c r="E66" s="11">
        <v>0</v>
      </c>
      <c r="F66" s="11">
        <f t="shared" si="0"/>
        <v>5000</v>
      </c>
      <c r="G66" s="17">
        <f t="shared" si="3"/>
        <v>40.090000000000003</v>
      </c>
      <c r="H66" s="17">
        <f t="shared" si="4"/>
        <v>0</v>
      </c>
      <c r="I66" s="17">
        <f t="shared" si="5"/>
        <v>0</v>
      </c>
      <c r="J66" s="18">
        <f t="shared" si="6"/>
        <v>0</v>
      </c>
      <c r="K66" s="18">
        <f t="shared" si="7"/>
        <v>0</v>
      </c>
      <c r="L66" s="18">
        <f t="shared" si="1"/>
        <v>40.090000000000003</v>
      </c>
      <c r="M66" s="18">
        <f t="shared" si="9"/>
        <v>0</v>
      </c>
      <c r="N66" s="18">
        <f t="shared" si="2"/>
        <v>40.090000000000003</v>
      </c>
      <c r="O66" s="8"/>
    </row>
    <row r="67" spans="1:15">
      <c r="A67" s="1" t="s">
        <v>57</v>
      </c>
      <c r="B67" s="11"/>
      <c r="C67" s="11">
        <v>1615000</v>
      </c>
      <c r="D67" s="11">
        <v>1615000</v>
      </c>
      <c r="E67" s="11">
        <v>0</v>
      </c>
      <c r="F67" s="11">
        <f t="shared" si="0"/>
        <v>0</v>
      </c>
      <c r="G67" s="17">
        <f t="shared" si="3"/>
        <v>40.090000000000003</v>
      </c>
      <c r="H67" s="17">
        <f t="shared" si="4"/>
        <v>0</v>
      </c>
      <c r="I67" s="17">
        <f t="shared" si="5"/>
        <v>0</v>
      </c>
      <c r="J67" s="18">
        <f t="shared" si="6"/>
        <v>0</v>
      </c>
      <c r="K67" s="18">
        <f t="shared" si="7"/>
        <v>0</v>
      </c>
      <c r="L67" s="18">
        <f t="shared" si="1"/>
        <v>40.090000000000003</v>
      </c>
      <c r="M67" s="18">
        <f t="shared" si="9"/>
        <v>0</v>
      </c>
      <c r="N67" s="18">
        <f t="shared" si="2"/>
        <v>40.090000000000003</v>
      </c>
      <c r="O67" s="8"/>
    </row>
    <row r="68" spans="1:15">
      <c r="A68" s="1" t="s">
        <v>58</v>
      </c>
      <c r="B68" s="11" t="s">
        <v>138</v>
      </c>
      <c r="C68" s="11">
        <v>0</v>
      </c>
      <c r="D68" s="11">
        <v>0</v>
      </c>
      <c r="E68" s="11">
        <v>0</v>
      </c>
      <c r="F68" s="11">
        <f t="shared" si="0"/>
        <v>0</v>
      </c>
      <c r="G68" s="17">
        <f t="shared" si="3"/>
        <v>11.79</v>
      </c>
      <c r="H68" s="17">
        <f t="shared" si="4"/>
        <v>0</v>
      </c>
      <c r="I68" s="17">
        <f t="shared" si="5"/>
        <v>0</v>
      </c>
      <c r="J68" s="18">
        <f t="shared" si="6"/>
        <v>0</v>
      </c>
      <c r="K68" s="18">
        <f t="shared" si="7"/>
        <v>0</v>
      </c>
      <c r="L68" s="18">
        <f t="shared" si="1"/>
        <v>11.79</v>
      </c>
      <c r="M68" s="18">
        <f t="shared" si="9"/>
        <v>0</v>
      </c>
      <c r="N68" s="18">
        <f t="shared" si="2"/>
        <v>11.79</v>
      </c>
      <c r="O68" s="8"/>
    </row>
    <row r="69" spans="1:15">
      <c r="A69" s="1" t="s">
        <v>59</v>
      </c>
      <c r="B69" s="11" t="s">
        <v>138</v>
      </c>
      <c r="C69" s="11">
        <v>0</v>
      </c>
      <c r="D69" s="11">
        <v>0</v>
      </c>
      <c r="E69" s="11">
        <v>0</v>
      </c>
      <c r="F69" s="11">
        <f t="shared" si="0"/>
        <v>0</v>
      </c>
      <c r="G69" s="17">
        <f t="shared" si="3"/>
        <v>11.79</v>
      </c>
      <c r="H69" s="17">
        <f t="shared" si="4"/>
        <v>0</v>
      </c>
      <c r="I69" s="17">
        <f t="shared" si="5"/>
        <v>0</v>
      </c>
      <c r="J69" s="18">
        <f t="shared" si="6"/>
        <v>0</v>
      </c>
      <c r="K69" s="18">
        <f t="shared" si="7"/>
        <v>0</v>
      </c>
      <c r="L69" s="18">
        <f t="shared" si="1"/>
        <v>11.79</v>
      </c>
      <c r="M69" s="18">
        <f t="shared" si="9"/>
        <v>0</v>
      </c>
      <c r="N69" s="18">
        <f t="shared" si="2"/>
        <v>11.79</v>
      </c>
      <c r="O69" s="8"/>
    </row>
    <row r="70" spans="1:15">
      <c r="A70" s="1" t="s">
        <v>60</v>
      </c>
      <c r="B70" s="11" t="s">
        <v>138</v>
      </c>
      <c r="C70" s="11">
        <v>0</v>
      </c>
      <c r="D70" s="11">
        <v>0</v>
      </c>
      <c r="E70" s="11">
        <v>0</v>
      </c>
      <c r="F70" s="11">
        <f t="shared" si="0"/>
        <v>0</v>
      </c>
      <c r="G70" s="17">
        <f t="shared" si="3"/>
        <v>11.79</v>
      </c>
      <c r="H70" s="17">
        <f t="shared" si="4"/>
        <v>0</v>
      </c>
      <c r="I70" s="17">
        <f t="shared" si="5"/>
        <v>0</v>
      </c>
      <c r="J70" s="18">
        <f t="shared" si="6"/>
        <v>0</v>
      </c>
      <c r="K70" s="18">
        <f t="shared" si="7"/>
        <v>0</v>
      </c>
      <c r="L70" s="18">
        <f t="shared" si="1"/>
        <v>11.79</v>
      </c>
      <c r="M70" s="18">
        <f t="shared" si="9"/>
        <v>0</v>
      </c>
      <c r="N70" s="18">
        <f t="shared" si="2"/>
        <v>11.79</v>
      </c>
      <c r="O70" s="8"/>
    </row>
    <row r="71" spans="1:15">
      <c r="A71" s="1" t="s">
        <v>61</v>
      </c>
      <c r="B71" s="11"/>
      <c r="C71" s="11">
        <v>1338000</v>
      </c>
      <c r="D71" s="11">
        <v>1343000</v>
      </c>
      <c r="E71" s="11">
        <v>0</v>
      </c>
      <c r="F71" s="11">
        <f t="shared" si="0"/>
        <v>5000</v>
      </c>
      <c r="G71" s="17">
        <f t="shared" si="3"/>
        <v>40.090000000000003</v>
      </c>
      <c r="H71" s="17">
        <f t="shared" si="4"/>
        <v>0</v>
      </c>
      <c r="I71" s="17">
        <f t="shared" si="5"/>
        <v>0</v>
      </c>
      <c r="J71" s="18">
        <f t="shared" si="6"/>
        <v>0</v>
      </c>
      <c r="K71" s="18">
        <f t="shared" si="7"/>
        <v>0</v>
      </c>
      <c r="L71" s="18">
        <f t="shared" si="1"/>
        <v>40.090000000000003</v>
      </c>
      <c r="M71" s="18">
        <f t="shared" si="9"/>
        <v>0</v>
      </c>
      <c r="N71" s="18">
        <f t="shared" si="2"/>
        <v>40.090000000000003</v>
      </c>
      <c r="O71" s="8"/>
    </row>
    <row r="72" spans="1:15">
      <c r="A72" s="1" t="s">
        <v>62</v>
      </c>
      <c r="B72" s="11"/>
      <c r="C72" s="11">
        <v>1895000</v>
      </c>
      <c r="D72" s="11">
        <v>1903000</v>
      </c>
      <c r="E72" s="11">
        <v>0</v>
      </c>
      <c r="F72" s="11">
        <f t="shared" si="0"/>
        <v>8000</v>
      </c>
      <c r="G72" s="17">
        <f t="shared" si="3"/>
        <v>40.090000000000003</v>
      </c>
      <c r="H72" s="17">
        <f t="shared" si="4"/>
        <v>0</v>
      </c>
      <c r="I72" s="17">
        <f t="shared" si="5"/>
        <v>0</v>
      </c>
      <c r="J72" s="18">
        <f t="shared" si="6"/>
        <v>0</v>
      </c>
      <c r="K72" s="18">
        <f t="shared" si="7"/>
        <v>0</v>
      </c>
      <c r="L72" s="18">
        <f t="shared" si="1"/>
        <v>40.090000000000003</v>
      </c>
      <c r="M72" s="18">
        <f t="shared" si="9"/>
        <v>0</v>
      </c>
      <c r="N72" s="18">
        <f t="shared" si="2"/>
        <v>40.090000000000003</v>
      </c>
      <c r="O72" s="8"/>
    </row>
    <row r="73" spans="1:15">
      <c r="A73" s="1" t="s">
        <v>63</v>
      </c>
      <c r="B73" s="11" t="s">
        <v>138</v>
      </c>
      <c r="C73" s="11">
        <v>0</v>
      </c>
      <c r="D73" s="11">
        <v>0</v>
      </c>
      <c r="E73" s="11">
        <v>0</v>
      </c>
      <c r="F73" s="11">
        <f t="shared" si="0"/>
        <v>0</v>
      </c>
      <c r="G73" s="17">
        <f t="shared" si="3"/>
        <v>11.79</v>
      </c>
      <c r="H73" s="17">
        <f t="shared" si="4"/>
        <v>0</v>
      </c>
      <c r="I73" s="17">
        <f t="shared" si="5"/>
        <v>0</v>
      </c>
      <c r="J73" s="18">
        <f t="shared" si="6"/>
        <v>0</v>
      </c>
      <c r="K73" s="18">
        <f t="shared" si="7"/>
        <v>0</v>
      </c>
      <c r="L73" s="18">
        <f t="shared" si="1"/>
        <v>11.79</v>
      </c>
      <c r="M73" s="18">
        <f t="shared" si="9"/>
        <v>0</v>
      </c>
      <c r="N73" s="18">
        <f t="shared" si="2"/>
        <v>11.79</v>
      </c>
      <c r="O73" s="8"/>
    </row>
    <row r="74" spans="1:15">
      <c r="A74" s="1" t="s">
        <v>64</v>
      </c>
      <c r="B74" s="11"/>
      <c r="C74" s="11">
        <v>4906000</v>
      </c>
      <c r="D74" s="11">
        <v>4913000</v>
      </c>
      <c r="E74" s="11">
        <v>0</v>
      </c>
      <c r="F74" s="11">
        <f t="shared" si="0"/>
        <v>7000</v>
      </c>
      <c r="G74" s="17">
        <f t="shared" si="3"/>
        <v>40.090000000000003</v>
      </c>
      <c r="H74" s="17">
        <f t="shared" si="4"/>
        <v>0</v>
      </c>
      <c r="I74" s="17">
        <f t="shared" si="5"/>
        <v>0</v>
      </c>
      <c r="J74" s="18">
        <f t="shared" si="6"/>
        <v>0</v>
      </c>
      <c r="K74" s="18">
        <f t="shared" si="7"/>
        <v>0</v>
      </c>
      <c r="L74" s="18">
        <f t="shared" si="1"/>
        <v>40.090000000000003</v>
      </c>
      <c r="M74" s="18">
        <f t="shared" si="9"/>
        <v>0</v>
      </c>
      <c r="N74" s="18">
        <f t="shared" si="2"/>
        <v>40.090000000000003</v>
      </c>
      <c r="O74" s="8"/>
    </row>
    <row r="75" spans="1:15">
      <c r="A75" s="1" t="s">
        <v>65</v>
      </c>
      <c r="B75" s="11"/>
      <c r="C75" s="11">
        <v>6641000</v>
      </c>
      <c r="D75" s="11">
        <v>6642000</v>
      </c>
      <c r="E75" s="11">
        <v>0</v>
      </c>
      <c r="F75" s="11">
        <f t="shared" ref="F75:F136" si="10">($D75-$C75)+$E75</f>
        <v>1000</v>
      </c>
      <c r="G75" s="17">
        <f t="shared" si="3"/>
        <v>40.090000000000003</v>
      </c>
      <c r="H75" s="17">
        <f t="shared" si="4"/>
        <v>0</v>
      </c>
      <c r="I75" s="17">
        <f t="shared" si="5"/>
        <v>0</v>
      </c>
      <c r="J75" s="18">
        <f t="shared" si="6"/>
        <v>0</v>
      </c>
      <c r="K75" s="18">
        <f t="shared" si="7"/>
        <v>0</v>
      </c>
      <c r="L75" s="18">
        <f t="shared" si="1"/>
        <v>40.090000000000003</v>
      </c>
      <c r="M75" s="18">
        <f t="shared" si="9"/>
        <v>0</v>
      </c>
      <c r="N75" s="18">
        <f t="shared" si="2"/>
        <v>40.090000000000003</v>
      </c>
      <c r="O75" s="8"/>
    </row>
    <row r="76" spans="1:15">
      <c r="A76" s="1" t="s">
        <v>66</v>
      </c>
      <c r="B76" s="11"/>
      <c r="C76" s="11">
        <v>9214000</v>
      </c>
      <c r="D76" s="11">
        <v>9228000</v>
      </c>
      <c r="E76" s="11">
        <v>0</v>
      </c>
      <c r="F76" s="11">
        <f t="shared" si="10"/>
        <v>14000</v>
      </c>
      <c r="G76" s="17">
        <f t="shared" si="3"/>
        <v>40.090000000000003</v>
      </c>
      <c r="H76" s="17">
        <f t="shared" si="4"/>
        <v>8.7200000000000006</v>
      </c>
      <c r="I76" s="17">
        <f t="shared" si="5"/>
        <v>0</v>
      </c>
      <c r="J76" s="18">
        <f t="shared" si="6"/>
        <v>0</v>
      </c>
      <c r="K76" s="18">
        <f t="shared" si="7"/>
        <v>0</v>
      </c>
      <c r="L76" s="18">
        <f t="shared" ref="L76:L136" si="11">SUM(G76:K76)</f>
        <v>48.81</v>
      </c>
      <c r="M76" s="18">
        <f t="shared" si="9"/>
        <v>0</v>
      </c>
      <c r="N76" s="18">
        <f t="shared" ref="N76:N136" si="12">SUM(L76:M76)</f>
        <v>48.81</v>
      </c>
      <c r="O76" s="8"/>
    </row>
    <row r="77" spans="1:15">
      <c r="A77" s="1" t="s">
        <v>67</v>
      </c>
      <c r="B77" s="11" t="s">
        <v>138</v>
      </c>
      <c r="C77" s="11">
        <v>0</v>
      </c>
      <c r="D77" s="11">
        <v>0</v>
      </c>
      <c r="E77" s="11">
        <v>0</v>
      </c>
      <c r="F77" s="11">
        <f t="shared" si="10"/>
        <v>0</v>
      </c>
      <c r="G77" s="17">
        <f t="shared" si="3"/>
        <v>11.79</v>
      </c>
      <c r="H77" s="17">
        <f t="shared" si="4"/>
        <v>0</v>
      </c>
      <c r="I77" s="17">
        <f t="shared" si="5"/>
        <v>0</v>
      </c>
      <c r="J77" s="18">
        <f t="shared" si="6"/>
        <v>0</v>
      </c>
      <c r="K77" s="18">
        <f t="shared" si="7"/>
        <v>0</v>
      </c>
      <c r="L77" s="18">
        <f t="shared" si="11"/>
        <v>11.79</v>
      </c>
      <c r="M77" s="18">
        <f t="shared" si="9"/>
        <v>0</v>
      </c>
      <c r="N77" s="18">
        <f t="shared" si="12"/>
        <v>11.79</v>
      </c>
      <c r="O77" s="8"/>
    </row>
    <row r="78" spans="1:15">
      <c r="A78" s="1" t="s">
        <v>68</v>
      </c>
      <c r="B78" s="11"/>
      <c r="C78" s="11">
        <v>3573000</v>
      </c>
      <c r="D78" s="11">
        <v>3581000</v>
      </c>
      <c r="E78" s="11">
        <v>0</v>
      </c>
      <c r="F78" s="11">
        <f t="shared" si="10"/>
        <v>8000</v>
      </c>
      <c r="G78" s="17">
        <f t="shared" si="3"/>
        <v>40.090000000000003</v>
      </c>
      <c r="H78" s="17">
        <f t="shared" si="4"/>
        <v>0</v>
      </c>
      <c r="I78" s="17">
        <f t="shared" si="5"/>
        <v>0</v>
      </c>
      <c r="J78" s="18">
        <f t="shared" si="6"/>
        <v>0</v>
      </c>
      <c r="K78" s="18">
        <f t="shared" si="7"/>
        <v>0</v>
      </c>
      <c r="L78" s="18">
        <f t="shared" si="11"/>
        <v>40.090000000000003</v>
      </c>
      <c r="M78" s="18">
        <f t="shared" si="9"/>
        <v>0</v>
      </c>
      <c r="N78" s="18">
        <f t="shared" si="12"/>
        <v>40.090000000000003</v>
      </c>
      <c r="O78" s="8"/>
    </row>
    <row r="79" spans="1:15">
      <c r="A79" s="1" t="s">
        <v>69</v>
      </c>
      <c r="B79" s="11"/>
      <c r="C79" s="11">
        <v>2291000</v>
      </c>
      <c r="D79" s="11">
        <v>2301000</v>
      </c>
      <c r="E79" s="11">
        <v>0</v>
      </c>
      <c r="F79" s="11">
        <f t="shared" si="10"/>
        <v>10000</v>
      </c>
      <c r="G79" s="17">
        <f t="shared" si="3"/>
        <v>40.090000000000003</v>
      </c>
      <c r="H79" s="17">
        <f t="shared" si="4"/>
        <v>0</v>
      </c>
      <c r="I79" s="17">
        <f t="shared" si="5"/>
        <v>0</v>
      </c>
      <c r="J79" s="18">
        <f t="shared" si="6"/>
        <v>0</v>
      </c>
      <c r="K79" s="18">
        <f t="shared" si="7"/>
        <v>0</v>
      </c>
      <c r="L79" s="18">
        <f t="shared" si="11"/>
        <v>40.090000000000003</v>
      </c>
      <c r="M79" s="18">
        <f t="shared" si="9"/>
        <v>0</v>
      </c>
      <c r="N79" s="18">
        <f t="shared" si="12"/>
        <v>40.090000000000003</v>
      </c>
      <c r="O79" s="8"/>
    </row>
    <row r="80" spans="1:15">
      <c r="A80" s="1" t="s">
        <v>70</v>
      </c>
      <c r="B80" s="11"/>
      <c r="C80" s="11">
        <v>1398000</v>
      </c>
      <c r="D80" s="11">
        <v>1404000</v>
      </c>
      <c r="E80" s="11">
        <v>0</v>
      </c>
      <c r="F80" s="11">
        <f t="shared" si="10"/>
        <v>6000</v>
      </c>
      <c r="G80" s="17">
        <f t="shared" si="3"/>
        <v>40.090000000000003</v>
      </c>
      <c r="H80" s="17">
        <f t="shared" si="4"/>
        <v>0</v>
      </c>
      <c r="I80" s="17">
        <f t="shared" si="5"/>
        <v>0</v>
      </c>
      <c r="J80" s="18">
        <f t="shared" si="6"/>
        <v>0</v>
      </c>
      <c r="K80" s="18">
        <f t="shared" si="7"/>
        <v>0</v>
      </c>
      <c r="L80" s="18">
        <f t="shared" si="11"/>
        <v>40.090000000000003</v>
      </c>
      <c r="M80" s="18">
        <f t="shared" si="9"/>
        <v>0</v>
      </c>
      <c r="N80" s="18">
        <f t="shared" si="12"/>
        <v>40.090000000000003</v>
      </c>
      <c r="O80" s="8"/>
    </row>
    <row r="81" spans="1:15">
      <c r="A81" s="1" t="s">
        <v>71</v>
      </c>
      <c r="B81" s="11" t="s">
        <v>138</v>
      </c>
      <c r="C81" s="11">
        <v>0</v>
      </c>
      <c r="D81" s="11">
        <v>0</v>
      </c>
      <c r="E81" s="11">
        <v>0</v>
      </c>
      <c r="F81" s="11">
        <f t="shared" si="10"/>
        <v>0</v>
      </c>
      <c r="G81" s="17">
        <f t="shared" ref="G81:G136" si="13">IF(OR($F81&gt;0,$B81=""),40.09,11.79)</f>
        <v>11.79</v>
      </c>
      <c r="H81" s="17">
        <f t="shared" ref="H81:H136" si="14">IF(AND((($F81-10000)&gt;=0),(($F81-10000)&lt;= 10000)),($F81-10000)/1000*2.18,IF(($F81-10000)&gt;=10000,2.18*10,0))</f>
        <v>0</v>
      </c>
      <c r="I81" s="17">
        <f t="shared" ref="I81:I136" si="15">IF(AND((($F81-20000)&gt;=0),(($F81-20000)&lt;=10000)),($F81-20000)/1000*2.53,IF(($F81-20000)&gt;=10000,2.53*10,0))</f>
        <v>0</v>
      </c>
      <c r="J81" s="18">
        <f t="shared" ref="J81:J136" si="16">IF(AND((($F81-30000)&gt;=0),(($F81-30000)&lt;=10000)),($F81-30000)/1000*2.95,IF(($F81-30000)&gt;=10000,2.95*10,0))</f>
        <v>0</v>
      </c>
      <c r="K81" s="18">
        <f t="shared" ref="K81:K136" si="17">IF((($F81-40000)&gt;=0),($F81-40000)/1000*3.42,0)</f>
        <v>0</v>
      </c>
      <c r="L81" s="18">
        <f t="shared" si="11"/>
        <v>11.79</v>
      </c>
      <c r="M81" s="18">
        <f t="shared" ref="M81:M112" si="18">IF(   $H$5=1,    IF((F81-$H$6)&gt;0,((F81-$H$6)/$N$7)*$E$8,0),   IF(F81&gt;0,(F81/$N$4)*$E$8,0)    )</f>
        <v>0</v>
      </c>
      <c r="N81" s="18">
        <f t="shared" si="12"/>
        <v>11.79</v>
      </c>
      <c r="O81" s="8"/>
    </row>
    <row r="82" spans="1:15">
      <c r="A82" s="1" t="s">
        <v>72</v>
      </c>
      <c r="B82" s="11"/>
      <c r="C82" s="11">
        <v>118000</v>
      </c>
      <c r="D82" s="11">
        <v>125000</v>
      </c>
      <c r="E82" s="11">
        <v>0</v>
      </c>
      <c r="F82" s="11">
        <f t="shared" si="10"/>
        <v>7000</v>
      </c>
      <c r="G82" s="17">
        <f t="shared" si="13"/>
        <v>40.090000000000003</v>
      </c>
      <c r="H82" s="17">
        <f t="shared" si="14"/>
        <v>0</v>
      </c>
      <c r="I82" s="17">
        <f t="shared" si="15"/>
        <v>0</v>
      </c>
      <c r="J82" s="18">
        <f t="shared" si="16"/>
        <v>0</v>
      </c>
      <c r="K82" s="18">
        <f t="shared" si="17"/>
        <v>0</v>
      </c>
      <c r="L82" s="18">
        <f t="shared" si="11"/>
        <v>40.090000000000003</v>
      </c>
      <c r="M82" s="18">
        <f t="shared" si="18"/>
        <v>0</v>
      </c>
      <c r="N82" s="18">
        <f t="shared" si="12"/>
        <v>40.090000000000003</v>
      </c>
      <c r="O82" s="8" t="s">
        <v>139</v>
      </c>
    </row>
    <row r="83" spans="1:15">
      <c r="A83" s="1" t="s">
        <v>73</v>
      </c>
      <c r="B83" s="11"/>
      <c r="C83" s="11">
        <v>1924000</v>
      </c>
      <c r="D83" s="11">
        <v>1929000</v>
      </c>
      <c r="E83" s="11">
        <v>0</v>
      </c>
      <c r="F83" s="11">
        <f t="shared" si="10"/>
        <v>5000</v>
      </c>
      <c r="G83" s="17">
        <f t="shared" si="13"/>
        <v>40.090000000000003</v>
      </c>
      <c r="H83" s="17">
        <f t="shared" si="14"/>
        <v>0</v>
      </c>
      <c r="I83" s="17">
        <f t="shared" si="15"/>
        <v>0</v>
      </c>
      <c r="J83" s="18">
        <f t="shared" si="16"/>
        <v>0</v>
      </c>
      <c r="K83" s="18">
        <f t="shared" si="17"/>
        <v>0</v>
      </c>
      <c r="L83" s="18">
        <f t="shared" si="11"/>
        <v>40.090000000000003</v>
      </c>
      <c r="M83" s="18">
        <f t="shared" si="18"/>
        <v>0</v>
      </c>
      <c r="N83" s="18">
        <f t="shared" si="12"/>
        <v>40.090000000000003</v>
      </c>
      <c r="O83" s="8"/>
    </row>
    <row r="84" spans="1:15">
      <c r="A84" s="1" t="s">
        <v>74</v>
      </c>
      <c r="B84" s="11" t="s">
        <v>138</v>
      </c>
      <c r="C84" s="11">
        <v>0</v>
      </c>
      <c r="D84" s="11">
        <v>0</v>
      </c>
      <c r="E84" s="11">
        <v>0</v>
      </c>
      <c r="F84" s="11">
        <f t="shared" si="10"/>
        <v>0</v>
      </c>
      <c r="G84" s="17">
        <f t="shared" si="13"/>
        <v>11.79</v>
      </c>
      <c r="H84" s="17">
        <f t="shared" si="14"/>
        <v>0</v>
      </c>
      <c r="I84" s="17">
        <f t="shared" si="15"/>
        <v>0</v>
      </c>
      <c r="J84" s="18">
        <f t="shared" si="16"/>
        <v>0</v>
      </c>
      <c r="K84" s="18">
        <f t="shared" si="17"/>
        <v>0</v>
      </c>
      <c r="L84" s="18">
        <f t="shared" si="11"/>
        <v>11.79</v>
      </c>
      <c r="M84" s="18">
        <f t="shared" si="18"/>
        <v>0</v>
      </c>
      <c r="N84" s="18">
        <f t="shared" si="12"/>
        <v>11.79</v>
      </c>
      <c r="O84" s="8"/>
    </row>
    <row r="85" spans="1:15">
      <c r="A85" s="1" t="s">
        <v>75</v>
      </c>
      <c r="B85" s="11"/>
      <c r="C85" s="11">
        <v>721000</v>
      </c>
      <c r="D85" s="11">
        <v>723000</v>
      </c>
      <c r="E85" s="11">
        <v>0</v>
      </c>
      <c r="F85" s="11">
        <f t="shared" si="10"/>
        <v>2000</v>
      </c>
      <c r="G85" s="17">
        <f t="shared" si="13"/>
        <v>40.090000000000003</v>
      </c>
      <c r="H85" s="17">
        <f t="shared" si="14"/>
        <v>0</v>
      </c>
      <c r="I85" s="17">
        <f t="shared" si="15"/>
        <v>0</v>
      </c>
      <c r="J85" s="18">
        <f t="shared" si="16"/>
        <v>0</v>
      </c>
      <c r="K85" s="18">
        <f t="shared" si="17"/>
        <v>0</v>
      </c>
      <c r="L85" s="18">
        <f t="shared" si="11"/>
        <v>40.090000000000003</v>
      </c>
      <c r="M85" s="18">
        <f t="shared" si="18"/>
        <v>0</v>
      </c>
      <c r="N85" s="18">
        <f t="shared" si="12"/>
        <v>40.090000000000003</v>
      </c>
      <c r="O85" s="8"/>
    </row>
    <row r="86" spans="1:15">
      <c r="A86" s="1" t="s">
        <v>76</v>
      </c>
      <c r="B86" s="11"/>
      <c r="C86" s="11">
        <v>122000</v>
      </c>
      <c r="D86" s="11">
        <v>130000</v>
      </c>
      <c r="E86" s="11">
        <v>0</v>
      </c>
      <c r="F86" s="11">
        <f t="shared" si="10"/>
        <v>8000</v>
      </c>
      <c r="G86" s="17">
        <f t="shared" si="13"/>
        <v>40.090000000000003</v>
      </c>
      <c r="H86" s="17">
        <f t="shared" si="14"/>
        <v>0</v>
      </c>
      <c r="I86" s="17">
        <f t="shared" si="15"/>
        <v>0</v>
      </c>
      <c r="J86" s="18">
        <f t="shared" si="16"/>
        <v>0</v>
      </c>
      <c r="K86" s="18">
        <f t="shared" si="17"/>
        <v>0</v>
      </c>
      <c r="L86" s="18">
        <f t="shared" si="11"/>
        <v>40.090000000000003</v>
      </c>
      <c r="M86" s="18">
        <f t="shared" si="18"/>
        <v>0</v>
      </c>
      <c r="N86" s="18">
        <f t="shared" si="12"/>
        <v>40.090000000000003</v>
      </c>
      <c r="O86" s="8" t="s">
        <v>139</v>
      </c>
    </row>
    <row r="87" spans="1:15">
      <c r="A87" s="1" t="s">
        <v>77</v>
      </c>
      <c r="B87" s="11"/>
      <c r="C87" s="11">
        <v>93000</v>
      </c>
      <c r="D87" s="11">
        <v>97000</v>
      </c>
      <c r="E87" s="11">
        <v>0</v>
      </c>
      <c r="F87" s="11">
        <f t="shared" si="10"/>
        <v>4000</v>
      </c>
      <c r="G87" s="17">
        <f t="shared" si="13"/>
        <v>40.090000000000003</v>
      </c>
      <c r="H87" s="17">
        <f t="shared" si="14"/>
        <v>0</v>
      </c>
      <c r="I87" s="17">
        <f t="shared" si="15"/>
        <v>0</v>
      </c>
      <c r="J87" s="18">
        <f t="shared" si="16"/>
        <v>0</v>
      </c>
      <c r="K87" s="18">
        <f t="shared" si="17"/>
        <v>0</v>
      </c>
      <c r="L87" s="18">
        <f t="shared" si="11"/>
        <v>40.090000000000003</v>
      </c>
      <c r="M87" s="18">
        <f t="shared" si="18"/>
        <v>0</v>
      </c>
      <c r="N87" s="18">
        <f t="shared" si="12"/>
        <v>40.090000000000003</v>
      </c>
      <c r="O87" s="8"/>
    </row>
    <row r="88" spans="1:15">
      <c r="A88" s="1" t="s">
        <v>78</v>
      </c>
      <c r="B88" s="11"/>
      <c r="C88" s="11">
        <v>1239000</v>
      </c>
      <c r="D88" s="11">
        <v>1245000</v>
      </c>
      <c r="E88" s="11">
        <v>0</v>
      </c>
      <c r="F88" s="11">
        <f t="shared" si="10"/>
        <v>6000</v>
      </c>
      <c r="G88" s="17">
        <f t="shared" si="13"/>
        <v>40.090000000000003</v>
      </c>
      <c r="H88" s="17">
        <f t="shared" si="14"/>
        <v>0</v>
      </c>
      <c r="I88" s="17">
        <f t="shared" si="15"/>
        <v>0</v>
      </c>
      <c r="J88" s="18">
        <f t="shared" si="16"/>
        <v>0</v>
      </c>
      <c r="K88" s="18">
        <f t="shared" si="17"/>
        <v>0</v>
      </c>
      <c r="L88" s="18">
        <f t="shared" si="11"/>
        <v>40.090000000000003</v>
      </c>
      <c r="M88" s="18">
        <f t="shared" si="18"/>
        <v>0</v>
      </c>
      <c r="N88" s="18">
        <f t="shared" si="12"/>
        <v>40.090000000000003</v>
      </c>
      <c r="O88" s="8"/>
    </row>
    <row r="89" spans="1:15">
      <c r="A89" s="1" t="s">
        <v>79</v>
      </c>
      <c r="B89" s="11"/>
      <c r="C89" s="11">
        <v>3427000</v>
      </c>
      <c r="D89" s="11">
        <v>3433000</v>
      </c>
      <c r="E89" s="11">
        <v>0</v>
      </c>
      <c r="F89" s="11">
        <f t="shared" si="10"/>
        <v>6000</v>
      </c>
      <c r="G89" s="17">
        <f t="shared" si="13"/>
        <v>40.090000000000003</v>
      </c>
      <c r="H89" s="17">
        <f t="shared" si="14"/>
        <v>0</v>
      </c>
      <c r="I89" s="17">
        <f t="shared" si="15"/>
        <v>0</v>
      </c>
      <c r="J89" s="18">
        <f t="shared" si="16"/>
        <v>0</v>
      </c>
      <c r="K89" s="18">
        <f t="shared" si="17"/>
        <v>0</v>
      </c>
      <c r="L89" s="18">
        <f t="shared" si="11"/>
        <v>40.090000000000003</v>
      </c>
      <c r="M89" s="18">
        <f t="shared" si="18"/>
        <v>0</v>
      </c>
      <c r="N89" s="18">
        <f t="shared" si="12"/>
        <v>40.090000000000003</v>
      </c>
      <c r="O89" s="8"/>
    </row>
    <row r="90" spans="1:15">
      <c r="A90" s="1" t="s">
        <v>80</v>
      </c>
      <c r="B90" s="11"/>
      <c r="C90" s="11">
        <v>3015000</v>
      </c>
      <c r="D90" s="11">
        <v>3018000</v>
      </c>
      <c r="E90" s="11">
        <v>0</v>
      </c>
      <c r="F90" s="11">
        <f t="shared" si="10"/>
        <v>3000</v>
      </c>
      <c r="G90" s="17">
        <f t="shared" si="13"/>
        <v>40.090000000000003</v>
      </c>
      <c r="H90" s="17">
        <f t="shared" si="14"/>
        <v>0</v>
      </c>
      <c r="I90" s="17">
        <f t="shared" si="15"/>
        <v>0</v>
      </c>
      <c r="J90" s="18">
        <f t="shared" si="16"/>
        <v>0</v>
      </c>
      <c r="K90" s="18">
        <f t="shared" si="17"/>
        <v>0</v>
      </c>
      <c r="L90" s="18">
        <f t="shared" si="11"/>
        <v>40.090000000000003</v>
      </c>
      <c r="M90" s="18">
        <f t="shared" si="18"/>
        <v>0</v>
      </c>
      <c r="N90" s="18">
        <f t="shared" si="12"/>
        <v>40.090000000000003</v>
      </c>
      <c r="O90" s="8"/>
    </row>
    <row r="91" spans="1:15">
      <c r="A91" s="1" t="s">
        <v>81</v>
      </c>
      <c r="B91" s="11" t="s">
        <v>138</v>
      </c>
      <c r="C91" s="11">
        <v>0</v>
      </c>
      <c r="D91" s="11">
        <v>0</v>
      </c>
      <c r="E91" s="11">
        <v>0</v>
      </c>
      <c r="F91" s="11">
        <f t="shared" si="10"/>
        <v>0</v>
      </c>
      <c r="G91" s="17">
        <f t="shared" si="13"/>
        <v>11.79</v>
      </c>
      <c r="H91" s="17">
        <f t="shared" si="14"/>
        <v>0</v>
      </c>
      <c r="I91" s="17">
        <f t="shared" si="15"/>
        <v>0</v>
      </c>
      <c r="J91" s="18">
        <f t="shared" si="16"/>
        <v>0</v>
      </c>
      <c r="K91" s="18">
        <f t="shared" si="17"/>
        <v>0</v>
      </c>
      <c r="L91" s="18">
        <f t="shared" si="11"/>
        <v>11.79</v>
      </c>
      <c r="M91" s="18">
        <f t="shared" si="18"/>
        <v>0</v>
      </c>
      <c r="N91" s="18">
        <f t="shared" si="12"/>
        <v>11.79</v>
      </c>
      <c r="O91" s="8"/>
    </row>
    <row r="92" spans="1:15">
      <c r="A92" s="1" t="s">
        <v>82</v>
      </c>
      <c r="B92" s="11"/>
      <c r="C92" s="11">
        <v>3233000</v>
      </c>
      <c r="D92" s="11">
        <v>3240000</v>
      </c>
      <c r="E92" s="11">
        <v>0</v>
      </c>
      <c r="F92" s="11">
        <f t="shared" si="10"/>
        <v>7000</v>
      </c>
      <c r="G92" s="17">
        <f t="shared" si="13"/>
        <v>40.090000000000003</v>
      </c>
      <c r="H92" s="17">
        <f t="shared" si="14"/>
        <v>0</v>
      </c>
      <c r="I92" s="17">
        <f t="shared" si="15"/>
        <v>0</v>
      </c>
      <c r="J92" s="18">
        <f t="shared" si="16"/>
        <v>0</v>
      </c>
      <c r="K92" s="18">
        <f t="shared" si="17"/>
        <v>0</v>
      </c>
      <c r="L92" s="18">
        <f t="shared" si="11"/>
        <v>40.090000000000003</v>
      </c>
      <c r="M92" s="18">
        <f t="shared" si="18"/>
        <v>0</v>
      </c>
      <c r="N92" s="18">
        <f t="shared" si="12"/>
        <v>40.090000000000003</v>
      </c>
      <c r="O92" s="8"/>
    </row>
    <row r="93" spans="1:15">
      <c r="A93" s="1" t="s">
        <v>83</v>
      </c>
      <c r="B93" s="11"/>
      <c r="C93" s="11">
        <v>7559000</v>
      </c>
      <c r="D93" s="11">
        <v>7561000</v>
      </c>
      <c r="E93" s="11">
        <v>0</v>
      </c>
      <c r="F93" s="11">
        <f t="shared" si="10"/>
        <v>2000</v>
      </c>
      <c r="G93" s="17">
        <f t="shared" si="13"/>
        <v>40.090000000000003</v>
      </c>
      <c r="H93" s="17">
        <f t="shared" si="14"/>
        <v>0</v>
      </c>
      <c r="I93" s="17">
        <f t="shared" si="15"/>
        <v>0</v>
      </c>
      <c r="J93" s="18">
        <f t="shared" si="16"/>
        <v>0</v>
      </c>
      <c r="K93" s="18">
        <f t="shared" si="17"/>
        <v>0</v>
      </c>
      <c r="L93" s="18">
        <f t="shared" si="11"/>
        <v>40.090000000000003</v>
      </c>
      <c r="M93" s="18">
        <f t="shared" si="18"/>
        <v>0</v>
      </c>
      <c r="N93" s="18">
        <f t="shared" si="12"/>
        <v>40.090000000000003</v>
      </c>
      <c r="O93" s="8"/>
    </row>
    <row r="94" spans="1:15">
      <c r="A94" s="1" t="s">
        <v>84</v>
      </c>
      <c r="B94" s="11"/>
      <c r="C94" s="11">
        <v>3012000</v>
      </c>
      <c r="D94" s="11">
        <v>3033000</v>
      </c>
      <c r="E94" s="11">
        <v>0</v>
      </c>
      <c r="F94" s="11">
        <f t="shared" si="10"/>
        <v>21000</v>
      </c>
      <c r="G94" s="17">
        <f t="shared" si="13"/>
        <v>40.090000000000003</v>
      </c>
      <c r="H94" s="17">
        <f t="shared" si="14"/>
        <v>21.8</v>
      </c>
      <c r="I94" s="17">
        <f t="shared" si="15"/>
        <v>2.5299999999999998</v>
      </c>
      <c r="J94" s="18">
        <f t="shared" si="16"/>
        <v>0</v>
      </c>
      <c r="K94" s="18">
        <f t="shared" si="17"/>
        <v>0</v>
      </c>
      <c r="L94" s="18">
        <f t="shared" si="11"/>
        <v>64.42</v>
      </c>
      <c r="M94" s="18">
        <f t="shared" si="18"/>
        <v>0</v>
      </c>
      <c r="N94" s="18">
        <f t="shared" si="12"/>
        <v>64.42</v>
      </c>
      <c r="O94" s="8"/>
    </row>
    <row r="95" spans="1:15">
      <c r="A95" s="1" t="s">
        <v>85</v>
      </c>
      <c r="B95" s="11"/>
      <c r="C95" s="11">
        <v>2013000</v>
      </c>
      <c r="D95" s="11">
        <v>2016000</v>
      </c>
      <c r="E95" s="11">
        <v>0</v>
      </c>
      <c r="F95" s="11">
        <f t="shared" si="10"/>
        <v>3000</v>
      </c>
      <c r="G95" s="17">
        <f t="shared" si="13"/>
        <v>40.090000000000003</v>
      </c>
      <c r="H95" s="17">
        <f t="shared" si="14"/>
        <v>0</v>
      </c>
      <c r="I95" s="17">
        <f t="shared" si="15"/>
        <v>0</v>
      </c>
      <c r="J95" s="18">
        <f t="shared" si="16"/>
        <v>0</v>
      </c>
      <c r="K95" s="18">
        <f t="shared" si="17"/>
        <v>0</v>
      </c>
      <c r="L95" s="18">
        <f t="shared" si="11"/>
        <v>40.090000000000003</v>
      </c>
      <c r="M95" s="18">
        <f t="shared" si="18"/>
        <v>0</v>
      </c>
      <c r="N95" s="18">
        <f t="shared" si="12"/>
        <v>40.090000000000003</v>
      </c>
      <c r="O95" s="8"/>
    </row>
    <row r="96" spans="1:15">
      <c r="A96" s="1" t="s">
        <v>86</v>
      </c>
      <c r="B96" s="11"/>
      <c r="C96" s="11">
        <v>1838000</v>
      </c>
      <c r="D96" s="11">
        <v>1844000</v>
      </c>
      <c r="E96" s="11">
        <v>0</v>
      </c>
      <c r="F96" s="11">
        <f t="shared" si="10"/>
        <v>6000</v>
      </c>
      <c r="G96" s="17">
        <f t="shared" si="13"/>
        <v>40.090000000000003</v>
      </c>
      <c r="H96" s="17">
        <f t="shared" si="14"/>
        <v>0</v>
      </c>
      <c r="I96" s="17">
        <f t="shared" si="15"/>
        <v>0</v>
      </c>
      <c r="J96" s="18">
        <f t="shared" si="16"/>
        <v>0</v>
      </c>
      <c r="K96" s="18">
        <f t="shared" si="17"/>
        <v>0</v>
      </c>
      <c r="L96" s="18">
        <f t="shared" si="11"/>
        <v>40.090000000000003</v>
      </c>
      <c r="M96" s="18">
        <f t="shared" si="18"/>
        <v>0</v>
      </c>
      <c r="N96" s="18">
        <f t="shared" si="12"/>
        <v>40.090000000000003</v>
      </c>
      <c r="O96" s="8"/>
    </row>
    <row r="97" spans="1:15">
      <c r="A97" s="1" t="s">
        <v>87</v>
      </c>
      <c r="B97" s="11" t="s">
        <v>138</v>
      </c>
      <c r="C97" s="11">
        <v>0</v>
      </c>
      <c r="D97" s="11">
        <v>0</v>
      </c>
      <c r="E97" s="11">
        <v>0</v>
      </c>
      <c r="F97" s="11">
        <f t="shared" si="10"/>
        <v>0</v>
      </c>
      <c r="G97" s="17">
        <f t="shared" si="13"/>
        <v>11.79</v>
      </c>
      <c r="H97" s="17">
        <f t="shared" si="14"/>
        <v>0</v>
      </c>
      <c r="I97" s="17">
        <f t="shared" si="15"/>
        <v>0</v>
      </c>
      <c r="J97" s="18">
        <f t="shared" si="16"/>
        <v>0</v>
      </c>
      <c r="K97" s="18">
        <f t="shared" si="17"/>
        <v>0</v>
      </c>
      <c r="L97" s="18">
        <f t="shared" si="11"/>
        <v>11.79</v>
      </c>
      <c r="M97" s="18">
        <f t="shared" si="18"/>
        <v>0</v>
      </c>
      <c r="N97" s="18">
        <f t="shared" si="12"/>
        <v>11.79</v>
      </c>
      <c r="O97" s="8"/>
    </row>
    <row r="98" spans="1:15">
      <c r="A98" s="1" t="s">
        <v>88</v>
      </c>
      <c r="B98" s="11"/>
      <c r="C98" s="11">
        <v>1231000</v>
      </c>
      <c r="D98" s="11">
        <v>1231000</v>
      </c>
      <c r="E98" s="11">
        <v>0</v>
      </c>
      <c r="F98" s="11">
        <f t="shared" si="10"/>
        <v>0</v>
      </c>
      <c r="G98" s="17">
        <f t="shared" si="13"/>
        <v>40.090000000000003</v>
      </c>
      <c r="H98" s="17">
        <f t="shared" si="14"/>
        <v>0</v>
      </c>
      <c r="I98" s="17">
        <f t="shared" si="15"/>
        <v>0</v>
      </c>
      <c r="J98" s="18">
        <f t="shared" si="16"/>
        <v>0</v>
      </c>
      <c r="K98" s="18">
        <f t="shared" si="17"/>
        <v>0</v>
      </c>
      <c r="L98" s="18">
        <f t="shared" si="11"/>
        <v>40.090000000000003</v>
      </c>
      <c r="M98" s="18">
        <f t="shared" si="18"/>
        <v>0</v>
      </c>
      <c r="N98" s="18">
        <f t="shared" si="12"/>
        <v>40.090000000000003</v>
      </c>
      <c r="O98" s="8"/>
    </row>
    <row r="99" spans="1:15">
      <c r="A99" s="1" t="s">
        <v>89</v>
      </c>
      <c r="B99" s="11"/>
      <c r="C99" s="11">
        <v>2252000</v>
      </c>
      <c r="D99" s="11">
        <v>2257000</v>
      </c>
      <c r="E99" s="11">
        <v>0</v>
      </c>
      <c r="F99" s="11">
        <f t="shared" si="10"/>
        <v>5000</v>
      </c>
      <c r="G99" s="17">
        <f t="shared" si="13"/>
        <v>40.090000000000003</v>
      </c>
      <c r="H99" s="17">
        <f t="shared" si="14"/>
        <v>0</v>
      </c>
      <c r="I99" s="17">
        <f t="shared" si="15"/>
        <v>0</v>
      </c>
      <c r="J99" s="18">
        <f t="shared" si="16"/>
        <v>0</v>
      </c>
      <c r="K99" s="18">
        <f t="shared" si="17"/>
        <v>0</v>
      </c>
      <c r="L99" s="18">
        <f t="shared" si="11"/>
        <v>40.090000000000003</v>
      </c>
      <c r="M99" s="18">
        <f t="shared" si="18"/>
        <v>0</v>
      </c>
      <c r="N99" s="18">
        <f t="shared" si="12"/>
        <v>40.090000000000003</v>
      </c>
      <c r="O99" s="8"/>
    </row>
    <row r="100" spans="1:15">
      <c r="A100" s="1" t="s">
        <v>90</v>
      </c>
      <c r="B100" s="11"/>
      <c r="C100" s="11">
        <v>1231000</v>
      </c>
      <c r="D100" s="11">
        <v>1236000</v>
      </c>
      <c r="E100" s="11">
        <v>0</v>
      </c>
      <c r="F100" s="11">
        <f t="shared" si="10"/>
        <v>5000</v>
      </c>
      <c r="G100" s="17">
        <f t="shared" si="13"/>
        <v>40.090000000000003</v>
      </c>
      <c r="H100" s="17">
        <f t="shared" si="14"/>
        <v>0</v>
      </c>
      <c r="I100" s="17">
        <f t="shared" si="15"/>
        <v>0</v>
      </c>
      <c r="J100" s="18">
        <f t="shared" si="16"/>
        <v>0</v>
      </c>
      <c r="K100" s="18">
        <f t="shared" si="17"/>
        <v>0</v>
      </c>
      <c r="L100" s="18">
        <f t="shared" si="11"/>
        <v>40.090000000000003</v>
      </c>
      <c r="M100" s="18">
        <f t="shared" si="18"/>
        <v>0</v>
      </c>
      <c r="N100" s="18">
        <f t="shared" si="12"/>
        <v>40.090000000000003</v>
      </c>
      <c r="O100" s="8"/>
    </row>
    <row r="101" spans="1:15">
      <c r="A101" s="1" t="s">
        <v>91</v>
      </c>
      <c r="B101" s="11"/>
      <c r="C101" s="11">
        <v>242200</v>
      </c>
      <c r="D101" s="11">
        <v>250900</v>
      </c>
      <c r="E101" s="11">
        <v>0</v>
      </c>
      <c r="F101" s="11">
        <f t="shared" si="10"/>
        <v>8700</v>
      </c>
      <c r="G101" s="17">
        <f t="shared" si="13"/>
        <v>40.090000000000003</v>
      </c>
      <c r="H101" s="17">
        <f t="shared" si="14"/>
        <v>0</v>
      </c>
      <c r="I101" s="17">
        <f t="shared" si="15"/>
        <v>0</v>
      </c>
      <c r="J101" s="18">
        <f t="shared" si="16"/>
        <v>0</v>
      </c>
      <c r="K101" s="18">
        <f t="shared" si="17"/>
        <v>0</v>
      </c>
      <c r="L101" s="18">
        <f t="shared" si="11"/>
        <v>40.090000000000003</v>
      </c>
      <c r="M101" s="18">
        <f t="shared" si="18"/>
        <v>0</v>
      </c>
      <c r="N101" s="18">
        <f t="shared" si="12"/>
        <v>40.090000000000003</v>
      </c>
      <c r="O101" s="8"/>
    </row>
    <row r="102" spans="1:15">
      <c r="A102" s="1" t="s">
        <v>92</v>
      </c>
      <c r="B102" s="11"/>
      <c r="C102" s="11">
        <v>2510000</v>
      </c>
      <c r="D102" s="11">
        <v>2514000</v>
      </c>
      <c r="E102" s="11">
        <v>0</v>
      </c>
      <c r="F102" s="11">
        <f t="shared" si="10"/>
        <v>4000</v>
      </c>
      <c r="G102" s="17">
        <f t="shared" si="13"/>
        <v>40.090000000000003</v>
      </c>
      <c r="H102" s="17">
        <f t="shared" si="14"/>
        <v>0</v>
      </c>
      <c r="I102" s="17">
        <f t="shared" si="15"/>
        <v>0</v>
      </c>
      <c r="J102" s="18">
        <f t="shared" si="16"/>
        <v>0</v>
      </c>
      <c r="K102" s="18">
        <f t="shared" si="17"/>
        <v>0</v>
      </c>
      <c r="L102" s="18">
        <f t="shared" si="11"/>
        <v>40.090000000000003</v>
      </c>
      <c r="M102" s="18">
        <f t="shared" si="18"/>
        <v>0</v>
      </c>
      <c r="N102" s="18">
        <f t="shared" si="12"/>
        <v>40.090000000000003</v>
      </c>
      <c r="O102" s="8"/>
    </row>
    <row r="103" spans="1:15">
      <c r="A103" s="1" t="s">
        <v>93</v>
      </c>
      <c r="B103" s="11" t="s">
        <v>138</v>
      </c>
      <c r="C103" s="11">
        <v>0</v>
      </c>
      <c r="D103" s="11">
        <v>0</v>
      </c>
      <c r="E103" s="11">
        <v>0</v>
      </c>
      <c r="F103" s="11">
        <f t="shared" si="10"/>
        <v>0</v>
      </c>
      <c r="G103" s="17">
        <f t="shared" si="13"/>
        <v>11.79</v>
      </c>
      <c r="H103" s="17">
        <f t="shared" si="14"/>
        <v>0</v>
      </c>
      <c r="I103" s="17">
        <f t="shared" si="15"/>
        <v>0</v>
      </c>
      <c r="J103" s="18">
        <f t="shared" si="16"/>
        <v>0</v>
      </c>
      <c r="K103" s="18">
        <f t="shared" si="17"/>
        <v>0</v>
      </c>
      <c r="L103" s="18">
        <f t="shared" si="11"/>
        <v>11.79</v>
      </c>
      <c r="M103" s="18">
        <f t="shared" si="18"/>
        <v>0</v>
      </c>
      <c r="N103" s="18">
        <f t="shared" si="12"/>
        <v>11.79</v>
      </c>
      <c r="O103" s="8"/>
    </row>
    <row r="104" spans="1:15">
      <c r="A104" s="1" t="s">
        <v>94</v>
      </c>
      <c r="B104" s="11" t="s">
        <v>138</v>
      </c>
      <c r="C104" s="11">
        <v>0</v>
      </c>
      <c r="D104" s="11">
        <v>0</v>
      </c>
      <c r="E104" s="11">
        <v>0</v>
      </c>
      <c r="F104" s="11">
        <f t="shared" si="10"/>
        <v>0</v>
      </c>
      <c r="G104" s="17">
        <f t="shared" si="13"/>
        <v>11.79</v>
      </c>
      <c r="H104" s="17">
        <f t="shared" si="14"/>
        <v>0</v>
      </c>
      <c r="I104" s="17">
        <f t="shared" si="15"/>
        <v>0</v>
      </c>
      <c r="J104" s="18">
        <f t="shared" si="16"/>
        <v>0</v>
      </c>
      <c r="K104" s="18">
        <f t="shared" si="17"/>
        <v>0</v>
      </c>
      <c r="L104" s="18">
        <f t="shared" si="11"/>
        <v>11.79</v>
      </c>
      <c r="M104" s="18">
        <f t="shared" si="18"/>
        <v>0</v>
      </c>
      <c r="N104" s="18">
        <f t="shared" si="12"/>
        <v>11.79</v>
      </c>
      <c r="O104" s="8"/>
    </row>
    <row r="105" spans="1:15">
      <c r="A105" s="1" t="s">
        <v>95</v>
      </c>
      <c r="B105" s="11" t="s">
        <v>138</v>
      </c>
      <c r="C105" s="11">
        <v>0</v>
      </c>
      <c r="D105" s="11">
        <v>0</v>
      </c>
      <c r="E105" s="11">
        <v>0</v>
      </c>
      <c r="F105" s="11">
        <f t="shared" si="10"/>
        <v>0</v>
      </c>
      <c r="G105" s="17">
        <f t="shared" si="13"/>
        <v>11.79</v>
      </c>
      <c r="H105" s="17">
        <f t="shared" si="14"/>
        <v>0</v>
      </c>
      <c r="I105" s="17">
        <f t="shared" si="15"/>
        <v>0</v>
      </c>
      <c r="J105" s="18">
        <f t="shared" si="16"/>
        <v>0</v>
      </c>
      <c r="K105" s="18">
        <f t="shared" si="17"/>
        <v>0</v>
      </c>
      <c r="L105" s="18">
        <f t="shared" si="11"/>
        <v>11.79</v>
      </c>
      <c r="M105" s="18">
        <f t="shared" si="18"/>
        <v>0</v>
      </c>
      <c r="N105" s="18">
        <f t="shared" si="12"/>
        <v>11.79</v>
      </c>
      <c r="O105" s="8"/>
    </row>
    <row r="106" spans="1:15">
      <c r="A106" s="1" t="s">
        <v>96</v>
      </c>
      <c r="B106" s="11"/>
      <c r="C106" s="11">
        <v>1831000</v>
      </c>
      <c r="D106" s="11">
        <v>1836000</v>
      </c>
      <c r="E106" s="11">
        <v>0</v>
      </c>
      <c r="F106" s="11">
        <f t="shared" si="10"/>
        <v>5000</v>
      </c>
      <c r="G106" s="17">
        <f t="shared" si="13"/>
        <v>40.090000000000003</v>
      </c>
      <c r="H106" s="17">
        <f t="shared" si="14"/>
        <v>0</v>
      </c>
      <c r="I106" s="17">
        <f t="shared" si="15"/>
        <v>0</v>
      </c>
      <c r="J106" s="18">
        <f t="shared" si="16"/>
        <v>0</v>
      </c>
      <c r="K106" s="18">
        <f t="shared" si="17"/>
        <v>0</v>
      </c>
      <c r="L106" s="18">
        <f t="shared" si="11"/>
        <v>40.090000000000003</v>
      </c>
      <c r="M106" s="18">
        <f t="shared" si="18"/>
        <v>0</v>
      </c>
      <c r="N106" s="18">
        <f t="shared" si="12"/>
        <v>40.090000000000003</v>
      </c>
      <c r="O106" s="8"/>
    </row>
    <row r="107" spans="1:15">
      <c r="A107" s="1" t="s">
        <v>97</v>
      </c>
      <c r="B107" s="11" t="s">
        <v>138</v>
      </c>
      <c r="C107" s="11">
        <v>0</v>
      </c>
      <c r="D107" s="11">
        <v>0</v>
      </c>
      <c r="E107" s="11">
        <v>0</v>
      </c>
      <c r="F107" s="11">
        <f t="shared" si="10"/>
        <v>0</v>
      </c>
      <c r="G107" s="17">
        <f t="shared" si="13"/>
        <v>11.79</v>
      </c>
      <c r="H107" s="17">
        <f t="shared" si="14"/>
        <v>0</v>
      </c>
      <c r="I107" s="17">
        <f t="shared" si="15"/>
        <v>0</v>
      </c>
      <c r="J107" s="18">
        <f t="shared" si="16"/>
        <v>0</v>
      </c>
      <c r="K107" s="18">
        <f t="shared" si="17"/>
        <v>0</v>
      </c>
      <c r="L107" s="18">
        <f t="shared" si="11"/>
        <v>11.79</v>
      </c>
      <c r="M107" s="18">
        <f t="shared" si="18"/>
        <v>0</v>
      </c>
      <c r="N107" s="18">
        <f t="shared" si="12"/>
        <v>11.79</v>
      </c>
      <c r="O107" s="8"/>
    </row>
    <row r="108" spans="1:15">
      <c r="A108" s="1" t="s">
        <v>98</v>
      </c>
      <c r="B108" s="11" t="s">
        <v>138</v>
      </c>
      <c r="C108" s="11">
        <v>0</v>
      </c>
      <c r="D108" s="11">
        <v>0</v>
      </c>
      <c r="E108" s="11">
        <v>0</v>
      </c>
      <c r="F108" s="11">
        <f t="shared" si="10"/>
        <v>0</v>
      </c>
      <c r="G108" s="17">
        <f t="shared" si="13"/>
        <v>11.79</v>
      </c>
      <c r="H108" s="17">
        <f t="shared" si="14"/>
        <v>0</v>
      </c>
      <c r="I108" s="17">
        <f t="shared" si="15"/>
        <v>0</v>
      </c>
      <c r="J108" s="18">
        <f t="shared" si="16"/>
        <v>0</v>
      </c>
      <c r="K108" s="18">
        <f t="shared" si="17"/>
        <v>0</v>
      </c>
      <c r="L108" s="18">
        <f t="shared" si="11"/>
        <v>11.79</v>
      </c>
      <c r="M108" s="18">
        <f t="shared" si="18"/>
        <v>0</v>
      </c>
      <c r="N108" s="18">
        <f t="shared" si="12"/>
        <v>11.79</v>
      </c>
      <c r="O108" s="8"/>
    </row>
    <row r="109" spans="1:15">
      <c r="A109" s="1" t="s">
        <v>99</v>
      </c>
      <c r="B109" s="11"/>
      <c r="C109" s="11">
        <v>1655000</v>
      </c>
      <c r="D109" s="11">
        <v>1658000</v>
      </c>
      <c r="E109" s="11">
        <v>0</v>
      </c>
      <c r="F109" s="11">
        <f t="shared" si="10"/>
        <v>3000</v>
      </c>
      <c r="G109" s="17">
        <f t="shared" si="13"/>
        <v>40.090000000000003</v>
      </c>
      <c r="H109" s="17">
        <f t="shared" si="14"/>
        <v>0</v>
      </c>
      <c r="I109" s="17">
        <f t="shared" si="15"/>
        <v>0</v>
      </c>
      <c r="J109" s="18">
        <f t="shared" si="16"/>
        <v>0</v>
      </c>
      <c r="K109" s="18">
        <f t="shared" si="17"/>
        <v>0</v>
      </c>
      <c r="L109" s="18">
        <f t="shared" si="11"/>
        <v>40.090000000000003</v>
      </c>
      <c r="M109" s="18">
        <f t="shared" si="18"/>
        <v>0</v>
      </c>
      <c r="N109" s="18">
        <f t="shared" si="12"/>
        <v>40.090000000000003</v>
      </c>
      <c r="O109" s="8"/>
    </row>
    <row r="110" spans="1:15">
      <c r="A110" s="1" t="s">
        <v>100</v>
      </c>
      <c r="B110" s="11"/>
      <c r="C110" s="11">
        <v>507000</v>
      </c>
      <c r="D110" s="11">
        <v>512000</v>
      </c>
      <c r="E110" s="11">
        <v>0</v>
      </c>
      <c r="F110" s="11">
        <f t="shared" si="10"/>
        <v>5000</v>
      </c>
      <c r="G110" s="17">
        <f t="shared" si="13"/>
        <v>40.090000000000003</v>
      </c>
      <c r="H110" s="17">
        <f t="shared" si="14"/>
        <v>0</v>
      </c>
      <c r="I110" s="17">
        <f t="shared" si="15"/>
        <v>0</v>
      </c>
      <c r="J110" s="18">
        <f t="shared" si="16"/>
        <v>0</v>
      </c>
      <c r="K110" s="18">
        <f t="shared" si="17"/>
        <v>0</v>
      </c>
      <c r="L110" s="18">
        <f t="shared" si="11"/>
        <v>40.090000000000003</v>
      </c>
      <c r="M110" s="18">
        <f t="shared" si="18"/>
        <v>0</v>
      </c>
      <c r="N110" s="18">
        <f t="shared" si="12"/>
        <v>40.090000000000003</v>
      </c>
      <c r="O110" s="8"/>
    </row>
    <row r="111" spans="1:15">
      <c r="A111" s="1" t="s">
        <v>101</v>
      </c>
      <c r="B111" s="11"/>
      <c r="C111" s="11">
        <v>4542000</v>
      </c>
      <c r="D111" s="11">
        <v>4545000</v>
      </c>
      <c r="E111" s="11">
        <v>0</v>
      </c>
      <c r="F111" s="11">
        <f t="shared" si="10"/>
        <v>3000</v>
      </c>
      <c r="G111" s="17">
        <f t="shared" si="13"/>
        <v>40.090000000000003</v>
      </c>
      <c r="H111" s="17">
        <f t="shared" si="14"/>
        <v>0</v>
      </c>
      <c r="I111" s="17">
        <f t="shared" si="15"/>
        <v>0</v>
      </c>
      <c r="J111" s="18">
        <f t="shared" si="16"/>
        <v>0</v>
      </c>
      <c r="K111" s="18">
        <f t="shared" si="17"/>
        <v>0</v>
      </c>
      <c r="L111" s="18">
        <f t="shared" si="11"/>
        <v>40.090000000000003</v>
      </c>
      <c r="M111" s="18">
        <f t="shared" si="18"/>
        <v>0</v>
      </c>
      <c r="N111" s="18">
        <f t="shared" si="12"/>
        <v>40.090000000000003</v>
      </c>
      <c r="O111" s="8"/>
    </row>
    <row r="112" spans="1:15">
      <c r="A112" s="1" t="s">
        <v>102</v>
      </c>
      <c r="B112" s="11" t="s">
        <v>138</v>
      </c>
      <c r="C112" s="11">
        <v>0</v>
      </c>
      <c r="D112" s="11">
        <v>0</v>
      </c>
      <c r="E112" s="11">
        <v>0</v>
      </c>
      <c r="F112" s="11">
        <f t="shared" si="10"/>
        <v>0</v>
      </c>
      <c r="G112" s="17">
        <f t="shared" si="13"/>
        <v>11.79</v>
      </c>
      <c r="H112" s="17">
        <f t="shared" si="14"/>
        <v>0</v>
      </c>
      <c r="I112" s="17">
        <f t="shared" si="15"/>
        <v>0</v>
      </c>
      <c r="J112" s="18">
        <f t="shared" si="16"/>
        <v>0</v>
      </c>
      <c r="K112" s="18">
        <f t="shared" si="17"/>
        <v>0</v>
      </c>
      <c r="L112" s="18">
        <f t="shared" si="11"/>
        <v>11.79</v>
      </c>
      <c r="M112" s="18">
        <f t="shared" si="18"/>
        <v>0</v>
      </c>
      <c r="N112" s="18">
        <f t="shared" si="12"/>
        <v>11.79</v>
      </c>
      <c r="O112" s="8"/>
    </row>
    <row r="113" spans="1:15">
      <c r="A113" s="1" t="s">
        <v>103</v>
      </c>
      <c r="B113" s="11"/>
      <c r="C113" s="11">
        <v>1182000</v>
      </c>
      <c r="D113" s="11">
        <v>1191000</v>
      </c>
      <c r="E113" s="11">
        <v>0</v>
      </c>
      <c r="F113" s="11">
        <f t="shared" si="10"/>
        <v>9000</v>
      </c>
      <c r="G113" s="17">
        <f t="shared" si="13"/>
        <v>40.090000000000003</v>
      </c>
      <c r="H113" s="17">
        <f t="shared" si="14"/>
        <v>0</v>
      </c>
      <c r="I113" s="17">
        <f t="shared" si="15"/>
        <v>0</v>
      </c>
      <c r="J113" s="18">
        <f t="shared" si="16"/>
        <v>0</v>
      </c>
      <c r="K113" s="18">
        <f t="shared" si="17"/>
        <v>0</v>
      </c>
      <c r="L113" s="18">
        <f t="shared" si="11"/>
        <v>40.090000000000003</v>
      </c>
      <c r="M113" s="18">
        <f t="shared" ref="M113:M136" si="19">IF(   $H$5=1,    IF((F113-$H$6)&gt;0,((F113-$H$6)/$N$7)*$E$8,0),   IF(F113&gt;0,(F113/$N$4)*$E$8,0)    )</f>
        <v>0</v>
      </c>
      <c r="N113" s="18">
        <f t="shared" si="12"/>
        <v>40.090000000000003</v>
      </c>
      <c r="O113" s="8"/>
    </row>
    <row r="114" spans="1:15">
      <c r="A114" s="1" t="s">
        <v>104</v>
      </c>
      <c r="B114" s="11" t="s">
        <v>138</v>
      </c>
      <c r="C114" s="11">
        <v>0</v>
      </c>
      <c r="D114" s="11">
        <v>0</v>
      </c>
      <c r="E114" s="11">
        <v>0</v>
      </c>
      <c r="F114" s="11">
        <f t="shared" si="10"/>
        <v>0</v>
      </c>
      <c r="G114" s="17">
        <f t="shared" si="13"/>
        <v>11.79</v>
      </c>
      <c r="H114" s="17">
        <f t="shared" si="14"/>
        <v>0</v>
      </c>
      <c r="I114" s="17">
        <f t="shared" si="15"/>
        <v>0</v>
      </c>
      <c r="J114" s="18">
        <f t="shared" si="16"/>
        <v>0</v>
      </c>
      <c r="K114" s="18">
        <f t="shared" si="17"/>
        <v>0</v>
      </c>
      <c r="L114" s="18">
        <f t="shared" si="11"/>
        <v>11.79</v>
      </c>
      <c r="M114" s="18">
        <f t="shared" si="19"/>
        <v>0</v>
      </c>
      <c r="N114" s="18">
        <f t="shared" si="12"/>
        <v>11.79</v>
      </c>
      <c r="O114" s="8"/>
    </row>
    <row r="115" spans="1:15">
      <c r="A115" s="1" t="s">
        <v>105</v>
      </c>
      <c r="B115" s="11"/>
      <c r="C115" s="11">
        <v>1461000</v>
      </c>
      <c r="D115" s="11">
        <v>1464000</v>
      </c>
      <c r="E115" s="11">
        <v>0</v>
      </c>
      <c r="F115" s="11">
        <f t="shared" si="10"/>
        <v>3000</v>
      </c>
      <c r="G115" s="17">
        <f t="shared" si="13"/>
        <v>40.090000000000003</v>
      </c>
      <c r="H115" s="17">
        <f t="shared" si="14"/>
        <v>0</v>
      </c>
      <c r="I115" s="17">
        <f t="shared" si="15"/>
        <v>0</v>
      </c>
      <c r="J115" s="18">
        <f t="shared" si="16"/>
        <v>0</v>
      </c>
      <c r="K115" s="18">
        <f t="shared" si="17"/>
        <v>0</v>
      </c>
      <c r="L115" s="18">
        <f t="shared" si="11"/>
        <v>40.090000000000003</v>
      </c>
      <c r="M115" s="18">
        <f t="shared" si="19"/>
        <v>0</v>
      </c>
      <c r="N115" s="18">
        <f t="shared" si="12"/>
        <v>40.090000000000003</v>
      </c>
      <c r="O115" s="8"/>
    </row>
    <row r="116" spans="1:15">
      <c r="A116" s="1" t="s">
        <v>106</v>
      </c>
      <c r="B116" s="11"/>
      <c r="C116" s="11">
        <v>1788000</v>
      </c>
      <c r="D116" s="11">
        <v>1790000</v>
      </c>
      <c r="E116" s="11">
        <v>0</v>
      </c>
      <c r="F116" s="11">
        <f t="shared" si="10"/>
        <v>2000</v>
      </c>
      <c r="G116" s="17">
        <f t="shared" si="13"/>
        <v>40.090000000000003</v>
      </c>
      <c r="H116" s="17">
        <f t="shared" si="14"/>
        <v>0</v>
      </c>
      <c r="I116" s="17">
        <f t="shared" si="15"/>
        <v>0</v>
      </c>
      <c r="J116" s="18">
        <f t="shared" si="16"/>
        <v>0</v>
      </c>
      <c r="K116" s="18">
        <f t="shared" si="17"/>
        <v>0</v>
      </c>
      <c r="L116" s="18">
        <f t="shared" si="11"/>
        <v>40.090000000000003</v>
      </c>
      <c r="M116" s="18">
        <f t="shared" si="19"/>
        <v>0</v>
      </c>
      <c r="N116" s="18">
        <f t="shared" si="12"/>
        <v>40.090000000000003</v>
      </c>
      <c r="O116" s="8"/>
    </row>
    <row r="117" spans="1:15">
      <c r="A117" s="1" t="s">
        <v>107</v>
      </c>
      <c r="B117" s="11"/>
      <c r="C117" s="11">
        <v>318000</v>
      </c>
      <c r="D117" s="11">
        <v>320000</v>
      </c>
      <c r="E117" s="11">
        <v>0</v>
      </c>
      <c r="F117" s="11">
        <f t="shared" si="10"/>
        <v>2000</v>
      </c>
      <c r="G117" s="17">
        <f t="shared" si="13"/>
        <v>40.090000000000003</v>
      </c>
      <c r="H117" s="17">
        <f t="shared" si="14"/>
        <v>0</v>
      </c>
      <c r="I117" s="17">
        <f t="shared" si="15"/>
        <v>0</v>
      </c>
      <c r="J117" s="18">
        <f t="shared" si="16"/>
        <v>0</v>
      </c>
      <c r="K117" s="18">
        <f t="shared" si="17"/>
        <v>0</v>
      </c>
      <c r="L117" s="18">
        <f t="shared" si="11"/>
        <v>40.090000000000003</v>
      </c>
      <c r="M117" s="18">
        <f t="shared" si="19"/>
        <v>0</v>
      </c>
      <c r="N117" s="18">
        <f t="shared" si="12"/>
        <v>40.090000000000003</v>
      </c>
      <c r="O117" s="8"/>
    </row>
    <row r="118" spans="1:15">
      <c r="A118" s="1" t="s">
        <v>108</v>
      </c>
      <c r="B118" s="11"/>
      <c r="C118" s="11">
        <v>2568000</v>
      </c>
      <c r="D118" s="11">
        <v>2580000</v>
      </c>
      <c r="E118" s="11">
        <v>0</v>
      </c>
      <c r="F118" s="11">
        <f t="shared" si="10"/>
        <v>12000</v>
      </c>
      <c r="G118" s="17">
        <f t="shared" si="13"/>
        <v>40.090000000000003</v>
      </c>
      <c r="H118" s="17">
        <f t="shared" si="14"/>
        <v>4.3600000000000003</v>
      </c>
      <c r="I118" s="17">
        <f t="shared" si="15"/>
        <v>0</v>
      </c>
      <c r="J118" s="18">
        <f t="shared" si="16"/>
        <v>0</v>
      </c>
      <c r="K118" s="18">
        <f t="shared" si="17"/>
        <v>0</v>
      </c>
      <c r="L118" s="18">
        <f t="shared" si="11"/>
        <v>44.45</v>
      </c>
      <c r="M118" s="18">
        <f t="shared" si="19"/>
        <v>0</v>
      </c>
      <c r="N118" s="18">
        <f t="shared" si="12"/>
        <v>44.45</v>
      </c>
      <c r="O118" s="8"/>
    </row>
    <row r="119" spans="1:15">
      <c r="A119" s="1" t="s">
        <v>109</v>
      </c>
      <c r="B119" s="11" t="s">
        <v>138</v>
      </c>
      <c r="C119" s="11">
        <v>0</v>
      </c>
      <c r="D119" s="11">
        <v>0</v>
      </c>
      <c r="E119" s="11">
        <v>0</v>
      </c>
      <c r="F119" s="11">
        <f t="shared" si="10"/>
        <v>0</v>
      </c>
      <c r="G119" s="17">
        <f t="shared" si="13"/>
        <v>11.79</v>
      </c>
      <c r="H119" s="17">
        <f t="shared" si="14"/>
        <v>0</v>
      </c>
      <c r="I119" s="17">
        <f t="shared" si="15"/>
        <v>0</v>
      </c>
      <c r="J119" s="18">
        <f t="shared" si="16"/>
        <v>0</v>
      </c>
      <c r="K119" s="18">
        <f t="shared" si="17"/>
        <v>0</v>
      </c>
      <c r="L119" s="18">
        <f t="shared" si="11"/>
        <v>11.79</v>
      </c>
      <c r="M119" s="18">
        <f t="shared" si="19"/>
        <v>0</v>
      </c>
      <c r="N119" s="18">
        <f t="shared" si="12"/>
        <v>11.79</v>
      </c>
      <c r="O119" s="8"/>
    </row>
    <row r="120" spans="1:15">
      <c r="A120" s="1" t="s">
        <v>110</v>
      </c>
      <c r="B120" s="11"/>
      <c r="C120" s="11">
        <v>3779000</v>
      </c>
      <c r="D120" s="11">
        <v>3785000</v>
      </c>
      <c r="E120" s="11">
        <v>0</v>
      </c>
      <c r="F120" s="11">
        <f t="shared" si="10"/>
        <v>6000</v>
      </c>
      <c r="G120" s="17">
        <f t="shared" si="13"/>
        <v>40.090000000000003</v>
      </c>
      <c r="H120" s="17">
        <f t="shared" si="14"/>
        <v>0</v>
      </c>
      <c r="I120" s="17">
        <f t="shared" si="15"/>
        <v>0</v>
      </c>
      <c r="J120" s="18">
        <f t="shared" si="16"/>
        <v>0</v>
      </c>
      <c r="K120" s="18">
        <f t="shared" si="17"/>
        <v>0</v>
      </c>
      <c r="L120" s="18">
        <f t="shared" si="11"/>
        <v>40.090000000000003</v>
      </c>
      <c r="M120" s="18">
        <f t="shared" si="19"/>
        <v>0</v>
      </c>
      <c r="N120" s="18">
        <f t="shared" si="12"/>
        <v>40.090000000000003</v>
      </c>
      <c r="O120" s="8"/>
    </row>
    <row r="121" spans="1:15">
      <c r="A121" s="1" t="s">
        <v>111</v>
      </c>
      <c r="B121" s="11"/>
      <c r="C121" s="11">
        <v>3500000</v>
      </c>
      <c r="D121" s="11">
        <v>3503000</v>
      </c>
      <c r="E121" s="11">
        <v>0</v>
      </c>
      <c r="F121" s="11">
        <f t="shared" si="10"/>
        <v>3000</v>
      </c>
      <c r="G121" s="17">
        <f t="shared" si="13"/>
        <v>40.090000000000003</v>
      </c>
      <c r="H121" s="17">
        <f t="shared" si="14"/>
        <v>0</v>
      </c>
      <c r="I121" s="17">
        <f t="shared" si="15"/>
        <v>0</v>
      </c>
      <c r="J121" s="18">
        <f t="shared" si="16"/>
        <v>0</v>
      </c>
      <c r="K121" s="18">
        <f t="shared" si="17"/>
        <v>0</v>
      </c>
      <c r="L121" s="18">
        <f t="shared" si="11"/>
        <v>40.090000000000003</v>
      </c>
      <c r="M121" s="18">
        <f t="shared" si="19"/>
        <v>0</v>
      </c>
      <c r="N121" s="18">
        <f t="shared" si="12"/>
        <v>40.090000000000003</v>
      </c>
      <c r="O121" s="8"/>
    </row>
    <row r="122" spans="1:15">
      <c r="A122" s="1" t="s">
        <v>112</v>
      </c>
      <c r="B122" s="11"/>
      <c r="C122" s="11">
        <v>337000</v>
      </c>
      <c r="D122" s="11">
        <v>339000</v>
      </c>
      <c r="E122" s="11">
        <v>0</v>
      </c>
      <c r="F122" s="11">
        <f t="shared" si="10"/>
        <v>2000</v>
      </c>
      <c r="G122" s="17">
        <f t="shared" si="13"/>
        <v>40.090000000000003</v>
      </c>
      <c r="H122" s="17">
        <f t="shared" si="14"/>
        <v>0</v>
      </c>
      <c r="I122" s="17">
        <f t="shared" si="15"/>
        <v>0</v>
      </c>
      <c r="J122" s="18">
        <f t="shared" si="16"/>
        <v>0</v>
      </c>
      <c r="K122" s="18">
        <f t="shared" si="17"/>
        <v>0</v>
      </c>
      <c r="L122" s="18">
        <f t="shared" si="11"/>
        <v>40.090000000000003</v>
      </c>
      <c r="M122" s="18">
        <f t="shared" si="19"/>
        <v>0</v>
      </c>
      <c r="N122" s="18">
        <f t="shared" si="12"/>
        <v>40.090000000000003</v>
      </c>
      <c r="O122" s="8"/>
    </row>
    <row r="123" spans="1:15">
      <c r="A123" s="1" t="s">
        <v>113</v>
      </c>
      <c r="B123" s="11"/>
      <c r="C123" s="11">
        <v>1430000</v>
      </c>
      <c r="D123" s="11">
        <v>1435000</v>
      </c>
      <c r="E123" s="11">
        <v>0</v>
      </c>
      <c r="F123" s="11">
        <f t="shared" si="10"/>
        <v>5000</v>
      </c>
      <c r="G123" s="17">
        <f t="shared" si="13"/>
        <v>40.090000000000003</v>
      </c>
      <c r="H123" s="17">
        <f t="shared" si="14"/>
        <v>0</v>
      </c>
      <c r="I123" s="17">
        <f t="shared" si="15"/>
        <v>0</v>
      </c>
      <c r="J123" s="18">
        <f t="shared" si="16"/>
        <v>0</v>
      </c>
      <c r="K123" s="18">
        <f t="shared" si="17"/>
        <v>0</v>
      </c>
      <c r="L123" s="18">
        <f t="shared" si="11"/>
        <v>40.090000000000003</v>
      </c>
      <c r="M123" s="18">
        <f t="shared" si="19"/>
        <v>0</v>
      </c>
      <c r="N123" s="18">
        <f t="shared" si="12"/>
        <v>40.090000000000003</v>
      </c>
      <c r="O123" s="8"/>
    </row>
    <row r="124" spans="1:15">
      <c r="A124" s="1" t="s">
        <v>114</v>
      </c>
      <c r="B124" s="11"/>
      <c r="C124" s="11">
        <v>2573000</v>
      </c>
      <c r="D124" s="11">
        <v>2574000</v>
      </c>
      <c r="E124" s="11">
        <v>0</v>
      </c>
      <c r="F124" s="11">
        <f t="shared" si="10"/>
        <v>1000</v>
      </c>
      <c r="G124" s="17">
        <f t="shared" si="13"/>
        <v>40.090000000000003</v>
      </c>
      <c r="H124" s="17">
        <f t="shared" si="14"/>
        <v>0</v>
      </c>
      <c r="I124" s="17">
        <f t="shared" si="15"/>
        <v>0</v>
      </c>
      <c r="J124" s="18">
        <f t="shared" si="16"/>
        <v>0</v>
      </c>
      <c r="K124" s="18">
        <f t="shared" si="17"/>
        <v>0</v>
      </c>
      <c r="L124" s="18">
        <f t="shared" si="11"/>
        <v>40.090000000000003</v>
      </c>
      <c r="M124" s="18">
        <f t="shared" si="19"/>
        <v>0</v>
      </c>
      <c r="N124" s="18">
        <f t="shared" si="12"/>
        <v>40.090000000000003</v>
      </c>
      <c r="O124" s="8"/>
    </row>
    <row r="125" spans="1:15">
      <c r="A125" s="1" t="s">
        <v>115</v>
      </c>
      <c r="B125" s="11"/>
      <c r="C125" s="11">
        <v>2442000</v>
      </c>
      <c r="D125" s="11">
        <v>2457000</v>
      </c>
      <c r="E125" s="11">
        <v>0</v>
      </c>
      <c r="F125" s="11">
        <f t="shared" si="10"/>
        <v>15000</v>
      </c>
      <c r="G125" s="17">
        <f t="shared" si="13"/>
        <v>40.090000000000003</v>
      </c>
      <c r="H125" s="17">
        <f t="shared" si="14"/>
        <v>10.9</v>
      </c>
      <c r="I125" s="17">
        <f t="shared" si="15"/>
        <v>0</v>
      </c>
      <c r="J125" s="18">
        <f t="shared" si="16"/>
        <v>0</v>
      </c>
      <c r="K125" s="18">
        <f t="shared" si="17"/>
        <v>0</v>
      </c>
      <c r="L125" s="18">
        <f t="shared" si="11"/>
        <v>50.99</v>
      </c>
      <c r="M125" s="18">
        <f t="shared" si="19"/>
        <v>0</v>
      </c>
      <c r="N125" s="18">
        <f t="shared" si="12"/>
        <v>50.99</v>
      </c>
      <c r="O125" s="8"/>
    </row>
    <row r="126" spans="1:15">
      <c r="A126" s="1" t="s">
        <v>116</v>
      </c>
      <c r="B126" s="11"/>
      <c r="C126" s="11">
        <v>4249000</v>
      </c>
      <c r="D126" s="11">
        <v>4253000</v>
      </c>
      <c r="E126" s="11">
        <v>0</v>
      </c>
      <c r="F126" s="11">
        <f t="shared" si="10"/>
        <v>4000</v>
      </c>
      <c r="G126" s="17">
        <f t="shared" si="13"/>
        <v>40.090000000000003</v>
      </c>
      <c r="H126" s="17">
        <f t="shared" si="14"/>
        <v>0</v>
      </c>
      <c r="I126" s="17">
        <f t="shared" si="15"/>
        <v>0</v>
      </c>
      <c r="J126" s="18">
        <f t="shared" si="16"/>
        <v>0</v>
      </c>
      <c r="K126" s="18">
        <f t="shared" si="17"/>
        <v>0</v>
      </c>
      <c r="L126" s="18">
        <f t="shared" si="11"/>
        <v>40.090000000000003</v>
      </c>
      <c r="M126" s="18">
        <f t="shared" si="19"/>
        <v>0</v>
      </c>
      <c r="N126" s="18">
        <f t="shared" si="12"/>
        <v>40.090000000000003</v>
      </c>
      <c r="O126" s="8"/>
    </row>
    <row r="127" spans="1:15">
      <c r="A127" s="1" t="s">
        <v>117</v>
      </c>
      <c r="B127" s="11"/>
      <c r="C127" s="11">
        <v>1882000</v>
      </c>
      <c r="D127" s="11">
        <v>1886000</v>
      </c>
      <c r="E127" s="11">
        <v>0</v>
      </c>
      <c r="F127" s="11">
        <f t="shared" si="10"/>
        <v>4000</v>
      </c>
      <c r="G127" s="17">
        <f t="shared" si="13"/>
        <v>40.090000000000003</v>
      </c>
      <c r="H127" s="17">
        <f t="shared" si="14"/>
        <v>0</v>
      </c>
      <c r="I127" s="17">
        <f t="shared" si="15"/>
        <v>0</v>
      </c>
      <c r="J127" s="18">
        <f t="shared" si="16"/>
        <v>0</v>
      </c>
      <c r="K127" s="18">
        <f t="shared" si="17"/>
        <v>0</v>
      </c>
      <c r="L127" s="18">
        <f t="shared" si="11"/>
        <v>40.090000000000003</v>
      </c>
      <c r="M127" s="18">
        <f t="shared" si="19"/>
        <v>0</v>
      </c>
      <c r="N127" s="18">
        <f t="shared" si="12"/>
        <v>40.090000000000003</v>
      </c>
      <c r="O127" s="8"/>
    </row>
    <row r="128" spans="1:15">
      <c r="A128" s="1" t="s">
        <v>118</v>
      </c>
      <c r="B128" s="11"/>
      <c r="C128" s="11">
        <v>1172000</v>
      </c>
      <c r="D128" s="11">
        <v>1179000</v>
      </c>
      <c r="E128" s="11">
        <v>0</v>
      </c>
      <c r="F128" s="11">
        <f t="shared" si="10"/>
        <v>7000</v>
      </c>
      <c r="G128" s="17">
        <f t="shared" si="13"/>
        <v>40.090000000000003</v>
      </c>
      <c r="H128" s="17">
        <f t="shared" si="14"/>
        <v>0</v>
      </c>
      <c r="I128" s="17">
        <f t="shared" si="15"/>
        <v>0</v>
      </c>
      <c r="J128" s="18">
        <f t="shared" si="16"/>
        <v>0</v>
      </c>
      <c r="K128" s="18">
        <f t="shared" si="17"/>
        <v>0</v>
      </c>
      <c r="L128" s="18">
        <f t="shared" si="11"/>
        <v>40.090000000000003</v>
      </c>
      <c r="M128" s="18">
        <f t="shared" si="19"/>
        <v>0</v>
      </c>
      <c r="N128" s="18">
        <f t="shared" si="12"/>
        <v>40.090000000000003</v>
      </c>
      <c r="O128" s="8" t="s">
        <v>153</v>
      </c>
    </row>
    <row r="129" spans="1:15">
      <c r="A129" s="1" t="s">
        <v>119</v>
      </c>
      <c r="B129" s="11"/>
      <c r="C129" s="11">
        <v>6833000</v>
      </c>
      <c r="D129" s="11">
        <v>6837000</v>
      </c>
      <c r="E129" s="11">
        <v>0</v>
      </c>
      <c r="F129" s="11">
        <f t="shared" si="10"/>
        <v>4000</v>
      </c>
      <c r="G129" s="17">
        <f t="shared" si="13"/>
        <v>40.090000000000003</v>
      </c>
      <c r="H129" s="17">
        <f t="shared" si="14"/>
        <v>0</v>
      </c>
      <c r="I129" s="17">
        <f t="shared" si="15"/>
        <v>0</v>
      </c>
      <c r="J129" s="18">
        <f t="shared" si="16"/>
        <v>0</v>
      </c>
      <c r="K129" s="18">
        <f t="shared" si="17"/>
        <v>0</v>
      </c>
      <c r="L129" s="18">
        <f t="shared" si="11"/>
        <v>40.090000000000003</v>
      </c>
      <c r="M129" s="18">
        <f t="shared" si="19"/>
        <v>0</v>
      </c>
      <c r="N129" s="18">
        <f t="shared" si="12"/>
        <v>40.090000000000003</v>
      </c>
      <c r="O129" s="8"/>
    </row>
    <row r="130" spans="1:15">
      <c r="A130" s="1" t="s">
        <v>120</v>
      </c>
      <c r="B130" s="11"/>
      <c r="C130" s="11">
        <v>3687000</v>
      </c>
      <c r="D130" s="11">
        <v>3690000</v>
      </c>
      <c r="E130" s="11">
        <v>0</v>
      </c>
      <c r="F130" s="11">
        <f t="shared" si="10"/>
        <v>3000</v>
      </c>
      <c r="G130" s="17">
        <f t="shared" si="13"/>
        <v>40.090000000000003</v>
      </c>
      <c r="H130" s="17">
        <f t="shared" si="14"/>
        <v>0</v>
      </c>
      <c r="I130" s="17">
        <f t="shared" si="15"/>
        <v>0</v>
      </c>
      <c r="J130" s="18">
        <f t="shared" si="16"/>
        <v>0</v>
      </c>
      <c r="K130" s="18">
        <f t="shared" si="17"/>
        <v>0</v>
      </c>
      <c r="L130" s="18">
        <f t="shared" si="11"/>
        <v>40.090000000000003</v>
      </c>
      <c r="M130" s="18">
        <f t="shared" si="19"/>
        <v>0</v>
      </c>
      <c r="N130" s="18">
        <f t="shared" si="12"/>
        <v>40.090000000000003</v>
      </c>
      <c r="O130" s="8"/>
    </row>
    <row r="131" spans="1:15">
      <c r="A131" s="1" t="s">
        <v>121</v>
      </c>
      <c r="B131" s="11" t="s">
        <v>138</v>
      </c>
      <c r="C131" s="11">
        <v>0</v>
      </c>
      <c r="D131" s="11">
        <v>0</v>
      </c>
      <c r="E131" s="11">
        <v>0</v>
      </c>
      <c r="F131" s="11">
        <f t="shared" si="10"/>
        <v>0</v>
      </c>
      <c r="G131" s="17">
        <f t="shared" si="13"/>
        <v>11.79</v>
      </c>
      <c r="H131" s="17">
        <f t="shared" si="14"/>
        <v>0</v>
      </c>
      <c r="I131" s="17">
        <f t="shared" si="15"/>
        <v>0</v>
      </c>
      <c r="J131" s="18">
        <f t="shared" si="16"/>
        <v>0</v>
      </c>
      <c r="K131" s="18">
        <f t="shared" si="17"/>
        <v>0</v>
      </c>
      <c r="L131" s="18">
        <f t="shared" si="11"/>
        <v>11.79</v>
      </c>
      <c r="M131" s="18">
        <f t="shared" si="19"/>
        <v>0</v>
      </c>
      <c r="N131" s="18">
        <f t="shared" si="12"/>
        <v>11.79</v>
      </c>
      <c r="O131" s="8"/>
    </row>
    <row r="132" spans="1:15">
      <c r="A132" s="1" t="s">
        <v>122</v>
      </c>
      <c r="B132" s="11"/>
      <c r="C132" s="11">
        <v>1276000</v>
      </c>
      <c r="D132" s="11">
        <v>1286000</v>
      </c>
      <c r="E132" s="11">
        <v>0</v>
      </c>
      <c r="F132" s="11">
        <f t="shared" si="10"/>
        <v>10000</v>
      </c>
      <c r="G132" s="17">
        <f t="shared" si="13"/>
        <v>40.090000000000003</v>
      </c>
      <c r="H132" s="17">
        <f t="shared" si="14"/>
        <v>0</v>
      </c>
      <c r="I132" s="17">
        <f t="shared" si="15"/>
        <v>0</v>
      </c>
      <c r="J132" s="18">
        <f t="shared" si="16"/>
        <v>0</v>
      </c>
      <c r="K132" s="18">
        <f t="shared" si="17"/>
        <v>0</v>
      </c>
      <c r="L132" s="18">
        <f t="shared" si="11"/>
        <v>40.090000000000003</v>
      </c>
      <c r="M132" s="18">
        <f t="shared" si="19"/>
        <v>0</v>
      </c>
      <c r="N132" s="18">
        <f t="shared" si="12"/>
        <v>40.090000000000003</v>
      </c>
      <c r="O132" s="8"/>
    </row>
    <row r="133" spans="1:15">
      <c r="A133" s="1" t="s">
        <v>123</v>
      </c>
      <c r="B133" s="11" t="s">
        <v>138</v>
      </c>
      <c r="C133" s="11">
        <v>0</v>
      </c>
      <c r="D133" s="11">
        <v>0</v>
      </c>
      <c r="E133" s="11">
        <v>0</v>
      </c>
      <c r="F133" s="11">
        <f t="shared" si="10"/>
        <v>0</v>
      </c>
      <c r="G133" s="17">
        <f t="shared" si="13"/>
        <v>11.79</v>
      </c>
      <c r="H133" s="17">
        <f t="shared" si="14"/>
        <v>0</v>
      </c>
      <c r="I133" s="17">
        <f t="shared" si="15"/>
        <v>0</v>
      </c>
      <c r="J133" s="18">
        <f t="shared" si="16"/>
        <v>0</v>
      </c>
      <c r="K133" s="18">
        <f t="shared" si="17"/>
        <v>0</v>
      </c>
      <c r="L133" s="18">
        <f t="shared" si="11"/>
        <v>11.79</v>
      </c>
      <c r="M133" s="18">
        <f t="shared" si="19"/>
        <v>0</v>
      </c>
      <c r="N133" s="18">
        <f t="shared" si="12"/>
        <v>11.79</v>
      </c>
      <c r="O133" s="8"/>
    </row>
    <row r="134" spans="1:15">
      <c r="A134" s="1" t="s">
        <v>124</v>
      </c>
      <c r="B134" s="11" t="s">
        <v>138</v>
      </c>
      <c r="C134" s="11">
        <v>0</v>
      </c>
      <c r="D134" s="11">
        <v>0</v>
      </c>
      <c r="E134" s="11">
        <v>0</v>
      </c>
      <c r="F134" s="11">
        <f t="shared" si="10"/>
        <v>0</v>
      </c>
      <c r="G134" s="17">
        <f t="shared" si="13"/>
        <v>11.79</v>
      </c>
      <c r="H134" s="17">
        <f t="shared" si="14"/>
        <v>0</v>
      </c>
      <c r="I134" s="17">
        <f t="shared" si="15"/>
        <v>0</v>
      </c>
      <c r="J134" s="18">
        <f t="shared" si="16"/>
        <v>0</v>
      </c>
      <c r="K134" s="18">
        <f t="shared" si="17"/>
        <v>0</v>
      </c>
      <c r="L134" s="18">
        <f t="shared" si="11"/>
        <v>11.79</v>
      </c>
      <c r="M134" s="18">
        <f t="shared" si="19"/>
        <v>0</v>
      </c>
      <c r="N134" s="18">
        <f t="shared" si="12"/>
        <v>11.79</v>
      </c>
      <c r="O134" s="8"/>
    </row>
    <row r="135" spans="1:15">
      <c r="A135" s="1" t="s">
        <v>125</v>
      </c>
      <c r="B135" s="11" t="s">
        <v>138</v>
      </c>
      <c r="C135" s="11">
        <v>0</v>
      </c>
      <c r="D135" s="11">
        <v>0</v>
      </c>
      <c r="E135" s="11">
        <v>0</v>
      </c>
      <c r="F135" s="11">
        <f t="shared" si="10"/>
        <v>0</v>
      </c>
      <c r="G135" s="17">
        <f t="shared" si="13"/>
        <v>11.79</v>
      </c>
      <c r="H135" s="17">
        <f t="shared" si="14"/>
        <v>0</v>
      </c>
      <c r="I135" s="17">
        <f t="shared" si="15"/>
        <v>0</v>
      </c>
      <c r="J135" s="18">
        <f t="shared" si="16"/>
        <v>0</v>
      </c>
      <c r="K135" s="18">
        <f t="shared" si="17"/>
        <v>0</v>
      </c>
      <c r="L135" s="18">
        <f t="shared" si="11"/>
        <v>11.79</v>
      </c>
      <c r="M135" s="18">
        <f t="shared" si="19"/>
        <v>0</v>
      </c>
      <c r="N135" s="18">
        <f t="shared" si="12"/>
        <v>11.79</v>
      </c>
      <c r="O135" s="8"/>
    </row>
    <row r="136" spans="1:15">
      <c r="A136" s="1" t="s">
        <v>126</v>
      </c>
      <c r="B136" s="11"/>
      <c r="C136" s="11">
        <v>981000</v>
      </c>
      <c r="D136" s="11">
        <v>991000</v>
      </c>
      <c r="E136" s="11">
        <v>0</v>
      </c>
      <c r="F136" s="11">
        <f t="shared" si="10"/>
        <v>10000</v>
      </c>
      <c r="G136" s="17">
        <f t="shared" si="13"/>
        <v>40.090000000000003</v>
      </c>
      <c r="H136" s="17">
        <f t="shared" si="14"/>
        <v>0</v>
      </c>
      <c r="I136" s="17">
        <f t="shared" si="15"/>
        <v>0</v>
      </c>
      <c r="J136" s="18">
        <f t="shared" si="16"/>
        <v>0</v>
      </c>
      <c r="K136" s="18">
        <f t="shared" si="17"/>
        <v>0</v>
      </c>
      <c r="L136" s="18">
        <f t="shared" si="11"/>
        <v>40.090000000000003</v>
      </c>
      <c r="M136" s="18">
        <f t="shared" si="19"/>
        <v>0</v>
      </c>
      <c r="N136" s="18">
        <f t="shared" si="12"/>
        <v>40.090000000000003</v>
      </c>
      <c r="O136" s="8"/>
    </row>
    <row r="137" spans="1:15">
      <c r="B137" s="11"/>
      <c r="C137" s="11"/>
      <c r="D137" s="11"/>
      <c r="E137" s="11"/>
      <c r="F137" s="11"/>
      <c r="G137" s="17"/>
      <c r="H137" s="17"/>
      <c r="I137" s="17"/>
      <c r="J137" s="18"/>
      <c r="K137" s="18"/>
      <c r="L137" s="18"/>
      <c r="M137" s="18"/>
      <c r="N137" s="18"/>
      <c r="O137" s="8"/>
    </row>
    <row r="138" spans="1:15">
      <c r="J138" s="1" t="s">
        <v>136</v>
      </c>
      <c r="M138" s="27">
        <f>SUM(M11:M136)</f>
        <v>0</v>
      </c>
      <c r="N138" s="5">
        <f>SUM(N11:N136)</f>
        <v>5060.7200000000048</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919700</v>
      </c>
      <c r="G140" s="75">
        <f t="shared" si="20"/>
        <v>4196.7500000000045</v>
      </c>
      <c r="H140" s="75">
        <f t="shared" si="20"/>
        <v>244.16000000000005</v>
      </c>
      <c r="I140" s="75">
        <f t="shared" si="20"/>
        <v>129.02999999999997</v>
      </c>
      <c r="J140" s="75">
        <f t="shared" si="20"/>
        <v>118</v>
      </c>
      <c r="K140" s="75">
        <f t="shared" si="20"/>
        <v>372.78</v>
      </c>
      <c r="L140" s="75">
        <f t="shared" si="20"/>
        <v>5060.7200000000048</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0</v>
      </c>
      <c r="G143" s="25">
        <f>SUM(G18:G130)-G145</f>
        <v>3287.3800000000028</v>
      </c>
      <c r="H143" s="80">
        <f>SUM(H18:H130)-H145</f>
        <v>148.24000000000004</v>
      </c>
      <c r="I143" s="25">
        <f>SUM(I18:I130)-I145</f>
        <v>27.83</v>
      </c>
      <c r="J143" s="25">
        <f>SUM(J18:J130)-J145</f>
        <v>0</v>
      </c>
      <c r="K143" s="25">
        <f>SUM(K18:K130)-K145</f>
        <v>0</v>
      </c>
      <c r="L143" s="25">
        <f>SUM(F143:K143)</f>
        <v>3463.450000000003</v>
      </c>
      <c r="M143" s="1"/>
    </row>
    <row r="144" spans="1:15" customFormat="1">
      <c r="A144" t="s">
        <v>255</v>
      </c>
      <c r="D144">
        <v>8</v>
      </c>
      <c r="E144" s="25">
        <f>SUM(M11:M15)+M17+SUM(M131:M136)</f>
        <v>0</v>
      </c>
      <c r="G144" s="34">
        <f>SUM(G11:G15)+G17+G132+G136</f>
        <v>320.72000000000003</v>
      </c>
      <c r="H144" s="34">
        <f>SUM(H11:H15)+H17+H132+H136</f>
        <v>95.92</v>
      </c>
      <c r="I144" s="34">
        <f>SUM(I11:I15)+I17+I132+I136</f>
        <v>101.19999999999999</v>
      </c>
      <c r="J144" s="34">
        <f>SUM(J11:J15)+J17+J132+J136</f>
        <v>118</v>
      </c>
      <c r="K144" s="34">
        <f>SUM(K11:K15)+K17+K132+K136</f>
        <v>372.78</v>
      </c>
      <c r="L144" s="25">
        <f t="shared" ref="L144:L147" si="21">SUM(F144:K144)</f>
        <v>1008.62</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21"/>
        <v>47.16</v>
      </c>
      <c r="M146" s="1"/>
    </row>
    <row r="147" spans="1:13" customFormat="1">
      <c r="A147" t="s">
        <v>253</v>
      </c>
      <c r="D147">
        <v>1</v>
      </c>
      <c r="E147" s="25">
        <f>M16</f>
        <v>0</v>
      </c>
      <c r="G147" s="25">
        <f>G16</f>
        <v>176</v>
      </c>
      <c r="H147" s="25">
        <f>H16</f>
        <v>0</v>
      </c>
      <c r="I147" s="25">
        <f>I16</f>
        <v>0</v>
      </c>
      <c r="J147" s="25">
        <f>J16</f>
        <v>0</v>
      </c>
      <c r="K147" s="25">
        <f>K16</f>
        <v>0</v>
      </c>
      <c r="L147" s="25">
        <f t="shared" si="21"/>
        <v>176</v>
      </c>
      <c r="M147" s="1"/>
    </row>
    <row r="148" spans="1:13" customFormat="1" ht="15.75" thickBot="1">
      <c r="B148" t="s">
        <v>257</v>
      </c>
      <c r="D148" s="73">
        <f>SUM(D143:D147)</f>
        <v>126</v>
      </c>
      <c r="E148" s="74">
        <f>SUM(E143:E147)</f>
        <v>0</v>
      </c>
      <c r="F148" s="73"/>
      <c r="G148" s="74">
        <f t="shared" ref="G148:L148" si="22">SUM(G143:G147)</f>
        <v>4196.7500000000036</v>
      </c>
      <c r="H148" s="74">
        <f t="shared" si="22"/>
        <v>244.16000000000003</v>
      </c>
      <c r="I148" s="74">
        <f t="shared" si="22"/>
        <v>129.02999999999997</v>
      </c>
      <c r="J148" s="74">
        <f t="shared" si="22"/>
        <v>118</v>
      </c>
      <c r="K148" s="74">
        <f t="shared" si="22"/>
        <v>372.78</v>
      </c>
      <c r="L148" s="74">
        <f t="shared" si="22"/>
        <v>5060.720000000003</v>
      </c>
      <c r="M148" s="1"/>
    </row>
    <row r="149" spans="1:13" customFormat="1" ht="15.75" thickTop="1">
      <c r="D149" s="78"/>
      <c r="E149" s="78"/>
      <c r="F149" s="78"/>
      <c r="G149" s="79"/>
      <c r="H149" s="79"/>
      <c r="I149" s="79"/>
      <c r="J149" s="79"/>
      <c r="K149" s="79"/>
      <c r="L149" s="79"/>
      <c r="M149" s="1"/>
    </row>
    <row r="150" spans="1:13" customFormat="1">
      <c r="A150" t="s">
        <v>262</v>
      </c>
      <c r="D150" s="75"/>
      <c r="E150" s="81">
        <v>0</v>
      </c>
      <c r="F150" s="75"/>
      <c r="G150" s="81">
        <f>F140-G151-G152-(SUM(H153:K153))</f>
        <v>452700</v>
      </c>
      <c r="H150" s="81">
        <f>H143/2.18*1000</f>
        <v>68000.000000000015</v>
      </c>
      <c r="I150" s="81">
        <f>I143/2.53*1000</f>
        <v>11000</v>
      </c>
      <c r="J150" s="81">
        <f>J143/2.95*1000</f>
        <v>0</v>
      </c>
      <c r="K150" s="81">
        <f>K143/3.42*1000</f>
        <v>0</v>
      </c>
      <c r="L150" s="81">
        <f>SUM(G150:K150)</f>
        <v>531700</v>
      </c>
      <c r="M150" s="1"/>
    </row>
    <row r="151" spans="1:13" customFormat="1">
      <c r="A151" t="s">
        <v>263</v>
      </c>
      <c r="D151" s="75"/>
      <c r="E151" s="81">
        <v>0</v>
      </c>
      <c r="F151" s="75"/>
      <c r="G151" s="81">
        <f>(SUM(F11:F15)+F17+SUM(F131:F136)-H151-I151-J151-K151)</f>
        <v>70000</v>
      </c>
      <c r="H151" s="81">
        <f>H144/2.18*1000</f>
        <v>44000</v>
      </c>
      <c r="I151" s="81">
        <f>I144/2.53*1000</f>
        <v>40000</v>
      </c>
      <c r="J151" s="81">
        <f>J144/2.95*1000</f>
        <v>40000</v>
      </c>
      <c r="K151" s="81">
        <f>K144/3.42*1000</f>
        <v>109000</v>
      </c>
      <c r="L151" s="81">
        <f>SUM(G151:K151)</f>
        <v>303000</v>
      </c>
      <c r="M151" s="1"/>
    </row>
    <row r="152" spans="1:13" customFormat="1">
      <c r="A152" t="s">
        <v>264</v>
      </c>
      <c r="D152" s="75"/>
      <c r="E152" s="81">
        <v>0</v>
      </c>
      <c r="F152" s="75"/>
      <c r="G152" s="81">
        <f>IF(F16&gt;100000,100000,F16)</f>
        <v>85000</v>
      </c>
      <c r="H152" s="81">
        <f>H147/1.89*1000</f>
        <v>0</v>
      </c>
      <c r="I152" s="81" t="s">
        <v>259</v>
      </c>
      <c r="J152" s="81" t="s">
        <v>259</v>
      </c>
      <c r="K152" s="81" t="s">
        <v>259</v>
      </c>
      <c r="L152" s="81">
        <f>SUM(G152:K152)</f>
        <v>85000</v>
      </c>
      <c r="M152" s="1"/>
    </row>
    <row r="153" spans="1:13" customFormat="1" ht="15.75" thickBot="1">
      <c r="B153" t="s">
        <v>265</v>
      </c>
      <c r="D153" s="77"/>
      <c r="E153" s="82">
        <f>SUM(E150:E152)</f>
        <v>0</v>
      </c>
      <c r="F153" s="77"/>
      <c r="G153" s="82">
        <f>G150+G151+G152</f>
        <v>607700</v>
      </c>
      <c r="H153" s="82">
        <f>SUM(H150:H152)</f>
        <v>112000.00000000001</v>
      </c>
      <c r="I153" s="82">
        <f>SUM(I150:I152)</f>
        <v>51000</v>
      </c>
      <c r="J153" s="82">
        <f>SUM(J150:J152)</f>
        <v>40000</v>
      </c>
      <c r="K153" s="82">
        <f>SUM(K150:K152)</f>
        <v>109000</v>
      </c>
      <c r="L153" s="82">
        <f>SUM(L150:L152)</f>
        <v>919700</v>
      </c>
      <c r="M153" s="1"/>
    </row>
    <row r="154" spans="1:13" ht="15.75" thickTop="1">
      <c r="E154" s="1" t="s">
        <v>274</v>
      </c>
    </row>
    <row r="155" spans="1:13">
      <c r="E155" s="75" t="s">
        <v>275</v>
      </c>
    </row>
    <row r="156" spans="1:13">
      <c r="E156" s="75" t="s">
        <v>273</v>
      </c>
    </row>
    <row r="157" spans="1:13">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O159"/>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4">
        <v>40817</v>
      </c>
      <c r="D4" s="1" t="s">
        <v>146</v>
      </c>
      <c r="G4" s="1" t="s">
        <v>156</v>
      </c>
      <c r="K4" s="1" t="s">
        <v>149</v>
      </c>
      <c r="N4" s="1">
        <f>SUM(F11:F136)</f>
        <v>1580000</v>
      </c>
    </row>
    <row r="5" spans="1:15">
      <c r="B5" s="4"/>
      <c r="D5" s="1" t="s">
        <v>144</v>
      </c>
      <c r="E5" s="1">
        <v>4773900</v>
      </c>
      <c r="G5" s="1" t="s">
        <v>155</v>
      </c>
      <c r="H5" s="1">
        <v>2</v>
      </c>
      <c r="K5" s="1" t="s">
        <v>154</v>
      </c>
      <c r="N5" s="1">
        <f>N4-F16</f>
        <v>1545000</v>
      </c>
    </row>
    <row r="6" spans="1:15">
      <c r="B6" s="4"/>
      <c r="D6" s="1" t="s">
        <v>145</v>
      </c>
      <c r="E6" s="1">
        <v>6031500</v>
      </c>
      <c r="G6" s="1" t="s">
        <v>158</v>
      </c>
      <c r="H6" s="1">
        <v>10000</v>
      </c>
      <c r="K6" s="1" t="s">
        <v>160</v>
      </c>
      <c r="N6" s="1">
        <f>SUMIF(F11:F15,"&gt;" &amp; $H$6)+SUMIF(F17:F136,"&gt;" &amp; $H$6)+SUMIF(F16,"&gt;" &amp; $H$7)</f>
        <v>1331000</v>
      </c>
    </row>
    <row r="7" spans="1:15">
      <c r="B7" s="4"/>
      <c r="D7" s="1" t="s">
        <v>150</v>
      </c>
      <c r="E7" s="12">
        <f>E6-E5</f>
        <v>1257600</v>
      </c>
      <c r="G7" s="1" t="s">
        <v>159</v>
      </c>
      <c r="H7" s="12">
        <v>10000</v>
      </c>
      <c r="K7" s="1" t="s">
        <v>161</v>
      </c>
      <c r="N7" s="1">
        <f>(SUMIF(F11:F15,"&gt;" &amp; $H$6)-(COUNTIF(F11:F15,"&gt;" &amp; $H$6)*$H$6))+(SUMIF(F17:F136,"&gt;" &amp; $H$6)-(COUNTIF(F17:F136,"&gt;" &amp; $H$6)*$H$6))+(SUMIF(F16,"&gt;" &amp; $H$7)-(COUNTIF(F16,"&gt;" &amp; $H$7)*$H$7))</f>
        <v>901000</v>
      </c>
    </row>
    <row r="8" spans="1:15">
      <c r="D8" s="1" t="s">
        <v>147</v>
      </c>
      <c r="E8" s="25">
        <v>2634.53</v>
      </c>
      <c r="H8" s="6"/>
    </row>
    <row r="10" spans="1:15">
      <c r="A10" s="7" t="s">
        <v>0</v>
      </c>
      <c r="B10" s="10" t="s">
        <v>137</v>
      </c>
      <c r="C10" s="35" t="s">
        <v>203</v>
      </c>
      <c r="D10" s="13" t="s">
        <v>190</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7445000</v>
      </c>
      <c r="D11" s="11">
        <v>7587000</v>
      </c>
      <c r="E11" s="11">
        <v>0</v>
      </c>
      <c r="F11" s="11">
        <f t="shared" ref="F11:F74" si="0">($D11-$C11)+$E11</f>
        <v>142000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348.84</v>
      </c>
      <c r="L11" s="18">
        <f>SUM(G11:K11)</f>
        <v>465.53</v>
      </c>
      <c r="M11" s="18">
        <f>E$8/126</f>
        <v>20.908968253968254</v>
      </c>
      <c r="N11" s="18">
        <f>SUM(L11:M11)</f>
        <v>486.43896825396826</v>
      </c>
      <c r="O11" s="8"/>
    </row>
    <row r="12" spans="1:15">
      <c r="A12" s="1" t="s">
        <v>2</v>
      </c>
      <c r="B12" s="11"/>
      <c r="C12" s="11">
        <v>6491000</v>
      </c>
      <c r="D12" s="11">
        <v>6572000</v>
      </c>
      <c r="E12" s="11">
        <v>0</v>
      </c>
      <c r="F12" s="11">
        <f t="shared" si="0"/>
        <v>81000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140.22</v>
      </c>
      <c r="L12" s="18">
        <f t="shared" ref="L12:L75" si="1">SUM(G12:K12)</f>
        <v>256.90999999999997</v>
      </c>
      <c r="M12" s="18">
        <f t="shared" ref="M12:M75" si="2">E$8/126</f>
        <v>20.908968253968254</v>
      </c>
      <c r="N12" s="18">
        <f t="shared" ref="N12:N75" si="3">SUM(L12:M12)</f>
        <v>277.81896825396825</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 t="shared" si="2"/>
        <v>20.908968253968254</v>
      </c>
      <c r="N13" s="18">
        <f t="shared" si="3"/>
        <v>60.998968253968258</v>
      </c>
      <c r="O13" s="8" t="s">
        <v>134</v>
      </c>
    </row>
    <row r="14" spans="1:15">
      <c r="A14" s="1" t="s">
        <v>4</v>
      </c>
      <c r="B14" s="11"/>
      <c r="C14" s="11">
        <v>3206000</v>
      </c>
      <c r="D14" s="11">
        <v>3275000</v>
      </c>
      <c r="E14" s="11">
        <v>0</v>
      </c>
      <c r="F14" s="11">
        <f t="shared" si="0"/>
        <v>69000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99.179999999999993</v>
      </c>
      <c r="L14" s="18">
        <f t="shared" si="1"/>
        <v>215.87</v>
      </c>
      <c r="M14" s="18">
        <f t="shared" si="2"/>
        <v>20.908968253968254</v>
      </c>
      <c r="N14" s="18">
        <f t="shared" si="3"/>
        <v>236.77896825396826</v>
      </c>
      <c r="O14" s="8"/>
    </row>
    <row r="15" spans="1:15">
      <c r="A15" s="1" t="s">
        <v>5</v>
      </c>
      <c r="B15" s="11"/>
      <c r="C15" s="11">
        <v>2132000</v>
      </c>
      <c r="D15" s="11">
        <v>2194000</v>
      </c>
      <c r="E15" s="11">
        <v>0</v>
      </c>
      <c r="F15" s="11">
        <f t="shared" si="0"/>
        <v>62000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75.239999999999995</v>
      </c>
      <c r="L15" s="18">
        <f t="shared" si="1"/>
        <v>191.93</v>
      </c>
      <c r="M15" s="18">
        <f t="shared" si="2"/>
        <v>20.908968253968254</v>
      </c>
      <c r="N15" s="18">
        <f t="shared" si="3"/>
        <v>212.83896825396826</v>
      </c>
      <c r="O15" s="8"/>
    </row>
    <row r="16" spans="1:15">
      <c r="A16" s="1" t="s">
        <v>6</v>
      </c>
      <c r="B16" s="11"/>
      <c r="C16" s="11">
        <v>24728000</v>
      </c>
      <c r="D16" s="11">
        <v>24851000</v>
      </c>
      <c r="E16" s="11">
        <v>0</v>
      </c>
      <c r="F16" s="11">
        <v>35000</v>
      </c>
      <c r="G16" s="17">
        <v>176</v>
      </c>
      <c r="H16" s="17">
        <f>IF(($F16-100000)&gt;=0,($F16-100000)/1000*1.89,0)</f>
        <v>0</v>
      </c>
      <c r="I16" s="17"/>
      <c r="J16" s="18"/>
      <c r="K16" s="18"/>
      <c r="L16" s="18">
        <f t="shared" si="1"/>
        <v>176</v>
      </c>
      <c r="M16" s="18">
        <f t="shared" si="2"/>
        <v>20.908968253968254</v>
      </c>
      <c r="N16" s="18">
        <f t="shared" si="3"/>
        <v>196.90896825396825</v>
      </c>
      <c r="O16" s="8" t="s">
        <v>133</v>
      </c>
    </row>
    <row r="17" spans="1:15">
      <c r="A17" s="1" t="s">
        <v>7</v>
      </c>
      <c r="B17" s="11"/>
      <c r="C17" s="11">
        <v>509000</v>
      </c>
      <c r="D17" s="11">
        <v>522000</v>
      </c>
      <c r="E17" s="11">
        <v>0</v>
      </c>
      <c r="F17" s="11">
        <f t="shared" si="0"/>
        <v>13000</v>
      </c>
      <c r="G17" s="17">
        <f t="shared" ref="G17:G80" si="4">IF(OR($F17&gt;0,$B17=""),40.09,11.79)</f>
        <v>40.090000000000003</v>
      </c>
      <c r="H17" s="17">
        <f t="shared" ref="H17:H80" si="5">IF(AND((($F17-10000)&gt;=0),(($F17-10000)&lt;= 10000)),($F17-10000)/1000*2.18,IF(($F17-10000)&gt;=10000,2.18*10,0))</f>
        <v>6.5400000000000009</v>
      </c>
      <c r="I17" s="17">
        <f t="shared" ref="I17:I80" si="6">IF(AND((($F17-20000)&gt;=0),(($F17-20000)&lt;=10000)),($F17-20000)/1000*2.53,IF(($F17-20000)&gt;=10000,2.53*10,0))</f>
        <v>0</v>
      </c>
      <c r="J17" s="18">
        <f t="shared" ref="J17:J80" si="7">IF(AND((($F17-30000)&gt;=0),(($F17-30000)&lt;=10000)),($F17-30000)/1000*2.95,IF(($F17-30000)&gt;=10000,2.95*10,0))</f>
        <v>0</v>
      </c>
      <c r="K17" s="18">
        <f t="shared" ref="K17:K80" si="8">IF((($F17-40000)&gt;=0),($F17-40000)/1000*3.42,0)</f>
        <v>0</v>
      </c>
      <c r="L17" s="18">
        <f t="shared" si="1"/>
        <v>46.63</v>
      </c>
      <c r="M17" s="18">
        <f t="shared" si="2"/>
        <v>20.908968253968254</v>
      </c>
      <c r="N17" s="18">
        <f t="shared" si="3"/>
        <v>67.53896825396825</v>
      </c>
      <c r="O17" s="8"/>
    </row>
    <row r="18" spans="1:15">
      <c r="A18" s="1" t="s">
        <v>8</v>
      </c>
      <c r="B18" s="11"/>
      <c r="C18" s="11">
        <v>2199000</v>
      </c>
      <c r="D18" s="11">
        <v>2211000</v>
      </c>
      <c r="E18" s="11">
        <v>0</v>
      </c>
      <c r="F18" s="11">
        <f t="shared" si="0"/>
        <v>12000</v>
      </c>
      <c r="G18" s="17">
        <f t="shared" si="4"/>
        <v>40.090000000000003</v>
      </c>
      <c r="H18" s="17">
        <f t="shared" si="5"/>
        <v>4.3600000000000003</v>
      </c>
      <c r="I18" s="17">
        <f t="shared" si="6"/>
        <v>0</v>
      </c>
      <c r="J18" s="18">
        <f t="shared" si="7"/>
        <v>0</v>
      </c>
      <c r="K18" s="18">
        <f t="shared" si="8"/>
        <v>0</v>
      </c>
      <c r="L18" s="18">
        <f t="shared" si="1"/>
        <v>44.45</v>
      </c>
      <c r="M18" s="18">
        <f t="shared" si="2"/>
        <v>20.908968253968254</v>
      </c>
      <c r="N18" s="18">
        <f t="shared" si="3"/>
        <v>65.358968253968257</v>
      </c>
      <c r="O18" s="8"/>
    </row>
    <row r="19" spans="1:15">
      <c r="A19" s="1" t="s">
        <v>9</v>
      </c>
      <c r="B19" s="11"/>
      <c r="C19" s="11">
        <v>158000</v>
      </c>
      <c r="D19" s="11">
        <v>186000</v>
      </c>
      <c r="E19" s="11">
        <v>0</v>
      </c>
      <c r="F19" s="11">
        <f t="shared" si="0"/>
        <v>28000</v>
      </c>
      <c r="G19" s="17">
        <f t="shared" si="4"/>
        <v>40.090000000000003</v>
      </c>
      <c r="H19" s="17">
        <f t="shared" si="5"/>
        <v>21.8</v>
      </c>
      <c r="I19" s="17">
        <f t="shared" si="6"/>
        <v>20.239999999999998</v>
      </c>
      <c r="J19" s="18">
        <f t="shared" si="7"/>
        <v>0</v>
      </c>
      <c r="K19" s="18">
        <f t="shared" si="8"/>
        <v>0</v>
      </c>
      <c r="L19" s="18">
        <f t="shared" si="1"/>
        <v>82.13</v>
      </c>
      <c r="M19" s="18">
        <f t="shared" si="2"/>
        <v>20.908968253968254</v>
      </c>
      <c r="N19" s="18">
        <f t="shared" si="3"/>
        <v>103.03896825396825</v>
      </c>
      <c r="O19" s="8"/>
    </row>
    <row r="20" spans="1:15">
      <c r="A20" s="1" t="s">
        <v>10</v>
      </c>
      <c r="B20" s="11"/>
      <c r="C20" s="11">
        <v>1496000</v>
      </c>
      <c r="D20" s="11">
        <v>1513000</v>
      </c>
      <c r="E20" s="11">
        <v>0</v>
      </c>
      <c r="F20" s="11">
        <f t="shared" si="0"/>
        <v>17000</v>
      </c>
      <c r="G20" s="17">
        <f t="shared" si="4"/>
        <v>40.090000000000003</v>
      </c>
      <c r="H20" s="17">
        <f t="shared" si="5"/>
        <v>15.260000000000002</v>
      </c>
      <c r="I20" s="17">
        <f t="shared" si="6"/>
        <v>0</v>
      </c>
      <c r="J20" s="18">
        <f t="shared" si="7"/>
        <v>0</v>
      </c>
      <c r="K20" s="18">
        <f t="shared" si="8"/>
        <v>0</v>
      </c>
      <c r="L20" s="18">
        <f t="shared" si="1"/>
        <v>55.350000000000009</v>
      </c>
      <c r="M20" s="18">
        <f t="shared" si="2"/>
        <v>20.908968253968254</v>
      </c>
      <c r="N20" s="18">
        <f t="shared" si="3"/>
        <v>76.258968253968263</v>
      </c>
      <c r="O20" s="8"/>
    </row>
    <row r="21" spans="1:15">
      <c r="A21" s="1" t="s">
        <v>11</v>
      </c>
      <c r="B21" s="11"/>
      <c r="C21" s="11">
        <v>1947000</v>
      </c>
      <c r="D21" s="11">
        <v>1957000</v>
      </c>
      <c r="E21" s="11">
        <v>0</v>
      </c>
      <c r="F21" s="11">
        <f t="shared" si="0"/>
        <v>10000</v>
      </c>
      <c r="G21" s="17">
        <f t="shared" si="4"/>
        <v>40.090000000000003</v>
      </c>
      <c r="H21" s="17">
        <f t="shared" si="5"/>
        <v>0</v>
      </c>
      <c r="I21" s="17">
        <f t="shared" si="6"/>
        <v>0</v>
      </c>
      <c r="J21" s="18">
        <f t="shared" si="7"/>
        <v>0</v>
      </c>
      <c r="K21" s="18">
        <f t="shared" si="8"/>
        <v>0</v>
      </c>
      <c r="L21" s="18">
        <f t="shared" si="1"/>
        <v>40.090000000000003</v>
      </c>
      <c r="M21" s="18">
        <f t="shared" si="2"/>
        <v>20.908968253968254</v>
      </c>
      <c r="N21" s="18">
        <f t="shared" si="3"/>
        <v>60.998968253968258</v>
      </c>
      <c r="O21" s="8"/>
    </row>
    <row r="22" spans="1:15">
      <c r="A22" s="1" t="s">
        <v>12</v>
      </c>
      <c r="B22" s="11"/>
      <c r="C22" s="11">
        <v>2165000</v>
      </c>
      <c r="D22" s="11">
        <v>2191000</v>
      </c>
      <c r="E22" s="11">
        <v>0</v>
      </c>
      <c r="F22" s="11">
        <f t="shared" si="0"/>
        <v>26000</v>
      </c>
      <c r="G22" s="17">
        <f t="shared" si="4"/>
        <v>40.090000000000003</v>
      </c>
      <c r="H22" s="17">
        <f t="shared" si="5"/>
        <v>21.8</v>
      </c>
      <c r="I22" s="17">
        <f t="shared" si="6"/>
        <v>15.18</v>
      </c>
      <c r="J22" s="18">
        <f t="shared" si="7"/>
        <v>0</v>
      </c>
      <c r="K22" s="18">
        <f t="shared" si="8"/>
        <v>0</v>
      </c>
      <c r="L22" s="18">
        <f t="shared" si="1"/>
        <v>77.069999999999993</v>
      </c>
      <c r="M22" s="18">
        <f t="shared" si="2"/>
        <v>20.908968253968254</v>
      </c>
      <c r="N22" s="18">
        <f t="shared" si="3"/>
        <v>97.978968253968247</v>
      </c>
      <c r="O22" s="8"/>
    </row>
    <row r="23" spans="1:15">
      <c r="A23" s="1" t="s">
        <v>13</v>
      </c>
      <c r="B23" s="11" t="s">
        <v>138</v>
      </c>
      <c r="C23" s="11">
        <v>0</v>
      </c>
      <c r="D23" s="11">
        <v>0</v>
      </c>
      <c r="E23" s="11">
        <v>0</v>
      </c>
      <c r="F23" s="11">
        <f t="shared" si="0"/>
        <v>0</v>
      </c>
      <c r="G23" s="17">
        <f t="shared" si="4"/>
        <v>11.79</v>
      </c>
      <c r="H23" s="17">
        <f t="shared" si="5"/>
        <v>0</v>
      </c>
      <c r="I23" s="17">
        <f t="shared" si="6"/>
        <v>0</v>
      </c>
      <c r="J23" s="18">
        <f t="shared" si="7"/>
        <v>0</v>
      </c>
      <c r="K23" s="18">
        <f t="shared" si="8"/>
        <v>0</v>
      </c>
      <c r="L23" s="18">
        <f t="shared" si="1"/>
        <v>11.79</v>
      </c>
      <c r="M23" s="18">
        <f t="shared" si="2"/>
        <v>20.908968253968254</v>
      </c>
      <c r="N23" s="18">
        <f t="shared" si="3"/>
        <v>32.698968253968253</v>
      </c>
      <c r="O23" s="8"/>
    </row>
    <row r="24" spans="1:15">
      <c r="A24" s="1" t="s">
        <v>14</v>
      </c>
      <c r="B24" s="11"/>
      <c r="C24" s="11">
        <v>6378000</v>
      </c>
      <c r="D24" s="11">
        <v>6402000</v>
      </c>
      <c r="E24" s="11">
        <v>0</v>
      </c>
      <c r="F24" s="11">
        <f t="shared" si="0"/>
        <v>24000</v>
      </c>
      <c r="G24" s="17">
        <f t="shared" si="4"/>
        <v>40.090000000000003</v>
      </c>
      <c r="H24" s="17">
        <f t="shared" si="5"/>
        <v>21.8</v>
      </c>
      <c r="I24" s="17">
        <f t="shared" si="6"/>
        <v>10.119999999999999</v>
      </c>
      <c r="J24" s="18">
        <f t="shared" si="7"/>
        <v>0</v>
      </c>
      <c r="K24" s="18">
        <f t="shared" si="8"/>
        <v>0</v>
      </c>
      <c r="L24" s="18">
        <f t="shared" si="1"/>
        <v>72.010000000000005</v>
      </c>
      <c r="M24" s="18">
        <f t="shared" si="2"/>
        <v>20.908968253968254</v>
      </c>
      <c r="N24" s="18">
        <f t="shared" si="3"/>
        <v>92.918968253968259</v>
      </c>
      <c r="O24" s="8"/>
    </row>
    <row r="25" spans="1:15">
      <c r="A25" s="1" t="s">
        <v>15</v>
      </c>
      <c r="B25" s="11"/>
      <c r="C25" s="11">
        <v>2630000</v>
      </c>
      <c r="D25" s="11">
        <v>2653000</v>
      </c>
      <c r="E25" s="11">
        <v>0</v>
      </c>
      <c r="F25" s="11">
        <f t="shared" si="0"/>
        <v>23000</v>
      </c>
      <c r="G25" s="17">
        <f t="shared" si="4"/>
        <v>40.090000000000003</v>
      </c>
      <c r="H25" s="17">
        <f t="shared" si="5"/>
        <v>21.8</v>
      </c>
      <c r="I25" s="17">
        <f t="shared" si="6"/>
        <v>7.59</v>
      </c>
      <c r="J25" s="18">
        <f t="shared" si="7"/>
        <v>0</v>
      </c>
      <c r="K25" s="18">
        <f t="shared" si="8"/>
        <v>0</v>
      </c>
      <c r="L25" s="18">
        <f t="shared" si="1"/>
        <v>69.48</v>
      </c>
      <c r="M25" s="18">
        <f t="shared" si="2"/>
        <v>20.908968253968254</v>
      </c>
      <c r="N25" s="18">
        <f t="shared" si="3"/>
        <v>90.388968253968258</v>
      </c>
      <c r="O25" s="8"/>
    </row>
    <row r="26" spans="1:15">
      <c r="A26" s="1" t="s">
        <v>16</v>
      </c>
      <c r="B26" s="11"/>
      <c r="C26" s="11">
        <v>1566000</v>
      </c>
      <c r="D26" s="11">
        <v>1582000</v>
      </c>
      <c r="E26" s="11">
        <v>0</v>
      </c>
      <c r="F26" s="11">
        <f t="shared" si="0"/>
        <v>16000</v>
      </c>
      <c r="G26" s="17">
        <f t="shared" si="4"/>
        <v>40.090000000000003</v>
      </c>
      <c r="H26" s="17">
        <f t="shared" si="5"/>
        <v>13.080000000000002</v>
      </c>
      <c r="I26" s="17">
        <f t="shared" si="6"/>
        <v>0</v>
      </c>
      <c r="J26" s="18">
        <f t="shared" si="7"/>
        <v>0</v>
      </c>
      <c r="K26" s="18">
        <f t="shared" si="8"/>
        <v>0</v>
      </c>
      <c r="L26" s="18">
        <f t="shared" si="1"/>
        <v>53.17</v>
      </c>
      <c r="M26" s="18">
        <f t="shared" si="2"/>
        <v>20.908968253968254</v>
      </c>
      <c r="N26" s="18">
        <f t="shared" si="3"/>
        <v>74.078968253968256</v>
      </c>
      <c r="O26" s="8"/>
    </row>
    <row r="27" spans="1:15">
      <c r="A27" s="1" t="s">
        <v>17</v>
      </c>
      <c r="B27" s="11"/>
      <c r="C27" s="11">
        <v>1154000</v>
      </c>
      <c r="D27" s="11">
        <v>1161000</v>
      </c>
      <c r="E27" s="11">
        <v>0</v>
      </c>
      <c r="F27" s="11">
        <f t="shared" si="0"/>
        <v>7000</v>
      </c>
      <c r="G27" s="17">
        <f t="shared" si="4"/>
        <v>40.090000000000003</v>
      </c>
      <c r="H27" s="17">
        <f t="shared" si="5"/>
        <v>0</v>
      </c>
      <c r="I27" s="17">
        <f t="shared" si="6"/>
        <v>0</v>
      </c>
      <c r="J27" s="18">
        <f t="shared" si="7"/>
        <v>0</v>
      </c>
      <c r="K27" s="18">
        <f t="shared" si="8"/>
        <v>0</v>
      </c>
      <c r="L27" s="18">
        <f t="shared" si="1"/>
        <v>40.090000000000003</v>
      </c>
      <c r="M27" s="18">
        <f t="shared" si="2"/>
        <v>20.908968253968254</v>
      </c>
      <c r="N27" s="18">
        <f t="shared" si="3"/>
        <v>60.998968253968258</v>
      </c>
      <c r="O27" s="8"/>
    </row>
    <row r="28" spans="1:15">
      <c r="A28" s="1" t="s">
        <v>18</v>
      </c>
      <c r="B28" s="11"/>
      <c r="C28" s="11">
        <v>4018000</v>
      </c>
      <c r="D28" s="11">
        <v>4025000</v>
      </c>
      <c r="E28" s="11">
        <v>0</v>
      </c>
      <c r="F28" s="11">
        <f t="shared" si="0"/>
        <v>7000</v>
      </c>
      <c r="G28" s="17">
        <f t="shared" si="4"/>
        <v>40.090000000000003</v>
      </c>
      <c r="H28" s="17">
        <f t="shared" si="5"/>
        <v>0</v>
      </c>
      <c r="I28" s="17">
        <f t="shared" si="6"/>
        <v>0</v>
      </c>
      <c r="J28" s="18">
        <f t="shared" si="7"/>
        <v>0</v>
      </c>
      <c r="K28" s="18">
        <f t="shared" si="8"/>
        <v>0</v>
      </c>
      <c r="L28" s="18">
        <f t="shared" si="1"/>
        <v>40.090000000000003</v>
      </c>
      <c r="M28" s="18">
        <f t="shared" si="2"/>
        <v>20.908968253968254</v>
      </c>
      <c r="N28" s="18">
        <f t="shared" si="3"/>
        <v>60.998968253968258</v>
      </c>
      <c r="O28" s="8"/>
    </row>
    <row r="29" spans="1:15">
      <c r="A29" s="1" t="s">
        <v>19</v>
      </c>
      <c r="B29" s="11"/>
      <c r="C29" s="11">
        <v>1148000</v>
      </c>
      <c r="D29" s="11">
        <v>1161000</v>
      </c>
      <c r="E29" s="11">
        <v>0</v>
      </c>
      <c r="F29" s="11">
        <f t="shared" si="0"/>
        <v>13000</v>
      </c>
      <c r="G29" s="17">
        <f t="shared" si="4"/>
        <v>40.090000000000003</v>
      </c>
      <c r="H29" s="17">
        <f t="shared" si="5"/>
        <v>6.5400000000000009</v>
      </c>
      <c r="I29" s="17">
        <f t="shared" si="6"/>
        <v>0</v>
      </c>
      <c r="J29" s="18">
        <f t="shared" si="7"/>
        <v>0</v>
      </c>
      <c r="K29" s="18">
        <f t="shared" si="8"/>
        <v>0</v>
      </c>
      <c r="L29" s="18">
        <f t="shared" si="1"/>
        <v>46.63</v>
      </c>
      <c r="M29" s="18">
        <f t="shared" si="2"/>
        <v>20.908968253968254</v>
      </c>
      <c r="N29" s="18">
        <f t="shared" si="3"/>
        <v>67.53896825396825</v>
      </c>
      <c r="O29" s="8"/>
    </row>
    <row r="30" spans="1:15">
      <c r="A30" s="1" t="s">
        <v>20</v>
      </c>
      <c r="B30" s="11"/>
      <c r="C30" s="11">
        <v>2211000</v>
      </c>
      <c r="D30" s="11">
        <v>2214000</v>
      </c>
      <c r="E30" s="11">
        <v>0</v>
      </c>
      <c r="F30" s="11">
        <f t="shared" si="0"/>
        <v>3000</v>
      </c>
      <c r="G30" s="17">
        <f t="shared" si="4"/>
        <v>40.090000000000003</v>
      </c>
      <c r="H30" s="17">
        <f t="shared" si="5"/>
        <v>0</v>
      </c>
      <c r="I30" s="17">
        <f t="shared" si="6"/>
        <v>0</v>
      </c>
      <c r="J30" s="18">
        <f t="shared" si="7"/>
        <v>0</v>
      </c>
      <c r="K30" s="18">
        <f t="shared" si="8"/>
        <v>0</v>
      </c>
      <c r="L30" s="18">
        <f t="shared" si="1"/>
        <v>40.090000000000003</v>
      </c>
      <c r="M30" s="18">
        <f t="shared" si="2"/>
        <v>20.908968253968254</v>
      </c>
      <c r="N30" s="18">
        <f t="shared" si="3"/>
        <v>60.998968253968258</v>
      </c>
      <c r="O30" s="8"/>
    </row>
    <row r="31" spans="1:15">
      <c r="A31" s="1" t="s">
        <v>21</v>
      </c>
      <c r="B31" s="11" t="s">
        <v>138</v>
      </c>
      <c r="C31" s="11">
        <v>0</v>
      </c>
      <c r="D31" s="11">
        <v>0</v>
      </c>
      <c r="E31" s="11">
        <v>0</v>
      </c>
      <c r="F31" s="11">
        <f t="shared" si="0"/>
        <v>0</v>
      </c>
      <c r="G31" s="17">
        <f t="shared" si="4"/>
        <v>11.79</v>
      </c>
      <c r="H31" s="17">
        <f t="shared" si="5"/>
        <v>0</v>
      </c>
      <c r="I31" s="17">
        <f t="shared" si="6"/>
        <v>0</v>
      </c>
      <c r="J31" s="18">
        <f t="shared" si="7"/>
        <v>0</v>
      </c>
      <c r="K31" s="18">
        <f t="shared" si="8"/>
        <v>0</v>
      </c>
      <c r="L31" s="18">
        <f t="shared" si="1"/>
        <v>11.79</v>
      </c>
      <c r="M31" s="18">
        <f t="shared" si="2"/>
        <v>20.908968253968254</v>
      </c>
      <c r="N31" s="18">
        <f t="shared" si="3"/>
        <v>32.698968253968253</v>
      </c>
      <c r="O31" s="8"/>
    </row>
    <row r="32" spans="1:15">
      <c r="A32" s="1" t="s">
        <v>22</v>
      </c>
      <c r="B32" s="11"/>
      <c r="C32" s="11">
        <v>603000</v>
      </c>
      <c r="D32" s="11">
        <v>613000</v>
      </c>
      <c r="E32" s="11">
        <v>0</v>
      </c>
      <c r="F32" s="11">
        <f t="shared" si="0"/>
        <v>10000</v>
      </c>
      <c r="G32" s="17">
        <f t="shared" si="4"/>
        <v>40.090000000000003</v>
      </c>
      <c r="H32" s="17">
        <f t="shared" si="5"/>
        <v>0</v>
      </c>
      <c r="I32" s="17">
        <f t="shared" si="6"/>
        <v>0</v>
      </c>
      <c r="J32" s="18">
        <f t="shared" si="7"/>
        <v>0</v>
      </c>
      <c r="K32" s="18">
        <f t="shared" si="8"/>
        <v>0</v>
      </c>
      <c r="L32" s="18">
        <f t="shared" si="1"/>
        <v>40.090000000000003</v>
      </c>
      <c r="M32" s="18">
        <f t="shared" si="2"/>
        <v>20.908968253968254</v>
      </c>
      <c r="N32" s="18">
        <f t="shared" si="3"/>
        <v>60.998968253968258</v>
      </c>
      <c r="O32" s="8"/>
    </row>
    <row r="33" spans="1:15">
      <c r="A33" s="1" t="s">
        <v>23</v>
      </c>
      <c r="B33" s="11" t="s">
        <v>138</v>
      </c>
      <c r="C33" s="11">
        <v>0</v>
      </c>
      <c r="D33" s="11">
        <v>0</v>
      </c>
      <c r="E33" s="11">
        <v>0</v>
      </c>
      <c r="F33" s="11">
        <f t="shared" si="0"/>
        <v>0</v>
      </c>
      <c r="G33" s="17">
        <f t="shared" si="4"/>
        <v>11.79</v>
      </c>
      <c r="H33" s="17">
        <f t="shared" si="5"/>
        <v>0</v>
      </c>
      <c r="I33" s="17">
        <f t="shared" si="6"/>
        <v>0</v>
      </c>
      <c r="J33" s="18">
        <f t="shared" si="7"/>
        <v>0</v>
      </c>
      <c r="K33" s="18">
        <f t="shared" si="8"/>
        <v>0</v>
      </c>
      <c r="L33" s="18">
        <f t="shared" si="1"/>
        <v>11.79</v>
      </c>
      <c r="M33" s="18">
        <f t="shared" si="2"/>
        <v>20.908968253968254</v>
      </c>
      <c r="N33" s="18">
        <f t="shared" si="3"/>
        <v>32.698968253968253</v>
      </c>
      <c r="O33" s="8"/>
    </row>
    <row r="34" spans="1:15">
      <c r="A34" s="1" t="s">
        <v>24</v>
      </c>
      <c r="B34" s="11" t="s">
        <v>138</v>
      </c>
      <c r="C34" s="11">
        <v>0</v>
      </c>
      <c r="D34" s="11">
        <v>0</v>
      </c>
      <c r="E34" s="11">
        <v>0</v>
      </c>
      <c r="F34" s="11">
        <f t="shared" si="0"/>
        <v>0</v>
      </c>
      <c r="G34" s="17">
        <f t="shared" si="4"/>
        <v>11.79</v>
      </c>
      <c r="H34" s="17">
        <f t="shared" si="5"/>
        <v>0</v>
      </c>
      <c r="I34" s="17">
        <f t="shared" si="6"/>
        <v>0</v>
      </c>
      <c r="J34" s="18">
        <f t="shared" si="7"/>
        <v>0</v>
      </c>
      <c r="K34" s="18">
        <f t="shared" si="8"/>
        <v>0</v>
      </c>
      <c r="L34" s="18">
        <f t="shared" si="1"/>
        <v>11.79</v>
      </c>
      <c r="M34" s="18">
        <f t="shared" si="2"/>
        <v>20.908968253968254</v>
      </c>
      <c r="N34" s="18">
        <f t="shared" si="3"/>
        <v>32.698968253968253</v>
      </c>
      <c r="O34" s="8"/>
    </row>
    <row r="35" spans="1:15">
      <c r="A35" s="1" t="s">
        <v>25</v>
      </c>
      <c r="B35" s="11"/>
      <c r="C35" s="11">
        <v>2349000</v>
      </c>
      <c r="D35" s="11">
        <v>2368000</v>
      </c>
      <c r="E35" s="11">
        <v>0</v>
      </c>
      <c r="F35" s="11">
        <f t="shared" si="0"/>
        <v>19000</v>
      </c>
      <c r="G35" s="17">
        <f t="shared" si="4"/>
        <v>40.090000000000003</v>
      </c>
      <c r="H35" s="17">
        <f t="shared" si="5"/>
        <v>19.62</v>
      </c>
      <c r="I35" s="17">
        <f t="shared" si="6"/>
        <v>0</v>
      </c>
      <c r="J35" s="18">
        <f t="shared" si="7"/>
        <v>0</v>
      </c>
      <c r="K35" s="18">
        <f t="shared" si="8"/>
        <v>0</v>
      </c>
      <c r="L35" s="18">
        <f t="shared" si="1"/>
        <v>59.710000000000008</v>
      </c>
      <c r="M35" s="18">
        <f t="shared" si="2"/>
        <v>20.908968253968254</v>
      </c>
      <c r="N35" s="18">
        <f t="shared" si="3"/>
        <v>80.618968253968262</v>
      </c>
      <c r="O35" s="8"/>
    </row>
    <row r="36" spans="1:15">
      <c r="A36" s="1" t="s">
        <v>26</v>
      </c>
      <c r="B36" s="11"/>
      <c r="C36" s="11">
        <v>343000</v>
      </c>
      <c r="D36" s="11">
        <v>356000</v>
      </c>
      <c r="E36" s="11">
        <v>0</v>
      </c>
      <c r="F36" s="11">
        <f t="shared" si="0"/>
        <v>13000</v>
      </c>
      <c r="G36" s="17">
        <f t="shared" si="4"/>
        <v>40.090000000000003</v>
      </c>
      <c r="H36" s="17">
        <f t="shared" si="5"/>
        <v>6.5400000000000009</v>
      </c>
      <c r="I36" s="17">
        <f t="shared" si="6"/>
        <v>0</v>
      </c>
      <c r="J36" s="18">
        <f t="shared" si="7"/>
        <v>0</v>
      </c>
      <c r="K36" s="18">
        <f t="shared" si="8"/>
        <v>0</v>
      </c>
      <c r="L36" s="18">
        <f t="shared" si="1"/>
        <v>46.63</v>
      </c>
      <c r="M36" s="18">
        <f t="shared" si="2"/>
        <v>20.908968253968254</v>
      </c>
      <c r="N36" s="18">
        <f t="shared" si="3"/>
        <v>67.53896825396825</v>
      </c>
      <c r="O36" s="8"/>
    </row>
    <row r="37" spans="1:15">
      <c r="A37" s="1" t="s">
        <v>27</v>
      </c>
      <c r="B37" s="11"/>
      <c r="C37" s="11">
        <v>2123000</v>
      </c>
      <c r="D37" s="11">
        <v>2127000</v>
      </c>
      <c r="E37" s="11">
        <v>0</v>
      </c>
      <c r="F37" s="11">
        <f t="shared" si="0"/>
        <v>4000</v>
      </c>
      <c r="G37" s="17">
        <f t="shared" si="4"/>
        <v>40.090000000000003</v>
      </c>
      <c r="H37" s="17">
        <f t="shared" si="5"/>
        <v>0</v>
      </c>
      <c r="I37" s="17">
        <f t="shared" si="6"/>
        <v>0</v>
      </c>
      <c r="J37" s="18">
        <f t="shared" si="7"/>
        <v>0</v>
      </c>
      <c r="K37" s="18">
        <f t="shared" si="8"/>
        <v>0</v>
      </c>
      <c r="L37" s="18">
        <f t="shared" si="1"/>
        <v>40.090000000000003</v>
      </c>
      <c r="M37" s="18">
        <f t="shared" si="2"/>
        <v>20.908968253968254</v>
      </c>
      <c r="N37" s="18">
        <f t="shared" si="3"/>
        <v>60.998968253968258</v>
      </c>
      <c r="O37" s="8"/>
    </row>
    <row r="38" spans="1:15">
      <c r="A38" s="1" t="s">
        <v>28</v>
      </c>
      <c r="B38" s="11"/>
      <c r="C38" s="11">
        <v>1332000</v>
      </c>
      <c r="D38" s="11">
        <v>1339000</v>
      </c>
      <c r="E38" s="11">
        <v>0</v>
      </c>
      <c r="F38" s="11">
        <f t="shared" si="0"/>
        <v>7000</v>
      </c>
      <c r="G38" s="17">
        <f t="shared" si="4"/>
        <v>40.090000000000003</v>
      </c>
      <c r="H38" s="17">
        <f t="shared" si="5"/>
        <v>0</v>
      </c>
      <c r="I38" s="17">
        <f t="shared" si="6"/>
        <v>0</v>
      </c>
      <c r="J38" s="18">
        <f t="shared" si="7"/>
        <v>0</v>
      </c>
      <c r="K38" s="18">
        <f t="shared" si="8"/>
        <v>0</v>
      </c>
      <c r="L38" s="18">
        <f t="shared" si="1"/>
        <v>40.090000000000003</v>
      </c>
      <c r="M38" s="18">
        <f t="shared" si="2"/>
        <v>20.908968253968254</v>
      </c>
      <c r="N38" s="18">
        <f t="shared" si="3"/>
        <v>60.998968253968258</v>
      </c>
      <c r="O38" s="8"/>
    </row>
    <row r="39" spans="1:15">
      <c r="A39" s="1" t="s">
        <v>29</v>
      </c>
      <c r="B39" s="11" t="s">
        <v>138</v>
      </c>
      <c r="C39" s="11">
        <v>0</v>
      </c>
      <c r="D39" s="11">
        <v>0</v>
      </c>
      <c r="E39" s="11">
        <v>0</v>
      </c>
      <c r="F39" s="11">
        <f t="shared" si="0"/>
        <v>0</v>
      </c>
      <c r="G39" s="17">
        <f t="shared" si="4"/>
        <v>11.79</v>
      </c>
      <c r="H39" s="17">
        <f t="shared" si="5"/>
        <v>0</v>
      </c>
      <c r="I39" s="17">
        <f t="shared" si="6"/>
        <v>0</v>
      </c>
      <c r="J39" s="18">
        <f t="shared" si="7"/>
        <v>0</v>
      </c>
      <c r="K39" s="18">
        <f t="shared" si="8"/>
        <v>0</v>
      </c>
      <c r="L39" s="18">
        <f t="shared" si="1"/>
        <v>11.79</v>
      </c>
      <c r="M39" s="18">
        <f t="shared" si="2"/>
        <v>20.908968253968254</v>
      </c>
      <c r="N39" s="18">
        <f t="shared" si="3"/>
        <v>32.698968253968253</v>
      </c>
      <c r="O39" s="8"/>
    </row>
    <row r="40" spans="1:15">
      <c r="A40" s="1" t="s">
        <v>30</v>
      </c>
      <c r="B40" s="11" t="s">
        <v>138</v>
      </c>
      <c r="C40" s="11">
        <v>0</v>
      </c>
      <c r="D40" s="11">
        <v>0</v>
      </c>
      <c r="E40" s="11">
        <v>0</v>
      </c>
      <c r="F40" s="11">
        <f t="shared" si="0"/>
        <v>0</v>
      </c>
      <c r="G40" s="17">
        <f t="shared" si="4"/>
        <v>11.79</v>
      </c>
      <c r="H40" s="17">
        <f t="shared" si="5"/>
        <v>0</v>
      </c>
      <c r="I40" s="17">
        <f t="shared" si="6"/>
        <v>0</v>
      </c>
      <c r="J40" s="18">
        <f t="shared" si="7"/>
        <v>0</v>
      </c>
      <c r="K40" s="18">
        <f t="shared" si="8"/>
        <v>0</v>
      </c>
      <c r="L40" s="18">
        <f t="shared" si="1"/>
        <v>11.79</v>
      </c>
      <c r="M40" s="18">
        <f t="shared" si="2"/>
        <v>20.908968253968254</v>
      </c>
      <c r="N40" s="18">
        <f t="shared" si="3"/>
        <v>32.698968253968253</v>
      </c>
      <c r="O40" s="8"/>
    </row>
    <row r="41" spans="1:15">
      <c r="A41" s="1" t="s">
        <v>31</v>
      </c>
      <c r="B41" s="11"/>
      <c r="C41" s="11">
        <v>508000</v>
      </c>
      <c r="D41" s="11">
        <v>513000</v>
      </c>
      <c r="E41" s="11">
        <v>0</v>
      </c>
      <c r="F41" s="11">
        <f t="shared" si="0"/>
        <v>5000</v>
      </c>
      <c r="G41" s="17">
        <f t="shared" si="4"/>
        <v>40.090000000000003</v>
      </c>
      <c r="H41" s="17">
        <f t="shared" si="5"/>
        <v>0</v>
      </c>
      <c r="I41" s="17">
        <f t="shared" si="6"/>
        <v>0</v>
      </c>
      <c r="J41" s="18">
        <f t="shared" si="7"/>
        <v>0</v>
      </c>
      <c r="K41" s="18">
        <f t="shared" si="8"/>
        <v>0</v>
      </c>
      <c r="L41" s="18">
        <f t="shared" si="1"/>
        <v>40.090000000000003</v>
      </c>
      <c r="M41" s="18">
        <f t="shared" si="2"/>
        <v>20.908968253968254</v>
      </c>
      <c r="N41" s="18">
        <f t="shared" si="3"/>
        <v>60.998968253968258</v>
      </c>
      <c r="O41" s="8"/>
    </row>
    <row r="42" spans="1:15">
      <c r="A42" s="1" t="s">
        <v>32</v>
      </c>
      <c r="B42" s="11"/>
      <c r="C42" s="11">
        <v>3868000</v>
      </c>
      <c r="D42" s="11">
        <v>3873000</v>
      </c>
      <c r="E42" s="11">
        <v>0</v>
      </c>
      <c r="F42" s="11">
        <f t="shared" si="0"/>
        <v>5000</v>
      </c>
      <c r="G42" s="17">
        <f t="shared" si="4"/>
        <v>40.090000000000003</v>
      </c>
      <c r="H42" s="17">
        <f t="shared" si="5"/>
        <v>0</v>
      </c>
      <c r="I42" s="17">
        <f t="shared" si="6"/>
        <v>0</v>
      </c>
      <c r="J42" s="18">
        <f t="shared" si="7"/>
        <v>0</v>
      </c>
      <c r="K42" s="18">
        <f t="shared" si="8"/>
        <v>0</v>
      </c>
      <c r="L42" s="18">
        <f t="shared" si="1"/>
        <v>40.090000000000003</v>
      </c>
      <c r="M42" s="18">
        <f t="shared" si="2"/>
        <v>20.908968253968254</v>
      </c>
      <c r="N42" s="18">
        <f t="shared" si="3"/>
        <v>60.998968253968258</v>
      </c>
      <c r="O42" s="8"/>
    </row>
    <row r="43" spans="1:15">
      <c r="A43" s="1" t="s">
        <v>33</v>
      </c>
      <c r="B43" s="11"/>
      <c r="C43" s="11">
        <v>1172000</v>
      </c>
      <c r="D43" s="11">
        <v>1178000</v>
      </c>
      <c r="E43" s="11">
        <v>0</v>
      </c>
      <c r="F43" s="11">
        <f t="shared" si="0"/>
        <v>6000</v>
      </c>
      <c r="G43" s="17">
        <f t="shared" si="4"/>
        <v>40.090000000000003</v>
      </c>
      <c r="H43" s="17">
        <f t="shared" si="5"/>
        <v>0</v>
      </c>
      <c r="I43" s="17">
        <f t="shared" si="6"/>
        <v>0</v>
      </c>
      <c r="J43" s="18">
        <f t="shared" si="7"/>
        <v>0</v>
      </c>
      <c r="K43" s="18">
        <f t="shared" si="8"/>
        <v>0</v>
      </c>
      <c r="L43" s="18">
        <f t="shared" si="1"/>
        <v>40.090000000000003</v>
      </c>
      <c r="M43" s="18">
        <f t="shared" si="2"/>
        <v>20.908968253968254</v>
      </c>
      <c r="N43" s="18">
        <f t="shared" si="3"/>
        <v>60.998968253968258</v>
      </c>
      <c r="O43" s="8"/>
    </row>
    <row r="44" spans="1:15">
      <c r="A44" s="1" t="s">
        <v>34</v>
      </c>
      <c r="B44" s="11"/>
      <c r="C44" s="11">
        <v>175000</v>
      </c>
      <c r="D44" s="11">
        <v>203000</v>
      </c>
      <c r="E44" s="11">
        <v>0</v>
      </c>
      <c r="F44" s="11">
        <f t="shared" si="0"/>
        <v>28000</v>
      </c>
      <c r="G44" s="17">
        <f t="shared" si="4"/>
        <v>40.090000000000003</v>
      </c>
      <c r="H44" s="17">
        <f t="shared" si="5"/>
        <v>21.8</v>
      </c>
      <c r="I44" s="17">
        <f t="shared" si="6"/>
        <v>20.239999999999998</v>
      </c>
      <c r="J44" s="18">
        <f t="shared" si="7"/>
        <v>0</v>
      </c>
      <c r="K44" s="18">
        <f t="shared" si="8"/>
        <v>0</v>
      </c>
      <c r="L44" s="18">
        <f t="shared" si="1"/>
        <v>82.13</v>
      </c>
      <c r="M44" s="18">
        <f t="shared" si="2"/>
        <v>20.908968253968254</v>
      </c>
      <c r="N44" s="18">
        <f t="shared" si="3"/>
        <v>103.03896825396825</v>
      </c>
      <c r="O44" s="8"/>
    </row>
    <row r="45" spans="1:15">
      <c r="A45" s="1" t="s">
        <v>35</v>
      </c>
      <c r="B45" s="11"/>
      <c r="C45" s="11">
        <v>1479000</v>
      </c>
      <c r="D45" s="11">
        <v>1501000</v>
      </c>
      <c r="E45" s="11">
        <v>0</v>
      </c>
      <c r="F45" s="11">
        <f t="shared" si="0"/>
        <v>22000</v>
      </c>
      <c r="G45" s="17">
        <f t="shared" si="4"/>
        <v>40.090000000000003</v>
      </c>
      <c r="H45" s="17">
        <f t="shared" si="5"/>
        <v>21.8</v>
      </c>
      <c r="I45" s="17">
        <f t="shared" si="6"/>
        <v>5.0599999999999996</v>
      </c>
      <c r="J45" s="18">
        <f t="shared" si="7"/>
        <v>0</v>
      </c>
      <c r="K45" s="18">
        <f t="shared" si="8"/>
        <v>0</v>
      </c>
      <c r="L45" s="18">
        <f t="shared" si="1"/>
        <v>66.95</v>
      </c>
      <c r="M45" s="18">
        <f t="shared" si="2"/>
        <v>20.908968253968254</v>
      </c>
      <c r="N45" s="18">
        <f t="shared" si="3"/>
        <v>87.858968253968257</v>
      </c>
      <c r="O45" s="8"/>
    </row>
    <row r="46" spans="1:15">
      <c r="A46" s="1" t="s">
        <v>36</v>
      </c>
      <c r="B46" s="11"/>
      <c r="C46" s="11">
        <v>1589000</v>
      </c>
      <c r="D46" s="11">
        <v>1592000</v>
      </c>
      <c r="E46" s="11">
        <v>0</v>
      </c>
      <c r="F46" s="11">
        <f t="shared" si="0"/>
        <v>3000</v>
      </c>
      <c r="G46" s="17">
        <f t="shared" si="4"/>
        <v>40.090000000000003</v>
      </c>
      <c r="H46" s="17">
        <f t="shared" si="5"/>
        <v>0</v>
      </c>
      <c r="I46" s="17">
        <f t="shared" si="6"/>
        <v>0</v>
      </c>
      <c r="J46" s="18">
        <f t="shared" si="7"/>
        <v>0</v>
      </c>
      <c r="K46" s="18">
        <f t="shared" si="8"/>
        <v>0</v>
      </c>
      <c r="L46" s="18">
        <f t="shared" si="1"/>
        <v>40.090000000000003</v>
      </c>
      <c r="M46" s="18">
        <f t="shared" si="2"/>
        <v>20.908968253968254</v>
      </c>
      <c r="N46" s="18">
        <f t="shared" si="3"/>
        <v>60.998968253968258</v>
      </c>
      <c r="O46" s="8"/>
    </row>
    <row r="47" spans="1:15">
      <c r="A47" s="1" t="s">
        <v>37</v>
      </c>
      <c r="B47" s="11"/>
      <c r="C47" s="11">
        <v>1839000</v>
      </c>
      <c r="D47" s="11">
        <v>1874000</v>
      </c>
      <c r="E47" s="11">
        <v>0</v>
      </c>
      <c r="F47" s="11">
        <f t="shared" si="0"/>
        <v>35000</v>
      </c>
      <c r="G47" s="17">
        <f t="shared" si="4"/>
        <v>40.090000000000003</v>
      </c>
      <c r="H47" s="17">
        <f t="shared" si="5"/>
        <v>21.8</v>
      </c>
      <c r="I47" s="17">
        <f t="shared" si="6"/>
        <v>25.299999999999997</v>
      </c>
      <c r="J47" s="18">
        <f t="shared" si="7"/>
        <v>14.75</v>
      </c>
      <c r="K47" s="18">
        <f t="shared" si="8"/>
        <v>0</v>
      </c>
      <c r="L47" s="18">
        <f t="shared" si="1"/>
        <v>101.94</v>
      </c>
      <c r="M47" s="18">
        <f t="shared" si="2"/>
        <v>20.908968253968254</v>
      </c>
      <c r="N47" s="18">
        <f t="shared" si="3"/>
        <v>122.84896825396825</v>
      </c>
      <c r="O47" s="8"/>
    </row>
    <row r="48" spans="1:15">
      <c r="A48" s="1" t="s">
        <v>38</v>
      </c>
      <c r="B48" s="11"/>
      <c r="C48" s="11">
        <v>1661000</v>
      </c>
      <c r="D48" s="11">
        <v>1687000</v>
      </c>
      <c r="E48" s="11">
        <v>0</v>
      </c>
      <c r="F48" s="11">
        <f t="shared" si="0"/>
        <v>26000</v>
      </c>
      <c r="G48" s="17">
        <f t="shared" si="4"/>
        <v>40.090000000000003</v>
      </c>
      <c r="H48" s="17">
        <f t="shared" si="5"/>
        <v>21.8</v>
      </c>
      <c r="I48" s="17">
        <f t="shared" si="6"/>
        <v>15.18</v>
      </c>
      <c r="J48" s="18">
        <f t="shared" si="7"/>
        <v>0</v>
      </c>
      <c r="K48" s="18">
        <f t="shared" si="8"/>
        <v>0</v>
      </c>
      <c r="L48" s="18">
        <f t="shared" si="1"/>
        <v>77.069999999999993</v>
      </c>
      <c r="M48" s="18">
        <f t="shared" si="2"/>
        <v>20.908968253968254</v>
      </c>
      <c r="N48" s="18">
        <f t="shared" si="3"/>
        <v>97.978968253968247</v>
      </c>
      <c r="O48" s="8"/>
    </row>
    <row r="49" spans="1:15">
      <c r="A49" s="1" t="s">
        <v>39</v>
      </c>
      <c r="B49" s="11" t="s">
        <v>138</v>
      </c>
      <c r="C49" s="11">
        <v>0</v>
      </c>
      <c r="D49" s="11">
        <v>0</v>
      </c>
      <c r="E49" s="11">
        <v>0</v>
      </c>
      <c r="F49" s="11">
        <f t="shared" si="0"/>
        <v>0</v>
      </c>
      <c r="G49" s="17">
        <f t="shared" si="4"/>
        <v>11.79</v>
      </c>
      <c r="H49" s="17">
        <f t="shared" si="5"/>
        <v>0</v>
      </c>
      <c r="I49" s="17">
        <f t="shared" si="6"/>
        <v>0</v>
      </c>
      <c r="J49" s="18">
        <f t="shared" si="7"/>
        <v>0</v>
      </c>
      <c r="K49" s="18">
        <f t="shared" si="8"/>
        <v>0</v>
      </c>
      <c r="L49" s="18">
        <f t="shared" si="1"/>
        <v>11.79</v>
      </c>
      <c r="M49" s="18">
        <f t="shared" si="2"/>
        <v>20.908968253968254</v>
      </c>
      <c r="N49" s="18">
        <f t="shared" si="3"/>
        <v>32.698968253968253</v>
      </c>
      <c r="O49" s="8"/>
    </row>
    <row r="50" spans="1:15">
      <c r="A50" s="1" t="s">
        <v>40</v>
      </c>
      <c r="B50" s="11" t="s">
        <v>138</v>
      </c>
      <c r="C50" s="11">
        <v>0</v>
      </c>
      <c r="D50" s="11">
        <v>0</v>
      </c>
      <c r="E50" s="11">
        <v>0</v>
      </c>
      <c r="F50" s="11">
        <f t="shared" si="0"/>
        <v>0</v>
      </c>
      <c r="G50" s="17">
        <f t="shared" si="4"/>
        <v>11.79</v>
      </c>
      <c r="H50" s="17">
        <f t="shared" si="5"/>
        <v>0</v>
      </c>
      <c r="I50" s="17">
        <f t="shared" si="6"/>
        <v>0</v>
      </c>
      <c r="J50" s="18">
        <f t="shared" si="7"/>
        <v>0</v>
      </c>
      <c r="K50" s="18">
        <f t="shared" si="8"/>
        <v>0</v>
      </c>
      <c r="L50" s="18">
        <f t="shared" si="1"/>
        <v>11.79</v>
      </c>
      <c r="M50" s="18">
        <f t="shared" si="2"/>
        <v>20.908968253968254</v>
      </c>
      <c r="N50" s="18">
        <f t="shared" si="3"/>
        <v>32.698968253968253</v>
      </c>
      <c r="O50" s="8"/>
    </row>
    <row r="51" spans="1:15">
      <c r="A51" s="1" t="s">
        <v>41</v>
      </c>
      <c r="B51" s="11" t="s">
        <v>138</v>
      </c>
      <c r="C51" s="11">
        <v>0</v>
      </c>
      <c r="D51" s="11">
        <v>0</v>
      </c>
      <c r="E51" s="11">
        <v>0</v>
      </c>
      <c r="F51" s="11">
        <f t="shared" si="0"/>
        <v>0</v>
      </c>
      <c r="G51" s="17">
        <f t="shared" si="4"/>
        <v>11.79</v>
      </c>
      <c r="H51" s="17">
        <f t="shared" si="5"/>
        <v>0</v>
      </c>
      <c r="I51" s="17">
        <f t="shared" si="6"/>
        <v>0</v>
      </c>
      <c r="J51" s="18">
        <f t="shared" si="7"/>
        <v>0</v>
      </c>
      <c r="K51" s="18">
        <f t="shared" si="8"/>
        <v>0</v>
      </c>
      <c r="L51" s="18">
        <f t="shared" si="1"/>
        <v>11.79</v>
      </c>
      <c r="M51" s="18">
        <f t="shared" si="2"/>
        <v>20.908968253968254</v>
      </c>
      <c r="N51" s="18">
        <f t="shared" si="3"/>
        <v>32.698968253968253</v>
      </c>
      <c r="O51" s="8"/>
    </row>
    <row r="52" spans="1:15">
      <c r="A52" s="1" t="s">
        <v>42</v>
      </c>
      <c r="B52" s="11"/>
      <c r="C52" s="11">
        <v>3052000</v>
      </c>
      <c r="D52" s="11">
        <v>3070000</v>
      </c>
      <c r="E52" s="11">
        <v>0</v>
      </c>
      <c r="F52" s="11">
        <f t="shared" si="0"/>
        <v>18000</v>
      </c>
      <c r="G52" s="17">
        <f t="shared" si="4"/>
        <v>40.090000000000003</v>
      </c>
      <c r="H52" s="17">
        <f t="shared" si="5"/>
        <v>17.440000000000001</v>
      </c>
      <c r="I52" s="17">
        <f t="shared" si="6"/>
        <v>0</v>
      </c>
      <c r="J52" s="18">
        <f t="shared" si="7"/>
        <v>0</v>
      </c>
      <c r="K52" s="18">
        <f t="shared" si="8"/>
        <v>0</v>
      </c>
      <c r="L52" s="18">
        <f t="shared" si="1"/>
        <v>57.53</v>
      </c>
      <c r="M52" s="18">
        <f t="shared" si="2"/>
        <v>20.908968253968254</v>
      </c>
      <c r="N52" s="18">
        <f t="shared" si="3"/>
        <v>78.438968253968255</v>
      </c>
      <c r="O52" s="8"/>
    </row>
    <row r="53" spans="1:15">
      <c r="A53" s="1" t="s">
        <v>43</v>
      </c>
      <c r="B53" s="11"/>
      <c r="C53" s="11">
        <v>3222000</v>
      </c>
      <c r="D53" s="11">
        <v>3244000</v>
      </c>
      <c r="E53" s="11">
        <v>0</v>
      </c>
      <c r="F53" s="11">
        <f t="shared" si="0"/>
        <v>22000</v>
      </c>
      <c r="G53" s="17">
        <f t="shared" si="4"/>
        <v>40.090000000000003</v>
      </c>
      <c r="H53" s="17">
        <f t="shared" si="5"/>
        <v>21.8</v>
      </c>
      <c r="I53" s="17">
        <f t="shared" si="6"/>
        <v>5.0599999999999996</v>
      </c>
      <c r="J53" s="18">
        <f t="shared" si="7"/>
        <v>0</v>
      </c>
      <c r="K53" s="18">
        <f t="shared" si="8"/>
        <v>0</v>
      </c>
      <c r="L53" s="18">
        <f t="shared" si="1"/>
        <v>66.95</v>
      </c>
      <c r="M53" s="18">
        <f t="shared" si="2"/>
        <v>20.908968253968254</v>
      </c>
      <c r="N53" s="18">
        <f t="shared" si="3"/>
        <v>87.858968253968257</v>
      </c>
      <c r="O53" s="8"/>
    </row>
    <row r="54" spans="1:15">
      <c r="A54" s="1" t="s">
        <v>44</v>
      </c>
      <c r="B54" s="11"/>
      <c r="C54" s="11">
        <v>4017000</v>
      </c>
      <c r="D54" s="11">
        <v>4051000</v>
      </c>
      <c r="E54" s="11">
        <v>0</v>
      </c>
      <c r="F54" s="11">
        <f t="shared" si="0"/>
        <v>34000</v>
      </c>
      <c r="G54" s="17">
        <f t="shared" si="4"/>
        <v>40.090000000000003</v>
      </c>
      <c r="H54" s="17">
        <f t="shared" si="5"/>
        <v>21.8</v>
      </c>
      <c r="I54" s="17">
        <f t="shared" si="6"/>
        <v>25.299999999999997</v>
      </c>
      <c r="J54" s="18">
        <f t="shared" si="7"/>
        <v>11.8</v>
      </c>
      <c r="K54" s="18">
        <f t="shared" si="8"/>
        <v>0</v>
      </c>
      <c r="L54" s="18">
        <f t="shared" si="1"/>
        <v>98.99</v>
      </c>
      <c r="M54" s="18">
        <f t="shared" si="2"/>
        <v>20.908968253968254</v>
      </c>
      <c r="N54" s="18">
        <f t="shared" si="3"/>
        <v>119.89896825396825</v>
      </c>
      <c r="O54" s="8"/>
    </row>
    <row r="55" spans="1:15">
      <c r="A55" s="1" t="s">
        <v>45</v>
      </c>
      <c r="B55" s="11" t="s">
        <v>138</v>
      </c>
      <c r="C55" s="11">
        <v>0</v>
      </c>
      <c r="D55" s="11">
        <v>0</v>
      </c>
      <c r="E55" s="11">
        <v>0</v>
      </c>
      <c r="F55" s="11">
        <f t="shared" si="0"/>
        <v>0</v>
      </c>
      <c r="G55" s="17">
        <f t="shared" si="4"/>
        <v>11.79</v>
      </c>
      <c r="H55" s="17">
        <f t="shared" si="5"/>
        <v>0</v>
      </c>
      <c r="I55" s="17">
        <f t="shared" si="6"/>
        <v>0</v>
      </c>
      <c r="J55" s="18">
        <f t="shared" si="7"/>
        <v>0</v>
      </c>
      <c r="K55" s="18">
        <f t="shared" si="8"/>
        <v>0</v>
      </c>
      <c r="L55" s="18">
        <f t="shared" si="1"/>
        <v>11.79</v>
      </c>
      <c r="M55" s="18">
        <f t="shared" si="2"/>
        <v>20.908968253968254</v>
      </c>
      <c r="N55" s="18">
        <f t="shared" si="3"/>
        <v>32.698968253968253</v>
      </c>
      <c r="O55" s="8"/>
    </row>
    <row r="56" spans="1:15">
      <c r="A56" s="1" t="s">
        <v>46</v>
      </c>
      <c r="B56" s="11" t="s">
        <v>138</v>
      </c>
      <c r="C56" s="11">
        <v>0</v>
      </c>
      <c r="D56" s="11">
        <v>0</v>
      </c>
      <c r="E56" s="11">
        <v>0</v>
      </c>
      <c r="F56" s="11">
        <f t="shared" si="0"/>
        <v>0</v>
      </c>
      <c r="G56" s="17">
        <f t="shared" si="4"/>
        <v>11.79</v>
      </c>
      <c r="H56" s="17">
        <f t="shared" si="5"/>
        <v>0</v>
      </c>
      <c r="I56" s="17">
        <f t="shared" si="6"/>
        <v>0</v>
      </c>
      <c r="J56" s="18">
        <f t="shared" si="7"/>
        <v>0</v>
      </c>
      <c r="K56" s="18">
        <f t="shared" si="8"/>
        <v>0</v>
      </c>
      <c r="L56" s="18">
        <f t="shared" si="1"/>
        <v>11.79</v>
      </c>
      <c r="M56" s="18">
        <f t="shared" si="2"/>
        <v>20.908968253968254</v>
      </c>
      <c r="N56" s="18">
        <f t="shared" si="3"/>
        <v>32.698968253968253</v>
      </c>
      <c r="O56" s="8"/>
    </row>
    <row r="57" spans="1:15">
      <c r="A57" s="1" t="s">
        <v>47</v>
      </c>
      <c r="B57" s="11" t="s">
        <v>138</v>
      </c>
      <c r="C57" s="11">
        <v>0</v>
      </c>
      <c r="D57" s="11">
        <v>0</v>
      </c>
      <c r="E57" s="11">
        <v>0</v>
      </c>
      <c r="F57" s="11">
        <f t="shared" si="0"/>
        <v>0</v>
      </c>
      <c r="G57" s="17">
        <f t="shared" si="4"/>
        <v>11.79</v>
      </c>
      <c r="H57" s="17">
        <f t="shared" si="5"/>
        <v>0</v>
      </c>
      <c r="I57" s="17">
        <f t="shared" si="6"/>
        <v>0</v>
      </c>
      <c r="J57" s="18">
        <f t="shared" si="7"/>
        <v>0</v>
      </c>
      <c r="K57" s="18">
        <f t="shared" si="8"/>
        <v>0</v>
      </c>
      <c r="L57" s="18">
        <f t="shared" si="1"/>
        <v>11.79</v>
      </c>
      <c r="M57" s="18">
        <f t="shared" si="2"/>
        <v>20.908968253968254</v>
      </c>
      <c r="N57" s="18">
        <f t="shared" si="3"/>
        <v>32.698968253968253</v>
      </c>
      <c r="O57" s="8"/>
    </row>
    <row r="58" spans="1:15">
      <c r="A58" s="1" t="s">
        <v>48</v>
      </c>
      <c r="B58" s="11"/>
      <c r="C58" s="11">
        <v>1115000</v>
      </c>
      <c r="D58" s="11">
        <v>1118000</v>
      </c>
      <c r="E58" s="11">
        <v>0</v>
      </c>
      <c r="F58" s="11">
        <f t="shared" si="0"/>
        <v>3000</v>
      </c>
      <c r="G58" s="17">
        <f t="shared" si="4"/>
        <v>40.090000000000003</v>
      </c>
      <c r="H58" s="17">
        <f t="shared" si="5"/>
        <v>0</v>
      </c>
      <c r="I58" s="17">
        <f t="shared" si="6"/>
        <v>0</v>
      </c>
      <c r="J58" s="18">
        <f t="shared" si="7"/>
        <v>0</v>
      </c>
      <c r="K58" s="18">
        <f t="shared" si="8"/>
        <v>0</v>
      </c>
      <c r="L58" s="18">
        <f t="shared" si="1"/>
        <v>40.090000000000003</v>
      </c>
      <c r="M58" s="18">
        <f t="shared" si="2"/>
        <v>20.908968253968254</v>
      </c>
      <c r="N58" s="18">
        <f t="shared" si="3"/>
        <v>60.998968253968258</v>
      </c>
      <c r="O58" s="8"/>
    </row>
    <row r="59" spans="1:15">
      <c r="A59" s="1" t="s">
        <v>49</v>
      </c>
      <c r="B59" s="11"/>
      <c r="C59" s="11">
        <v>879000</v>
      </c>
      <c r="D59" s="11">
        <v>888000</v>
      </c>
      <c r="E59" s="11">
        <v>0</v>
      </c>
      <c r="F59" s="11">
        <f t="shared" si="0"/>
        <v>9000</v>
      </c>
      <c r="G59" s="17">
        <f t="shared" si="4"/>
        <v>40.090000000000003</v>
      </c>
      <c r="H59" s="17">
        <f t="shared" si="5"/>
        <v>0</v>
      </c>
      <c r="I59" s="17">
        <f t="shared" si="6"/>
        <v>0</v>
      </c>
      <c r="J59" s="18">
        <f t="shared" si="7"/>
        <v>0</v>
      </c>
      <c r="K59" s="18">
        <f t="shared" si="8"/>
        <v>0</v>
      </c>
      <c r="L59" s="18">
        <f t="shared" si="1"/>
        <v>40.090000000000003</v>
      </c>
      <c r="M59" s="18">
        <f t="shared" si="2"/>
        <v>20.908968253968254</v>
      </c>
      <c r="N59" s="18">
        <f t="shared" si="3"/>
        <v>60.998968253968258</v>
      </c>
      <c r="O59" s="8"/>
    </row>
    <row r="60" spans="1:15">
      <c r="A60" s="1" t="s">
        <v>50</v>
      </c>
      <c r="B60" s="11"/>
      <c r="C60" s="11">
        <v>3482000</v>
      </c>
      <c r="D60" s="11">
        <v>3487000</v>
      </c>
      <c r="E60" s="11">
        <v>0</v>
      </c>
      <c r="F60" s="11">
        <f t="shared" si="0"/>
        <v>5000</v>
      </c>
      <c r="G60" s="17">
        <f t="shared" si="4"/>
        <v>40.090000000000003</v>
      </c>
      <c r="H60" s="17">
        <f t="shared" si="5"/>
        <v>0</v>
      </c>
      <c r="I60" s="17">
        <f t="shared" si="6"/>
        <v>0</v>
      </c>
      <c r="J60" s="18">
        <f t="shared" si="7"/>
        <v>0</v>
      </c>
      <c r="K60" s="18">
        <f t="shared" si="8"/>
        <v>0</v>
      </c>
      <c r="L60" s="18">
        <f t="shared" si="1"/>
        <v>40.090000000000003</v>
      </c>
      <c r="M60" s="18">
        <f t="shared" si="2"/>
        <v>20.908968253968254</v>
      </c>
      <c r="N60" s="18">
        <f t="shared" si="3"/>
        <v>60.998968253968258</v>
      </c>
      <c r="O60" s="8"/>
    </row>
    <row r="61" spans="1:15">
      <c r="A61" s="1" t="s">
        <v>51</v>
      </c>
      <c r="B61" s="11" t="s">
        <v>138</v>
      </c>
      <c r="C61" s="11">
        <v>0</v>
      </c>
      <c r="D61" s="11">
        <v>0</v>
      </c>
      <c r="E61" s="11">
        <v>0</v>
      </c>
      <c r="F61" s="11">
        <f t="shared" si="0"/>
        <v>0</v>
      </c>
      <c r="G61" s="17">
        <f t="shared" si="4"/>
        <v>11.79</v>
      </c>
      <c r="H61" s="17">
        <f t="shared" si="5"/>
        <v>0</v>
      </c>
      <c r="I61" s="17">
        <f t="shared" si="6"/>
        <v>0</v>
      </c>
      <c r="J61" s="18">
        <f t="shared" si="7"/>
        <v>0</v>
      </c>
      <c r="K61" s="18">
        <f t="shared" si="8"/>
        <v>0</v>
      </c>
      <c r="L61" s="18">
        <f t="shared" si="1"/>
        <v>11.79</v>
      </c>
      <c r="M61" s="18">
        <f t="shared" si="2"/>
        <v>20.908968253968254</v>
      </c>
      <c r="N61" s="18">
        <f t="shared" si="3"/>
        <v>32.698968253968253</v>
      </c>
      <c r="O61" s="8"/>
    </row>
    <row r="62" spans="1:15">
      <c r="A62" s="1" t="s">
        <v>52</v>
      </c>
      <c r="B62" s="11"/>
      <c r="C62" s="11">
        <v>1701000</v>
      </c>
      <c r="D62" s="11">
        <v>1705000</v>
      </c>
      <c r="E62" s="11">
        <v>0</v>
      </c>
      <c r="F62" s="11">
        <f t="shared" si="0"/>
        <v>4000</v>
      </c>
      <c r="G62" s="17">
        <f t="shared" si="4"/>
        <v>40.090000000000003</v>
      </c>
      <c r="H62" s="17">
        <f t="shared" si="5"/>
        <v>0</v>
      </c>
      <c r="I62" s="17">
        <f t="shared" si="6"/>
        <v>0</v>
      </c>
      <c r="J62" s="18">
        <f t="shared" si="7"/>
        <v>0</v>
      </c>
      <c r="K62" s="18">
        <f t="shared" si="8"/>
        <v>0</v>
      </c>
      <c r="L62" s="18">
        <f t="shared" si="1"/>
        <v>40.090000000000003</v>
      </c>
      <c r="M62" s="18">
        <f t="shared" si="2"/>
        <v>20.908968253968254</v>
      </c>
      <c r="N62" s="18">
        <f t="shared" si="3"/>
        <v>60.998968253968258</v>
      </c>
      <c r="O62" s="8"/>
    </row>
    <row r="63" spans="1:15">
      <c r="A63" s="1" t="s">
        <v>53</v>
      </c>
      <c r="B63" s="11"/>
      <c r="C63" s="11">
        <v>2304000</v>
      </c>
      <c r="D63" s="11">
        <v>2316000</v>
      </c>
      <c r="E63" s="11">
        <v>0</v>
      </c>
      <c r="F63" s="11">
        <f t="shared" si="0"/>
        <v>12000</v>
      </c>
      <c r="G63" s="17">
        <f t="shared" si="4"/>
        <v>40.090000000000003</v>
      </c>
      <c r="H63" s="17">
        <f t="shared" si="5"/>
        <v>4.3600000000000003</v>
      </c>
      <c r="I63" s="17">
        <f t="shared" si="6"/>
        <v>0</v>
      </c>
      <c r="J63" s="18">
        <f t="shared" si="7"/>
        <v>0</v>
      </c>
      <c r="K63" s="18">
        <f t="shared" si="8"/>
        <v>0</v>
      </c>
      <c r="L63" s="18">
        <f t="shared" si="1"/>
        <v>44.45</v>
      </c>
      <c r="M63" s="18">
        <f t="shared" si="2"/>
        <v>20.908968253968254</v>
      </c>
      <c r="N63" s="18">
        <f t="shared" si="3"/>
        <v>65.358968253968257</v>
      </c>
      <c r="O63" s="8"/>
    </row>
    <row r="64" spans="1:15">
      <c r="A64" s="1" t="s">
        <v>54</v>
      </c>
      <c r="B64" s="11"/>
      <c r="C64" s="11">
        <v>3090000</v>
      </c>
      <c r="D64" s="11">
        <v>3332000</v>
      </c>
      <c r="E64" s="11">
        <v>0</v>
      </c>
      <c r="F64" s="11">
        <f t="shared" si="0"/>
        <v>242000</v>
      </c>
      <c r="G64" s="17">
        <f t="shared" si="4"/>
        <v>40.090000000000003</v>
      </c>
      <c r="H64" s="17">
        <f t="shared" si="5"/>
        <v>21.8</v>
      </c>
      <c r="I64" s="17">
        <f t="shared" si="6"/>
        <v>25.299999999999997</v>
      </c>
      <c r="J64" s="18">
        <f t="shared" si="7"/>
        <v>29.5</v>
      </c>
      <c r="K64" s="18">
        <f t="shared" si="8"/>
        <v>690.84</v>
      </c>
      <c r="L64" s="18">
        <f t="shared" si="1"/>
        <v>807.53</v>
      </c>
      <c r="M64" s="18">
        <f t="shared" si="2"/>
        <v>20.908968253968254</v>
      </c>
      <c r="N64" s="18">
        <f t="shared" si="3"/>
        <v>828.43896825396826</v>
      </c>
      <c r="O64" s="8"/>
    </row>
    <row r="65" spans="1:15">
      <c r="A65" s="1" t="s">
        <v>55</v>
      </c>
      <c r="B65" s="11" t="s">
        <v>138</v>
      </c>
      <c r="C65" s="11">
        <v>0</v>
      </c>
      <c r="D65" s="11">
        <v>0</v>
      </c>
      <c r="E65" s="11">
        <v>0</v>
      </c>
      <c r="F65" s="11">
        <f t="shared" si="0"/>
        <v>0</v>
      </c>
      <c r="G65" s="17">
        <f t="shared" si="4"/>
        <v>11.79</v>
      </c>
      <c r="H65" s="17">
        <f t="shared" si="5"/>
        <v>0</v>
      </c>
      <c r="I65" s="17">
        <f t="shared" si="6"/>
        <v>0</v>
      </c>
      <c r="J65" s="18">
        <f t="shared" si="7"/>
        <v>0</v>
      </c>
      <c r="K65" s="18">
        <f t="shared" si="8"/>
        <v>0</v>
      </c>
      <c r="L65" s="18">
        <f t="shared" si="1"/>
        <v>11.79</v>
      </c>
      <c r="M65" s="18">
        <f t="shared" si="2"/>
        <v>20.908968253968254</v>
      </c>
      <c r="N65" s="18">
        <f t="shared" si="3"/>
        <v>32.698968253968253</v>
      </c>
      <c r="O65" s="8"/>
    </row>
    <row r="66" spans="1:15">
      <c r="A66" s="1" t="s">
        <v>56</v>
      </c>
      <c r="B66" s="11"/>
      <c r="C66" s="11">
        <v>1495000</v>
      </c>
      <c r="D66" s="11">
        <v>1509000</v>
      </c>
      <c r="E66" s="11">
        <v>0</v>
      </c>
      <c r="F66" s="11">
        <f t="shared" si="0"/>
        <v>14000</v>
      </c>
      <c r="G66" s="17">
        <f t="shared" si="4"/>
        <v>40.090000000000003</v>
      </c>
      <c r="H66" s="17">
        <f t="shared" si="5"/>
        <v>8.7200000000000006</v>
      </c>
      <c r="I66" s="17">
        <f t="shared" si="6"/>
        <v>0</v>
      </c>
      <c r="J66" s="18">
        <f t="shared" si="7"/>
        <v>0</v>
      </c>
      <c r="K66" s="18">
        <f t="shared" si="8"/>
        <v>0</v>
      </c>
      <c r="L66" s="18">
        <f t="shared" si="1"/>
        <v>48.81</v>
      </c>
      <c r="M66" s="18">
        <f t="shared" si="2"/>
        <v>20.908968253968254</v>
      </c>
      <c r="N66" s="18">
        <f t="shared" si="3"/>
        <v>69.718968253968256</v>
      </c>
      <c r="O66" s="8"/>
    </row>
    <row r="67" spans="1:15">
      <c r="A67" s="1" t="s">
        <v>57</v>
      </c>
      <c r="B67" s="11"/>
      <c r="C67" s="11">
        <v>1610000</v>
      </c>
      <c r="D67" s="11">
        <v>1615000</v>
      </c>
      <c r="E67" s="11">
        <v>0</v>
      </c>
      <c r="F67" s="11">
        <f t="shared" si="0"/>
        <v>5000</v>
      </c>
      <c r="G67" s="17">
        <f t="shared" si="4"/>
        <v>40.090000000000003</v>
      </c>
      <c r="H67" s="17">
        <f t="shared" si="5"/>
        <v>0</v>
      </c>
      <c r="I67" s="17">
        <f t="shared" si="6"/>
        <v>0</v>
      </c>
      <c r="J67" s="18">
        <f t="shared" si="7"/>
        <v>0</v>
      </c>
      <c r="K67" s="18">
        <f t="shared" si="8"/>
        <v>0</v>
      </c>
      <c r="L67" s="18">
        <f t="shared" si="1"/>
        <v>40.090000000000003</v>
      </c>
      <c r="M67" s="18">
        <f t="shared" si="2"/>
        <v>20.908968253968254</v>
      </c>
      <c r="N67" s="18">
        <f t="shared" si="3"/>
        <v>60.998968253968258</v>
      </c>
      <c r="O67" s="8"/>
    </row>
    <row r="68" spans="1:15">
      <c r="A68" s="1" t="s">
        <v>58</v>
      </c>
      <c r="B68" s="11" t="s">
        <v>138</v>
      </c>
      <c r="C68" s="11">
        <v>0</v>
      </c>
      <c r="D68" s="11">
        <v>0</v>
      </c>
      <c r="E68" s="11">
        <v>0</v>
      </c>
      <c r="F68" s="11">
        <f t="shared" si="0"/>
        <v>0</v>
      </c>
      <c r="G68" s="17">
        <f t="shared" si="4"/>
        <v>11.79</v>
      </c>
      <c r="H68" s="17">
        <f t="shared" si="5"/>
        <v>0</v>
      </c>
      <c r="I68" s="17">
        <f t="shared" si="6"/>
        <v>0</v>
      </c>
      <c r="J68" s="18">
        <f t="shared" si="7"/>
        <v>0</v>
      </c>
      <c r="K68" s="18">
        <f t="shared" si="8"/>
        <v>0</v>
      </c>
      <c r="L68" s="18">
        <f t="shared" si="1"/>
        <v>11.79</v>
      </c>
      <c r="M68" s="18">
        <f t="shared" si="2"/>
        <v>20.908968253968254</v>
      </c>
      <c r="N68" s="18">
        <f t="shared" si="3"/>
        <v>32.698968253968253</v>
      </c>
      <c r="O68" s="8"/>
    </row>
    <row r="69" spans="1:15">
      <c r="A69" s="1" t="s">
        <v>59</v>
      </c>
      <c r="B69" s="11" t="s">
        <v>138</v>
      </c>
      <c r="C69" s="11">
        <v>0</v>
      </c>
      <c r="D69" s="11">
        <v>0</v>
      </c>
      <c r="E69" s="11">
        <v>0</v>
      </c>
      <c r="F69" s="11">
        <f t="shared" si="0"/>
        <v>0</v>
      </c>
      <c r="G69" s="17">
        <f t="shared" si="4"/>
        <v>11.79</v>
      </c>
      <c r="H69" s="17">
        <f t="shared" si="5"/>
        <v>0</v>
      </c>
      <c r="I69" s="17">
        <f t="shared" si="6"/>
        <v>0</v>
      </c>
      <c r="J69" s="18">
        <f t="shared" si="7"/>
        <v>0</v>
      </c>
      <c r="K69" s="18">
        <f t="shared" si="8"/>
        <v>0</v>
      </c>
      <c r="L69" s="18">
        <f t="shared" si="1"/>
        <v>11.79</v>
      </c>
      <c r="M69" s="18">
        <f t="shared" si="2"/>
        <v>20.908968253968254</v>
      </c>
      <c r="N69" s="18">
        <f t="shared" si="3"/>
        <v>32.698968253968253</v>
      </c>
      <c r="O69" s="8"/>
    </row>
    <row r="70" spans="1:15">
      <c r="A70" s="1" t="s">
        <v>60</v>
      </c>
      <c r="B70" s="11" t="s">
        <v>138</v>
      </c>
      <c r="C70" s="11">
        <v>0</v>
      </c>
      <c r="D70" s="11">
        <v>0</v>
      </c>
      <c r="E70" s="11">
        <v>0</v>
      </c>
      <c r="F70" s="11">
        <f t="shared" si="0"/>
        <v>0</v>
      </c>
      <c r="G70" s="17">
        <f t="shared" si="4"/>
        <v>11.79</v>
      </c>
      <c r="H70" s="17">
        <f t="shared" si="5"/>
        <v>0</v>
      </c>
      <c r="I70" s="17">
        <f t="shared" si="6"/>
        <v>0</v>
      </c>
      <c r="J70" s="18">
        <f t="shared" si="7"/>
        <v>0</v>
      </c>
      <c r="K70" s="18">
        <f t="shared" si="8"/>
        <v>0</v>
      </c>
      <c r="L70" s="18">
        <f t="shared" si="1"/>
        <v>11.79</v>
      </c>
      <c r="M70" s="18">
        <f t="shared" si="2"/>
        <v>20.908968253968254</v>
      </c>
      <c r="N70" s="18">
        <f t="shared" si="3"/>
        <v>32.698968253968253</v>
      </c>
      <c r="O70" s="8"/>
    </row>
    <row r="71" spans="1:15">
      <c r="A71" s="1" t="s">
        <v>61</v>
      </c>
      <c r="B71" s="11"/>
      <c r="C71" s="11">
        <v>1333000</v>
      </c>
      <c r="D71" s="11">
        <v>1338000</v>
      </c>
      <c r="E71" s="11">
        <v>0</v>
      </c>
      <c r="F71" s="11">
        <f t="shared" si="0"/>
        <v>5000</v>
      </c>
      <c r="G71" s="17">
        <f t="shared" si="4"/>
        <v>40.090000000000003</v>
      </c>
      <c r="H71" s="17">
        <f t="shared" si="5"/>
        <v>0</v>
      </c>
      <c r="I71" s="17">
        <f t="shared" si="6"/>
        <v>0</v>
      </c>
      <c r="J71" s="18">
        <f t="shared" si="7"/>
        <v>0</v>
      </c>
      <c r="K71" s="18">
        <f t="shared" si="8"/>
        <v>0</v>
      </c>
      <c r="L71" s="18">
        <f t="shared" si="1"/>
        <v>40.090000000000003</v>
      </c>
      <c r="M71" s="18">
        <f t="shared" si="2"/>
        <v>20.908968253968254</v>
      </c>
      <c r="N71" s="18">
        <f t="shared" si="3"/>
        <v>60.998968253968258</v>
      </c>
      <c r="O71" s="8"/>
    </row>
    <row r="72" spans="1:15">
      <c r="A72" s="1" t="s">
        <v>62</v>
      </c>
      <c r="B72" s="11"/>
      <c r="C72" s="11">
        <v>1890000</v>
      </c>
      <c r="D72" s="11">
        <v>1895000</v>
      </c>
      <c r="E72" s="11">
        <v>0</v>
      </c>
      <c r="F72" s="11">
        <f t="shared" si="0"/>
        <v>5000</v>
      </c>
      <c r="G72" s="17">
        <f t="shared" si="4"/>
        <v>40.090000000000003</v>
      </c>
      <c r="H72" s="17">
        <f t="shared" si="5"/>
        <v>0</v>
      </c>
      <c r="I72" s="17">
        <f t="shared" si="6"/>
        <v>0</v>
      </c>
      <c r="J72" s="18">
        <f t="shared" si="7"/>
        <v>0</v>
      </c>
      <c r="K72" s="18">
        <f t="shared" si="8"/>
        <v>0</v>
      </c>
      <c r="L72" s="18">
        <f t="shared" si="1"/>
        <v>40.090000000000003</v>
      </c>
      <c r="M72" s="18">
        <f t="shared" si="2"/>
        <v>20.908968253968254</v>
      </c>
      <c r="N72" s="18">
        <f t="shared" si="3"/>
        <v>60.998968253968258</v>
      </c>
      <c r="O72" s="8"/>
    </row>
    <row r="73" spans="1:15">
      <c r="A73" s="1" t="s">
        <v>63</v>
      </c>
      <c r="B73" s="11" t="s">
        <v>138</v>
      </c>
      <c r="C73" s="11">
        <v>0</v>
      </c>
      <c r="D73" s="11">
        <v>0</v>
      </c>
      <c r="E73" s="11">
        <v>0</v>
      </c>
      <c r="F73" s="11">
        <f t="shared" si="0"/>
        <v>0</v>
      </c>
      <c r="G73" s="17">
        <f t="shared" si="4"/>
        <v>11.79</v>
      </c>
      <c r="H73" s="17">
        <f t="shared" si="5"/>
        <v>0</v>
      </c>
      <c r="I73" s="17">
        <f t="shared" si="6"/>
        <v>0</v>
      </c>
      <c r="J73" s="18">
        <f t="shared" si="7"/>
        <v>0</v>
      </c>
      <c r="K73" s="18">
        <f t="shared" si="8"/>
        <v>0</v>
      </c>
      <c r="L73" s="18">
        <f t="shared" si="1"/>
        <v>11.79</v>
      </c>
      <c r="M73" s="18">
        <f t="shared" si="2"/>
        <v>20.908968253968254</v>
      </c>
      <c r="N73" s="18">
        <f t="shared" si="3"/>
        <v>32.698968253968253</v>
      </c>
      <c r="O73" s="8"/>
    </row>
    <row r="74" spans="1:15">
      <c r="A74" s="1" t="s">
        <v>64</v>
      </c>
      <c r="B74" s="11"/>
      <c r="C74" s="11">
        <v>4896000</v>
      </c>
      <c r="D74" s="11">
        <v>4906000</v>
      </c>
      <c r="E74" s="11">
        <v>0</v>
      </c>
      <c r="F74" s="11">
        <f t="shared" si="0"/>
        <v>10000</v>
      </c>
      <c r="G74" s="17">
        <f t="shared" si="4"/>
        <v>40.090000000000003</v>
      </c>
      <c r="H74" s="17">
        <f t="shared" si="5"/>
        <v>0</v>
      </c>
      <c r="I74" s="17">
        <f t="shared" si="6"/>
        <v>0</v>
      </c>
      <c r="J74" s="18">
        <f t="shared" si="7"/>
        <v>0</v>
      </c>
      <c r="K74" s="18">
        <f t="shared" si="8"/>
        <v>0</v>
      </c>
      <c r="L74" s="18">
        <f t="shared" si="1"/>
        <v>40.090000000000003</v>
      </c>
      <c r="M74" s="18">
        <f t="shared" si="2"/>
        <v>20.908968253968254</v>
      </c>
      <c r="N74" s="18">
        <f t="shared" si="3"/>
        <v>60.998968253968258</v>
      </c>
      <c r="O74" s="8"/>
    </row>
    <row r="75" spans="1:15">
      <c r="A75" s="1" t="s">
        <v>65</v>
      </c>
      <c r="B75" s="11"/>
      <c r="C75" s="11">
        <v>6623000</v>
      </c>
      <c r="D75" s="11">
        <v>6641000</v>
      </c>
      <c r="E75" s="11">
        <v>0</v>
      </c>
      <c r="F75" s="11">
        <f t="shared" ref="F75:F136" si="9">($D75-$C75)+$E75</f>
        <v>18000</v>
      </c>
      <c r="G75" s="17">
        <f t="shared" si="4"/>
        <v>40.090000000000003</v>
      </c>
      <c r="H75" s="17">
        <f t="shared" si="5"/>
        <v>17.440000000000001</v>
      </c>
      <c r="I75" s="17">
        <f t="shared" si="6"/>
        <v>0</v>
      </c>
      <c r="J75" s="18">
        <f t="shared" si="7"/>
        <v>0</v>
      </c>
      <c r="K75" s="18">
        <f t="shared" si="8"/>
        <v>0</v>
      </c>
      <c r="L75" s="18">
        <f t="shared" si="1"/>
        <v>57.53</v>
      </c>
      <c r="M75" s="18">
        <f t="shared" si="2"/>
        <v>20.908968253968254</v>
      </c>
      <c r="N75" s="18">
        <f t="shared" si="3"/>
        <v>78.438968253968255</v>
      </c>
      <c r="O75" s="8"/>
    </row>
    <row r="76" spans="1:15">
      <c r="A76" s="1" t="s">
        <v>66</v>
      </c>
      <c r="B76" s="11"/>
      <c r="C76" s="11">
        <v>9207000</v>
      </c>
      <c r="D76" s="11">
        <v>9214000</v>
      </c>
      <c r="E76" s="11">
        <v>0</v>
      </c>
      <c r="F76" s="11">
        <f t="shared" si="9"/>
        <v>7000</v>
      </c>
      <c r="G76" s="17">
        <f t="shared" si="4"/>
        <v>40.090000000000003</v>
      </c>
      <c r="H76" s="17">
        <f t="shared" si="5"/>
        <v>0</v>
      </c>
      <c r="I76" s="17">
        <f t="shared" si="6"/>
        <v>0</v>
      </c>
      <c r="J76" s="18">
        <f t="shared" si="7"/>
        <v>0</v>
      </c>
      <c r="K76" s="18">
        <f t="shared" si="8"/>
        <v>0</v>
      </c>
      <c r="L76" s="18">
        <f t="shared" ref="L76:L136" si="10">SUM(G76:K76)</f>
        <v>40.090000000000003</v>
      </c>
      <c r="M76" s="18">
        <f t="shared" ref="M76:M136" si="11">E$8/126</f>
        <v>20.908968253968254</v>
      </c>
      <c r="N76" s="18">
        <f t="shared" ref="N76:N136" si="12">SUM(L76:M76)</f>
        <v>60.998968253968258</v>
      </c>
      <c r="O76" s="8"/>
    </row>
    <row r="77" spans="1:15">
      <c r="A77" s="1" t="s">
        <v>67</v>
      </c>
      <c r="B77" s="11" t="s">
        <v>138</v>
      </c>
      <c r="C77" s="11">
        <v>0</v>
      </c>
      <c r="D77" s="11">
        <v>0</v>
      </c>
      <c r="E77" s="11">
        <v>0</v>
      </c>
      <c r="F77" s="11">
        <f t="shared" si="9"/>
        <v>0</v>
      </c>
      <c r="G77" s="17">
        <f t="shared" si="4"/>
        <v>11.79</v>
      </c>
      <c r="H77" s="17">
        <f t="shared" si="5"/>
        <v>0</v>
      </c>
      <c r="I77" s="17">
        <f t="shared" si="6"/>
        <v>0</v>
      </c>
      <c r="J77" s="18">
        <f t="shared" si="7"/>
        <v>0</v>
      </c>
      <c r="K77" s="18">
        <f t="shared" si="8"/>
        <v>0</v>
      </c>
      <c r="L77" s="18">
        <f t="shared" si="10"/>
        <v>11.79</v>
      </c>
      <c r="M77" s="18">
        <f t="shared" si="11"/>
        <v>20.908968253968254</v>
      </c>
      <c r="N77" s="18">
        <f t="shared" si="12"/>
        <v>32.698968253968253</v>
      </c>
      <c r="O77" s="8"/>
    </row>
    <row r="78" spans="1:15">
      <c r="A78" s="1" t="s">
        <v>68</v>
      </c>
      <c r="B78" s="11"/>
      <c r="C78" s="11">
        <v>3559000</v>
      </c>
      <c r="D78" s="11">
        <v>3573000</v>
      </c>
      <c r="E78" s="11">
        <v>0</v>
      </c>
      <c r="F78" s="11">
        <f t="shared" si="9"/>
        <v>14000</v>
      </c>
      <c r="G78" s="17">
        <f t="shared" si="4"/>
        <v>40.090000000000003</v>
      </c>
      <c r="H78" s="17">
        <f t="shared" si="5"/>
        <v>8.7200000000000006</v>
      </c>
      <c r="I78" s="17">
        <f t="shared" si="6"/>
        <v>0</v>
      </c>
      <c r="J78" s="18">
        <f t="shared" si="7"/>
        <v>0</v>
      </c>
      <c r="K78" s="18">
        <f t="shared" si="8"/>
        <v>0</v>
      </c>
      <c r="L78" s="18">
        <f t="shared" si="10"/>
        <v>48.81</v>
      </c>
      <c r="M78" s="18">
        <f t="shared" si="11"/>
        <v>20.908968253968254</v>
      </c>
      <c r="N78" s="18">
        <f t="shared" si="12"/>
        <v>69.718968253968256</v>
      </c>
      <c r="O78" s="8"/>
    </row>
    <row r="79" spans="1:15">
      <c r="A79" s="1" t="s">
        <v>69</v>
      </c>
      <c r="B79" s="11"/>
      <c r="C79" s="11">
        <v>2280000</v>
      </c>
      <c r="D79" s="11">
        <v>2291000</v>
      </c>
      <c r="E79" s="11">
        <v>0</v>
      </c>
      <c r="F79" s="11">
        <f t="shared" si="9"/>
        <v>11000</v>
      </c>
      <c r="G79" s="17">
        <f t="shared" si="4"/>
        <v>40.090000000000003</v>
      </c>
      <c r="H79" s="17">
        <f t="shared" si="5"/>
        <v>2.1800000000000002</v>
      </c>
      <c r="I79" s="17">
        <f t="shared" si="6"/>
        <v>0</v>
      </c>
      <c r="J79" s="18">
        <f t="shared" si="7"/>
        <v>0</v>
      </c>
      <c r="K79" s="18">
        <f t="shared" si="8"/>
        <v>0</v>
      </c>
      <c r="L79" s="18">
        <f t="shared" si="10"/>
        <v>42.27</v>
      </c>
      <c r="M79" s="18">
        <f t="shared" si="11"/>
        <v>20.908968253968254</v>
      </c>
      <c r="N79" s="18">
        <f t="shared" si="12"/>
        <v>63.178968253968257</v>
      </c>
      <c r="O79" s="8"/>
    </row>
    <row r="80" spans="1:15">
      <c r="A80" s="1" t="s">
        <v>70</v>
      </c>
      <c r="B80" s="11"/>
      <c r="C80" s="11">
        <v>1366000</v>
      </c>
      <c r="D80" s="11">
        <v>1398000</v>
      </c>
      <c r="E80" s="11">
        <v>0</v>
      </c>
      <c r="F80" s="11">
        <f t="shared" si="9"/>
        <v>32000</v>
      </c>
      <c r="G80" s="17">
        <f t="shared" si="4"/>
        <v>40.090000000000003</v>
      </c>
      <c r="H80" s="17">
        <f t="shared" si="5"/>
        <v>21.8</v>
      </c>
      <c r="I80" s="17">
        <f t="shared" si="6"/>
        <v>25.299999999999997</v>
      </c>
      <c r="J80" s="18">
        <f t="shared" si="7"/>
        <v>5.9</v>
      </c>
      <c r="K80" s="18">
        <f t="shared" si="8"/>
        <v>0</v>
      </c>
      <c r="L80" s="18">
        <f t="shared" si="10"/>
        <v>93.09</v>
      </c>
      <c r="M80" s="18">
        <f t="shared" si="11"/>
        <v>20.908968253968254</v>
      </c>
      <c r="N80" s="18">
        <f t="shared" si="12"/>
        <v>113.99896825396826</v>
      </c>
      <c r="O80" s="8"/>
    </row>
    <row r="81" spans="1:15">
      <c r="A81" s="1" t="s">
        <v>71</v>
      </c>
      <c r="B81" s="11" t="s">
        <v>138</v>
      </c>
      <c r="C81" s="11">
        <v>0</v>
      </c>
      <c r="D81" s="11">
        <v>0</v>
      </c>
      <c r="E81" s="11">
        <v>0</v>
      </c>
      <c r="F81" s="11">
        <f t="shared" si="9"/>
        <v>0</v>
      </c>
      <c r="G81" s="17">
        <f t="shared" ref="G81:G136" si="13">IF(OR($F81&gt;0,$B81=""),40.09,11.79)</f>
        <v>11.79</v>
      </c>
      <c r="H81" s="17">
        <f t="shared" ref="H81:H136" si="14">IF(AND((($F81-10000)&gt;=0),(($F81-10000)&lt;= 10000)),($F81-10000)/1000*2.18,IF(($F81-10000)&gt;=10000,2.18*10,0))</f>
        <v>0</v>
      </c>
      <c r="I81" s="17">
        <f t="shared" ref="I81:I136" si="15">IF(AND((($F81-20000)&gt;=0),(($F81-20000)&lt;=10000)),($F81-20000)/1000*2.53,IF(($F81-20000)&gt;=10000,2.53*10,0))</f>
        <v>0</v>
      </c>
      <c r="J81" s="18">
        <f t="shared" ref="J81:J136" si="16">IF(AND((($F81-30000)&gt;=0),(($F81-30000)&lt;=10000)),($F81-30000)/1000*2.95,IF(($F81-30000)&gt;=10000,2.95*10,0))</f>
        <v>0</v>
      </c>
      <c r="K81" s="18">
        <f t="shared" ref="K81:K136" si="17">IF((($F81-40000)&gt;=0),($F81-40000)/1000*3.42,0)</f>
        <v>0</v>
      </c>
      <c r="L81" s="18">
        <f t="shared" si="10"/>
        <v>11.79</v>
      </c>
      <c r="M81" s="18">
        <f t="shared" si="11"/>
        <v>20.908968253968254</v>
      </c>
      <c r="N81" s="18">
        <f t="shared" si="12"/>
        <v>32.698968253968253</v>
      </c>
      <c r="O81" s="8"/>
    </row>
    <row r="82" spans="1:15">
      <c r="A82" s="1" t="s">
        <v>72</v>
      </c>
      <c r="B82" s="11"/>
      <c r="C82" s="11">
        <v>96000</v>
      </c>
      <c r="D82" s="11">
        <v>118000</v>
      </c>
      <c r="E82" s="11">
        <v>0</v>
      </c>
      <c r="F82" s="11">
        <f t="shared" si="9"/>
        <v>22000</v>
      </c>
      <c r="G82" s="17">
        <f t="shared" si="13"/>
        <v>40.090000000000003</v>
      </c>
      <c r="H82" s="17">
        <f t="shared" si="14"/>
        <v>21.8</v>
      </c>
      <c r="I82" s="17">
        <f t="shared" si="15"/>
        <v>5.0599999999999996</v>
      </c>
      <c r="J82" s="18">
        <f t="shared" si="16"/>
        <v>0</v>
      </c>
      <c r="K82" s="18">
        <f t="shared" si="17"/>
        <v>0</v>
      </c>
      <c r="L82" s="18">
        <f t="shared" si="10"/>
        <v>66.95</v>
      </c>
      <c r="M82" s="18">
        <f t="shared" si="11"/>
        <v>20.908968253968254</v>
      </c>
      <c r="N82" s="18">
        <f t="shared" si="12"/>
        <v>87.858968253968257</v>
      </c>
      <c r="O82" s="8" t="s">
        <v>139</v>
      </c>
    </row>
    <row r="83" spans="1:15">
      <c r="A83" s="1" t="s">
        <v>73</v>
      </c>
      <c r="B83" s="11"/>
      <c r="C83" s="11">
        <v>1918000</v>
      </c>
      <c r="D83" s="11">
        <v>1924000</v>
      </c>
      <c r="E83" s="11">
        <v>0</v>
      </c>
      <c r="F83" s="11">
        <f t="shared" si="9"/>
        <v>6000</v>
      </c>
      <c r="G83" s="17">
        <f t="shared" si="13"/>
        <v>40.090000000000003</v>
      </c>
      <c r="H83" s="17">
        <f t="shared" si="14"/>
        <v>0</v>
      </c>
      <c r="I83" s="17">
        <f t="shared" si="15"/>
        <v>0</v>
      </c>
      <c r="J83" s="18">
        <f t="shared" si="16"/>
        <v>0</v>
      </c>
      <c r="K83" s="18">
        <f t="shared" si="17"/>
        <v>0</v>
      </c>
      <c r="L83" s="18">
        <f t="shared" si="10"/>
        <v>40.090000000000003</v>
      </c>
      <c r="M83" s="18">
        <f t="shared" si="11"/>
        <v>20.908968253968254</v>
      </c>
      <c r="N83" s="18">
        <f t="shared" si="12"/>
        <v>60.998968253968258</v>
      </c>
      <c r="O83" s="8"/>
    </row>
    <row r="84" spans="1:15">
      <c r="A84" s="1" t="s">
        <v>74</v>
      </c>
      <c r="B84" s="11" t="s">
        <v>138</v>
      </c>
      <c r="C84" s="11">
        <v>0</v>
      </c>
      <c r="D84" s="11">
        <v>0</v>
      </c>
      <c r="E84" s="11">
        <v>0</v>
      </c>
      <c r="F84" s="11">
        <f t="shared" si="9"/>
        <v>0</v>
      </c>
      <c r="G84" s="17">
        <f t="shared" si="13"/>
        <v>11.79</v>
      </c>
      <c r="H84" s="17">
        <f t="shared" si="14"/>
        <v>0</v>
      </c>
      <c r="I84" s="17">
        <f t="shared" si="15"/>
        <v>0</v>
      </c>
      <c r="J84" s="18">
        <f t="shared" si="16"/>
        <v>0</v>
      </c>
      <c r="K84" s="18">
        <f t="shared" si="17"/>
        <v>0</v>
      </c>
      <c r="L84" s="18">
        <f t="shared" si="10"/>
        <v>11.79</v>
      </c>
      <c r="M84" s="18">
        <f t="shared" si="11"/>
        <v>20.908968253968254</v>
      </c>
      <c r="N84" s="18">
        <f t="shared" si="12"/>
        <v>32.698968253968253</v>
      </c>
      <c r="O84" s="8"/>
    </row>
    <row r="85" spans="1:15">
      <c r="A85" s="1" t="s">
        <v>75</v>
      </c>
      <c r="B85" s="11"/>
      <c r="C85" s="11">
        <v>719000</v>
      </c>
      <c r="D85" s="11">
        <v>721000</v>
      </c>
      <c r="E85" s="11">
        <v>0</v>
      </c>
      <c r="F85" s="11">
        <f t="shared" si="9"/>
        <v>2000</v>
      </c>
      <c r="G85" s="17">
        <f t="shared" si="13"/>
        <v>40.090000000000003</v>
      </c>
      <c r="H85" s="17">
        <f t="shared" si="14"/>
        <v>0</v>
      </c>
      <c r="I85" s="17">
        <f t="shared" si="15"/>
        <v>0</v>
      </c>
      <c r="J85" s="18">
        <f t="shared" si="16"/>
        <v>0</v>
      </c>
      <c r="K85" s="18">
        <f t="shared" si="17"/>
        <v>0</v>
      </c>
      <c r="L85" s="18">
        <f t="shared" si="10"/>
        <v>40.090000000000003</v>
      </c>
      <c r="M85" s="18">
        <f t="shared" si="11"/>
        <v>20.908968253968254</v>
      </c>
      <c r="N85" s="18">
        <f t="shared" si="12"/>
        <v>60.998968253968258</v>
      </c>
      <c r="O85" s="8"/>
    </row>
    <row r="86" spans="1:15">
      <c r="A86" s="1" t="s">
        <v>76</v>
      </c>
      <c r="B86" s="11"/>
      <c r="C86" s="11">
        <v>111000</v>
      </c>
      <c r="D86" s="11">
        <v>122000</v>
      </c>
      <c r="E86" s="11">
        <v>0</v>
      </c>
      <c r="F86" s="11">
        <f t="shared" si="9"/>
        <v>11000</v>
      </c>
      <c r="G86" s="17">
        <f t="shared" si="13"/>
        <v>40.090000000000003</v>
      </c>
      <c r="H86" s="17">
        <f t="shared" si="14"/>
        <v>2.1800000000000002</v>
      </c>
      <c r="I86" s="17">
        <f t="shared" si="15"/>
        <v>0</v>
      </c>
      <c r="J86" s="18">
        <f t="shared" si="16"/>
        <v>0</v>
      </c>
      <c r="K86" s="18">
        <f t="shared" si="17"/>
        <v>0</v>
      </c>
      <c r="L86" s="18">
        <f t="shared" si="10"/>
        <v>42.27</v>
      </c>
      <c r="M86" s="18">
        <f t="shared" si="11"/>
        <v>20.908968253968254</v>
      </c>
      <c r="N86" s="18">
        <f t="shared" si="12"/>
        <v>63.178968253968257</v>
      </c>
      <c r="O86" s="8" t="s">
        <v>139</v>
      </c>
    </row>
    <row r="87" spans="1:15">
      <c r="A87" s="1" t="s">
        <v>77</v>
      </c>
      <c r="B87" s="11"/>
      <c r="C87" s="11">
        <v>86000</v>
      </c>
      <c r="D87" s="11">
        <v>93000</v>
      </c>
      <c r="E87" s="11">
        <v>0</v>
      </c>
      <c r="F87" s="11">
        <f t="shared" si="9"/>
        <v>7000</v>
      </c>
      <c r="G87" s="17">
        <f t="shared" si="13"/>
        <v>40.090000000000003</v>
      </c>
      <c r="H87" s="17">
        <f t="shared" si="14"/>
        <v>0</v>
      </c>
      <c r="I87" s="17">
        <f t="shared" si="15"/>
        <v>0</v>
      </c>
      <c r="J87" s="18">
        <f t="shared" si="16"/>
        <v>0</v>
      </c>
      <c r="K87" s="18">
        <f t="shared" si="17"/>
        <v>0</v>
      </c>
      <c r="L87" s="18">
        <f t="shared" si="10"/>
        <v>40.090000000000003</v>
      </c>
      <c r="M87" s="18">
        <f t="shared" si="11"/>
        <v>20.908968253968254</v>
      </c>
      <c r="N87" s="18">
        <f t="shared" si="12"/>
        <v>60.998968253968258</v>
      </c>
      <c r="O87" s="8"/>
    </row>
    <row r="88" spans="1:15">
      <c r="A88" s="1" t="s">
        <v>78</v>
      </c>
      <c r="B88" s="11"/>
      <c r="C88" s="11">
        <v>1225000</v>
      </c>
      <c r="D88" s="11">
        <v>1239000</v>
      </c>
      <c r="E88" s="11">
        <v>0</v>
      </c>
      <c r="F88" s="11">
        <f t="shared" si="9"/>
        <v>14000</v>
      </c>
      <c r="G88" s="17">
        <f t="shared" si="13"/>
        <v>40.090000000000003</v>
      </c>
      <c r="H88" s="17">
        <f t="shared" si="14"/>
        <v>8.7200000000000006</v>
      </c>
      <c r="I88" s="17">
        <f t="shared" si="15"/>
        <v>0</v>
      </c>
      <c r="J88" s="18">
        <f t="shared" si="16"/>
        <v>0</v>
      </c>
      <c r="K88" s="18">
        <f t="shared" si="17"/>
        <v>0</v>
      </c>
      <c r="L88" s="18">
        <f t="shared" si="10"/>
        <v>48.81</v>
      </c>
      <c r="M88" s="18">
        <f t="shared" si="11"/>
        <v>20.908968253968254</v>
      </c>
      <c r="N88" s="18">
        <f t="shared" si="12"/>
        <v>69.718968253968256</v>
      </c>
      <c r="O88" s="8"/>
    </row>
    <row r="89" spans="1:15">
      <c r="A89" s="1" t="s">
        <v>79</v>
      </c>
      <c r="B89" s="11"/>
      <c r="C89" s="11">
        <v>3422000</v>
      </c>
      <c r="D89" s="11">
        <v>3427000</v>
      </c>
      <c r="E89" s="11">
        <v>0</v>
      </c>
      <c r="F89" s="11">
        <f t="shared" si="9"/>
        <v>5000</v>
      </c>
      <c r="G89" s="17">
        <f t="shared" si="13"/>
        <v>40.090000000000003</v>
      </c>
      <c r="H89" s="17">
        <f t="shared" si="14"/>
        <v>0</v>
      </c>
      <c r="I89" s="17">
        <f t="shared" si="15"/>
        <v>0</v>
      </c>
      <c r="J89" s="18">
        <f t="shared" si="16"/>
        <v>0</v>
      </c>
      <c r="K89" s="18">
        <f t="shared" si="17"/>
        <v>0</v>
      </c>
      <c r="L89" s="18">
        <f t="shared" si="10"/>
        <v>40.090000000000003</v>
      </c>
      <c r="M89" s="18">
        <f t="shared" si="11"/>
        <v>20.908968253968254</v>
      </c>
      <c r="N89" s="18">
        <f t="shared" si="12"/>
        <v>60.998968253968258</v>
      </c>
      <c r="O89" s="8"/>
    </row>
    <row r="90" spans="1:15">
      <c r="A90" s="1" t="s">
        <v>80</v>
      </c>
      <c r="B90" s="11"/>
      <c r="C90" s="11">
        <v>3011000</v>
      </c>
      <c r="D90" s="11">
        <v>3015000</v>
      </c>
      <c r="E90" s="11">
        <v>0</v>
      </c>
      <c r="F90" s="11">
        <f t="shared" si="9"/>
        <v>4000</v>
      </c>
      <c r="G90" s="17">
        <f t="shared" si="13"/>
        <v>40.090000000000003</v>
      </c>
      <c r="H90" s="17">
        <f t="shared" si="14"/>
        <v>0</v>
      </c>
      <c r="I90" s="17">
        <f t="shared" si="15"/>
        <v>0</v>
      </c>
      <c r="J90" s="18">
        <f t="shared" si="16"/>
        <v>0</v>
      </c>
      <c r="K90" s="18">
        <f t="shared" si="17"/>
        <v>0</v>
      </c>
      <c r="L90" s="18">
        <f t="shared" si="10"/>
        <v>40.090000000000003</v>
      </c>
      <c r="M90" s="18">
        <f t="shared" si="11"/>
        <v>20.908968253968254</v>
      </c>
      <c r="N90" s="18">
        <f t="shared" si="12"/>
        <v>60.998968253968258</v>
      </c>
      <c r="O90" s="8"/>
    </row>
    <row r="91" spans="1:15">
      <c r="A91" s="1" t="s">
        <v>81</v>
      </c>
      <c r="B91" s="11" t="s">
        <v>138</v>
      </c>
      <c r="C91" s="11">
        <v>0</v>
      </c>
      <c r="D91" s="11">
        <v>0</v>
      </c>
      <c r="E91" s="11">
        <v>0</v>
      </c>
      <c r="F91" s="11">
        <f t="shared" si="9"/>
        <v>0</v>
      </c>
      <c r="G91" s="17">
        <f t="shared" si="13"/>
        <v>11.79</v>
      </c>
      <c r="H91" s="17">
        <f t="shared" si="14"/>
        <v>0</v>
      </c>
      <c r="I91" s="17">
        <f t="shared" si="15"/>
        <v>0</v>
      </c>
      <c r="J91" s="18">
        <f t="shared" si="16"/>
        <v>0</v>
      </c>
      <c r="K91" s="18">
        <f t="shared" si="17"/>
        <v>0</v>
      </c>
      <c r="L91" s="18">
        <f t="shared" si="10"/>
        <v>11.79</v>
      </c>
      <c r="M91" s="18">
        <f t="shared" si="11"/>
        <v>20.908968253968254</v>
      </c>
      <c r="N91" s="18">
        <f t="shared" si="12"/>
        <v>32.698968253968253</v>
      </c>
      <c r="O91" s="8"/>
    </row>
    <row r="92" spans="1:15">
      <c r="A92" s="1" t="s">
        <v>82</v>
      </c>
      <c r="B92" s="11"/>
      <c r="C92" s="11">
        <v>3212000</v>
      </c>
      <c r="D92" s="11">
        <v>3233000</v>
      </c>
      <c r="E92" s="11">
        <v>0</v>
      </c>
      <c r="F92" s="11">
        <f t="shared" si="9"/>
        <v>21000</v>
      </c>
      <c r="G92" s="17">
        <f t="shared" si="13"/>
        <v>40.090000000000003</v>
      </c>
      <c r="H92" s="17">
        <f t="shared" si="14"/>
        <v>21.8</v>
      </c>
      <c r="I92" s="17">
        <f t="shared" si="15"/>
        <v>2.5299999999999998</v>
      </c>
      <c r="J92" s="18">
        <f t="shared" si="16"/>
        <v>0</v>
      </c>
      <c r="K92" s="18">
        <f t="shared" si="17"/>
        <v>0</v>
      </c>
      <c r="L92" s="18">
        <f t="shared" si="10"/>
        <v>64.42</v>
      </c>
      <c r="M92" s="18">
        <f t="shared" si="11"/>
        <v>20.908968253968254</v>
      </c>
      <c r="N92" s="18">
        <f t="shared" si="12"/>
        <v>85.328968253968256</v>
      </c>
      <c r="O92" s="8"/>
    </row>
    <row r="93" spans="1:15">
      <c r="A93" s="1" t="s">
        <v>83</v>
      </c>
      <c r="B93" s="11"/>
      <c r="C93" s="11">
        <v>7540000</v>
      </c>
      <c r="D93" s="11">
        <v>7559000</v>
      </c>
      <c r="E93" s="11">
        <v>0</v>
      </c>
      <c r="F93" s="11">
        <f t="shared" si="9"/>
        <v>19000</v>
      </c>
      <c r="G93" s="17">
        <f t="shared" si="13"/>
        <v>40.090000000000003</v>
      </c>
      <c r="H93" s="17">
        <f t="shared" si="14"/>
        <v>19.62</v>
      </c>
      <c r="I93" s="17">
        <f t="shared" si="15"/>
        <v>0</v>
      </c>
      <c r="J93" s="18">
        <f t="shared" si="16"/>
        <v>0</v>
      </c>
      <c r="K93" s="18">
        <f t="shared" si="17"/>
        <v>0</v>
      </c>
      <c r="L93" s="18">
        <f t="shared" si="10"/>
        <v>59.710000000000008</v>
      </c>
      <c r="M93" s="18">
        <f t="shared" si="11"/>
        <v>20.908968253968254</v>
      </c>
      <c r="N93" s="18">
        <f t="shared" si="12"/>
        <v>80.618968253968262</v>
      </c>
      <c r="O93" s="8"/>
    </row>
    <row r="94" spans="1:15">
      <c r="A94" s="1" t="s">
        <v>84</v>
      </c>
      <c r="B94" s="11"/>
      <c r="C94" s="11">
        <v>3007000</v>
      </c>
      <c r="D94" s="11">
        <v>3012000</v>
      </c>
      <c r="E94" s="11">
        <v>0</v>
      </c>
      <c r="F94" s="11">
        <f t="shared" si="9"/>
        <v>5000</v>
      </c>
      <c r="G94" s="17">
        <f t="shared" si="13"/>
        <v>40.090000000000003</v>
      </c>
      <c r="H94" s="17">
        <f t="shared" si="14"/>
        <v>0</v>
      </c>
      <c r="I94" s="17">
        <f t="shared" si="15"/>
        <v>0</v>
      </c>
      <c r="J94" s="18">
        <f t="shared" si="16"/>
        <v>0</v>
      </c>
      <c r="K94" s="18">
        <f t="shared" si="17"/>
        <v>0</v>
      </c>
      <c r="L94" s="18">
        <f t="shared" si="10"/>
        <v>40.090000000000003</v>
      </c>
      <c r="M94" s="18">
        <f t="shared" si="11"/>
        <v>20.908968253968254</v>
      </c>
      <c r="N94" s="18">
        <f t="shared" si="12"/>
        <v>60.998968253968258</v>
      </c>
      <c r="O94" s="8"/>
    </row>
    <row r="95" spans="1:15">
      <c r="A95" s="1" t="s">
        <v>85</v>
      </c>
      <c r="B95" s="11"/>
      <c r="C95" s="11">
        <v>2005000</v>
      </c>
      <c r="D95" s="11">
        <v>2013000</v>
      </c>
      <c r="E95" s="11">
        <v>0</v>
      </c>
      <c r="F95" s="11">
        <f t="shared" si="9"/>
        <v>8000</v>
      </c>
      <c r="G95" s="17">
        <f t="shared" si="13"/>
        <v>40.090000000000003</v>
      </c>
      <c r="H95" s="17">
        <f t="shared" si="14"/>
        <v>0</v>
      </c>
      <c r="I95" s="17">
        <f t="shared" si="15"/>
        <v>0</v>
      </c>
      <c r="J95" s="18">
        <f t="shared" si="16"/>
        <v>0</v>
      </c>
      <c r="K95" s="18">
        <f t="shared" si="17"/>
        <v>0</v>
      </c>
      <c r="L95" s="18">
        <f t="shared" si="10"/>
        <v>40.090000000000003</v>
      </c>
      <c r="M95" s="18">
        <f t="shared" si="11"/>
        <v>20.908968253968254</v>
      </c>
      <c r="N95" s="18">
        <f t="shared" si="12"/>
        <v>60.998968253968258</v>
      </c>
      <c r="O95" s="8"/>
    </row>
    <row r="96" spans="1:15">
      <c r="A96" s="1" t="s">
        <v>86</v>
      </c>
      <c r="B96" s="11"/>
      <c r="C96" s="11">
        <v>1831000</v>
      </c>
      <c r="D96" s="11">
        <v>1838000</v>
      </c>
      <c r="E96" s="11">
        <v>0</v>
      </c>
      <c r="F96" s="11">
        <f t="shared" si="9"/>
        <v>7000</v>
      </c>
      <c r="G96" s="17">
        <f t="shared" si="13"/>
        <v>40.090000000000003</v>
      </c>
      <c r="H96" s="17">
        <f t="shared" si="14"/>
        <v>0</v>
      </c>
      <c r="I96" s="17">
        <f t="shared" si="15"/>
        <v>0</v>
      </c>
      <c r="J96" s="18">
        <f t="shared" si="16"/>
        <v>0</v>
      </c>
      <c r="K96" s="18">
        <f t="shared" si="17"/>
        <v>0</v>
      </c>
      <c r="L96" s="18">
        <f t="shared" si="10"/>
        <v>40.090000000000003</v>
      </c>
      <c r="M96" s="18">
        <f t="shared" si="11"/>
        <v>20.908968253968254</v>
      </c>
      <c r="N96" s="18">
        <f t="shared" si="12"/>
        <v>60.998968253968258</v>
      </c>
      <c r="O96" s="8"/>
    </row>
    <row r="97" spans="1:15">
      <c r="A97" s="1" t="s">
        <v>87</v>
      </c>
      <c r="B97" s="11" t="s">
        <v>138</v>
      </c>
      <c r="C97" s="11">
        <v>0</v>
      </c>
      <c r="D97" s="11">
        <v>0</v>
      </c>
      <c r="E97" s="11">
        <v>0</v>
      </c>
      <c r="F97" s="11">
        <f t="shared" si="9"/>
        <v>0</v>
      </c>
      <c r="G97" s="17">
        <f t="shared" si="13"/>
        <v>11.79</v>
      </c>
      <c r="H97" s="17">
        <f t="shared" si="14"/>
        <v>0</v>
      </c>
      <c r="I97" s="17">
        <f t="shared" si="15"/>
        <v>0</v>
      </c>
      <c r="J97" s="18">
        <f t="shared" si="16"/>
        <v>0</v>
      </c>
      <c r="K97" s="18">
        <f t="shared" si="17"/>
        <v>0</v>
      </c>
      <c r="L97" s="18">
        <f t="shared" si="10"/>
        <v>11.79</v>
      </c>
      <c r="M97" s="18">
        <f t="shared" si="11"/>
        <v>20.908968253968254</v>
      </c>
      <c r="N97" s="18">
        <f t="shared" si="12"/>
        <v>32.698968253968253</v>
      </c>
      <c r="O97" s="8"/>
    </row>
    <row r="98" spans="1:15">
      <c r="A98" s="1" t="s">
        <v>88</v>
      </c>
      <c r="B98" s="11"/>
      <c r="C98" s="11">
        <v>1229000</v>
      </c>
      <c r="D98" s="11">
        <v>1231000</v>
      </c>
      <c r="E98" s="11">
        <v>0</v>
      </c>
      <c r="F98" s="11">
        <f t="shared" si="9"/>
        <v>2000</v>
      </c>
      <c r="G98" s="17">
        <f t="shared" si="13"/>
        <v>40.090000000000003</v>
      </c>
      <c r="H98" s="17">
        <f t="shared" si="14"/>
        <v>0</v>
      </c>
      <c r="I98" s="17">
        <f t="shared" si="15"/>
        <v>0</v>
      </c>
      <c r="J98" s="18">
        <f t="shared" si="16"/>
        <v>0</v>
      </c>
      <c r="K98" s="18">
        <f t="shared" si="17"/>
        <v>0</v>
      </c>
      <c r="L98" s="18">
        <f t="shared" si="10"/>
        <v>40.090000000000003</v>
      </c>
      <c r="M98" s="18">
        <f t="shared" si="11"/>
        <v>20.908968253968254</v>
      </c>
      <c r="N98" s="18">
        <f t="shared" si="12"/>
        <v>60.998968253968258</v>
      </c>
      <c r="O98" s="8"/>
    </row>
    <row r="99" spans="1:15">
      <c r="A99" s="1" t="s">
        <v>89</v>
      </c>
      <c r="B99" s="11"/>
      <c r="C99" s="11">
        <v>2228000</v>
      </c>
      <c r="D99" s="11">
        <v>2252000</v>
      </c>
      <c r="E99" s="11">
        <v>0</v>
      </c>
      <c r="F99" s="11">
        <f t="shared" si="9"/>
        <v>24000</v>
      </c>
      <c r="G99" s="17">
        <f t="shared" si="13"/>
        <v>40.090000000000003</v>
      </c>
      <c r="H99" s="17">
        <f t="shared" si="14"/>
        <v>21.8</v>
      </c>
      <c r="I99" s="17">
        <f t="shared" si="15"/>
        <v>10.119999999999999</v>
      </c>
      <c r="J99" s="18">
        <f t="shared" si="16"/>
        <v>0</v>
      </c>
      <c r="K99" s="18">
        <f t="shared" si="17"/>
        <v>0</v>
      </c>
      <c r="L99" s="18">
        <f t="shared" si="10"/>
        <v>72.010000000000005</v>
      </c>
      <c r="M99" s="18">
        <f t="shared" si="11"/>
        <v>20.908968253968254</v>
      </c>
      <c r="N99" s="18">
        <f t="shared" si="12"/>
        <v>92.918968253968259</v>
      </c>
      <c r="O99" s="8"/>
    </row>
    <row r="100" spans="1:15">
      <c r="A100" s="1" t="s">
        <v>90</v>
      </c>
      <c r="B100" s="11"/>
      <c r="C100" s="11">
        <v>1226000</v>
      </c>
      <c r="D100" s="11">
        <v>1231000</v>
      </c>
      <c r="E100" s="11">
        <v>0</v>
      </c>
      <c r="F100" s="11">
        <f t="shared" si="9"/>
        <v>5000</v>
      </c>
      <c r="G100" s="17">
        <f t="shared" si="13"/>
        <v>40.090000000000003</v>
      </c>
      <c r="H100" s="17">
        <f t="shared" si="14"/>
        <v>0</v>
      </c>
      <c r="I100" s="17">
        <f t="shared" si="15"/>
        <v>0</v>
      </c>
      <c r="J100" s="18">
        <f t="shared" si="16"/>
        <v>0</v>
      </c>
      <c r="K100" s="18">
        <f t="shared" si="17"/>
        <v>0</v>
      </c>
      <c r="L100" s="18">
        <f t="shared" si="10"/>
        <v>40.090000000000003</v>
      </c>
      <c r="M100" s="18">
        <f t="shared" si="11"/>
        <v>20.908968253968254</v>
      </c>
      <c r="N100" s="18">
        <f t="shared" si="12"/>
        <v>60.998968253968258</v>
      </c>
      <c r="O100" s="8"/>
    </row>
    <row r="101" spans="1:15">
      <c r="A101" s="1" t="s">
        <v>91</v>
      </c>
      <c r="B101" s="11"/>
      <c r="C101" s="11">
        <v>238200</v>
      </c>
      <c r="D101" s="11">
        <v>242200</v>
      </c>
      <c r="E101" s="11">
        <v>0</v>
      </c>
      <c r="F101" s="11">
        <f t="shared" si="9"/>
        <v>4000</v>
      </c>
      <c r="G101" s="17">
        <f t="shared" si="13"/>
        <v>40.090000000000003</v>
      </c>
      <c r="H101" s="17">
        <f t="shared" si="14"/>
        <v>0</v>
      </c>
      <c r="I101" s="17">
        <f t="shared" si="15"/>
        <v>0</v>
      </c>
      <c r="J101" s="18">
        <f t="shared" si="16"/>
        <v>0</v>
      </c>
      <c r="K101" s="18">
        <f t="shared" si="17"/>
        <v>0</v>
      </c>
      <c r="L101" s="18">
        <f t="shared" si="10"/>
        <v>40.090000000000003</v>
      </c>
      <c r="M101" s="18">
        <f t="shared" si="11"/>
        <v>20.908968253968254</v>
      </c>
      <c r="N101" s="18">
        <f t="shared" si="12"/>
        <v>60.998968253968258</v>
      </c>
      <c r="O101" s="8"/>
    </row>
    <row r="102" spans="1:15">
      <c r="A102" s="1" t="s">
        <v>92</v>
      </c>
      <c r="B102" s="11"/>
      <c r="C102" s="11">
        <v>2507000</v>
      </c>
      <c r="D102" s="11">
        <v>2510000</v>
      </c>
      <c r="E102" s="11">
        <v>0</v>
      </c>
      <c r="F102" s="11">
        <f t="shared" si="9"/>
        <v>3000</v>
      </c>
      <c r="G102" s="17">
        <f t="shared" si="13"/>
        <v>40.090000000000003</v>
      </c>
      <c r="H102" s="17">
        <f t="shared" si="14"/>
        <v>0</v>
      </c>
      <c r="I102" s="17">
        <f t="shared" si="15"/>
        <v>0</v>
      </c>
      <c r="J102" s="18">
        <f t="shared" si="16"/>
        <v>0</v>
      </c>
      <c r="K102" s="18">
        <f t="shared" si="17"/>
        <v>0</v>
      </c>
      <c r="L102" s="18">
        <f t="shared" si="10"/>
        <v>40.090000000000003</v>
      </c>
      <c r="M102" s="18">
        <f t="shared" si="11"/>
        <v>20.908968253968254</v>
      </c>
      <c r="N102" s="18">
        <f t="shared" si="12"/>
        <v>60.998968253968258</v>
      </c>
      <c r="O102" s="8"/>
    </row>
    <row r="103" spans="1:15">
      <c r="A103" s="1" t="s">
        <v>93</v>
      </c>
      <c r="B103" s="11" t="s">
        <v>138</v>
      </c>
      <c r="C103" s="11">
        <v>0</v>
      </c>
      <c r="D103" s="11">
        <v>0</v>
      </c>
      <c r="E103" s="11">
        <v>0</v>
      </c>
      <c r="F103" s="11">
        <f t="shared" si="9"/>
        <v>0</v>
      </c>
      <c r="G103" s="17">
        <f t="shared" si="13"/>
        <v>11.79</v>
      </c>
      <c r="H103" s="17">
        <f t="shared" si="14"/>
        <v>0</v>
      </c>
      <c r="I103" s="17">
        <f t="shared" si="15"/>
        <v>0</v>
      </c>
      <c r="J103" s="18">
        <f t="shared" si="16"/>
        <v>0</v>
      </c>
      <c r="K103" s="18">
        <f t="shared" si="17"/>
        <v>0</v>
      </c>
      <c r="L103" s="18">
        <f t="shared" si="10"/>
        <v>11.79</v>
      </c>
      <c r="M103" s="18">
        <f t="shared" si="11"/>
        <v>20.908968253968254</v>
      </c>
      <c r="N103" s="18">
        <f t="shared" si="12"/>
        <v>32.698968253968253</v>
      </c>
      <c r="O103" s="8"/>
    </row>
    <row r="104" spans="1:15">
      <c r="A104" s="1" t="s">
        <v>94</v>
      </c>
      <c r="B104" s="11" t="s">
        <v>138</v>
      </c>
      <c r="C104" s="11">
        <v>0</v>
      </c>
      <c r="D104" s="11">
        <v>0</v>
      </c>
      <c r="E104" s="11">
        <v>0</v>
      </c>
      <c r="F104" s="11">
        <f t="shared" si="9"/>
        <v>0</v>
      </c>
      <c r="G104" s="17">
        <f t="shared" si="13"/>
        <v>11.79</v>
      </c>
      <c r="H104" s="17">
        <f t="shared" si="14"/>
        <v>0</v>
      </c>
      <c r="I104" s="17">
        <f t="shared" si="15"/>
        <v>0</v>
      </c>
      <c r="J104" s="18">
        <f t="shared" si="16"/>
        <v>0</v>
      </c>
      <c r="K104" s="18">
        <f t="shared" si="17"/>
        <v>0</v>
      </c>
      <c r="L104" s="18">
        <f t="shared" si="10"/>
        <v>11.79</v>
      </c>
      <c r="M104" s="18">
        <f t="shared" si="11"/>
        <v>20.908968253968254</v>
      </c>
      <c r="N104" s="18">
        <f t="shared" si="12"/>
        <v>32.698968253968253</v>
      </c>
      <c r="O104" s="8"/>
    </row>
    <row r="105" spans="1:15">
      <c r="A105" s="1" t="s">
        <v>95</v>
      </c>
      <c r="B105" s="11" t="s">
        <v>138</v>
      </c>
      <c r="C105" s="11">
        <v>0</v>
      </c>
      <c r="D105" s="11">
        <v>0</v>
      </c>
      <c r="E105" s="11">
        <v>0</v>
      </c>
      <c r="F105" s="11">
        <f t="shared" si="9"/>
        <v>0</v>
      </c>
      <c r="G105" s="17">
        <f t="shared" si="13"/>
        <v>11.79</v>
      </c>
      <c r="H105" s="17">
        <f t="shared" si="14"/>
        <v>0</v>
      </c>
      <c r="I105" s="17">
        <f t="shared" si="15"/>
        <v>0</v>
      </c>
      <c r="J105" s="18">
        <f t="shared" si="16"/>
        <v>0</v>
      </c>
      <c r="K105" s="18">
        <f t="shared" si="17"/>
        <v>0</v>
      </c>
      <c r="L105" s="18">
        <f t="shared" si="10"/>
        <v>11.79</v>
      </c>
      <c r="M105" s="18">
        <f t="shared" si="11"/>
        <v>20.908968253968254</v>
      </c>
      <c r="N105" s="18">
        <f t="shared" si="12"/>
        <v>32.698968253968253</v>
      </c>
      <c r="O105" s="8"/>
    </row>
    <row r="106" spans="1:15">
      <c r="A106" s="1" t="s">
        <v>96</v>
      </c>
      <c r="B106" s="11"/>
      <c r="C106" s="11">
        <v>1824000</v>
      </c>
      <c r="D106" s="11">
        <v>1831000</v>
      </c>
      <c r="E106" s="11">
        <v>0</v>
      </c>
      <c r="F106" s="11">
        <f t="shared" si="9"/>
        <v>7000</v>
      </c>
      <c r="G106" s="17">
        <f t="shared" si="13"/>
        <v>40.090000000000003</v>
      </c>
      <c r="H106" s="17">
        <f t="shared" si="14"/>
        <v>0</v>
      </c>
      <c r="I106" s="17">
        <f t="shared" si="15"/>
        <v>0</v>
      </c>
      <c r="J106" s="18">
        <f t="shared" si="16"/>
        <v>0</v>
      </c>
      <c r="K106" s="18">
        <f t="shared" si="17"/>
        <v>0</v>
      </c>
      <c r="L106" s="18">
        <f t="shared" si="10"/>
        <v>40.090000000000003</v>
      </c>
      <c r="M106" s="18">
        <f t="shared" si="11"/>
        <v>20.908968253968254</v>
      </c>
      <c r="N106" s="18">
        <f t="shared" si="12"/>
        <v>60.998968253968258</v>
      </c>
      <c r="O106" s="8"/>
    </row>
    <row r="107" spans="1:15">
      <c r="A107" s="1" t="s">
        <v>97</v>
      </c>
      <c r="B107" s="11" t="s">
        <v>138</v>
      </c>
      <c r="C107" s="11">
        <v>0</v>
      </c>
      <c r="D107" s="11">
        <v>0</v>
      </c>
      <c r="E107" s="11">
        <v>0</v>
      </c>
      <c r="F107" s="11">
        <f t="shared" si="9"/>
        <v>0</v>
      </c>
      <c r="G107" s="17">
        <f t="shared" si="13"/>
        <v>11.79</v>
      </c>
      <c r="H107" s="17">
        <f t="shared" si="14"/>
        <v>0</v>
      </c>
      <c r="I107" s="17">
        <f t="shared" si="15"/>
        <v>0</v>
      </c>
      <c r="J107" s="18">
        <f t="shared" si="16"/>
        <v>0</v>
      </c>
      <c r="K107" s="18">
        <f t="shared" si="17"/>
        <v>0</v>
      </c>
      <c r="L107" s="18">
        <f t="shared" si="10"/>
        <v>11.79</v>
      </c>
      <c r="M107" s="18">
        <f t="shared" si="11"/>
        <v>20.908968253968254</v>
      </c>
      <c r="N107" s="18">
        <f t="shared" si="12"/>
        <v>32.698968253968253</v>
      </c>
      <c r="O107" s="8"/>
    </row>
    <row r="108" spans="1:15">
      <c r="A108" s="1" t="s">
        <v>98</v>
      </c>
      <c r="B108" s="11" t="s">
        <v>138</v>
      </c>
      <c r="C108" s="11">
        <v>0</v>
      </c>
      <c r="D108" s="11">
        <v>0</v>
      </c>
      <c r="E108" s="11">
        <v>0</v>
      </c>
      <c r="F108" s="11">
        <f t="shared" si="9"/>
        <v>0</v>
      </c>
      <c r="G108" s="17">
        <f t="shared" si="13"/>
        <v>11.79</v>
      </c>
      <c r="H108" s="17">
        <f t="shared" si="14"/>
        <v>0</v>
      </c>
      <c r="I108" s="17">
        <f t="shared" si="15"/>
        <v>0</v>
      </c>
      <c r="J108" s="18">
        <f t="shared" si="16"/>
        <v>0</v>
      </c>
      <c r="K108" s="18">
        <f t="shared" si="17"/>
        <v>0</v>
      </c>
      <c r="L108" s="18">
        <f t="shared" si="10"/>
        <v>11.79</v>
      </c>
      <c r="M108" s="18">
        <f t="shared" si="11"/>
        <v>20.908968253968254</v>
      </c>
      <c r="N108" s="18">
        <f t="shared" si="12"/>
        <v>32.698968253968253</v>
      </c>
      <c r="O108" s="8"/>
    </row>
    <row r="109" spans="1:15">
      <c r="A109" s="1" t="s">
        <v>99</v>
      </c>
      <c r="B109" s="11"/>
      <c r="C109" s="11">
        <v>1655000</v>
      </c>
      <c r="D109" s="11">
        <v>1655000</v>
      </c>
      <c r="E109" s="11">
        <v>0</v>
      </c>
      <c r="F109" s="11">
        <f t="shared" si="9"/>
        <v>0</v>
      </c>
      <c r="G109" s="17">
        <f t="shared" si="13"/>
        <v>40.090000000000003</v>
      </c>
      <c r="H109" s="17">
        <f t="shared" si="14"/>
        <v>0</v>
      </c>
      <c r="I109" s="17">
        <f t="shared" si="15"/>
        <v>0</v>
      </c>
      <c r="J109" s="18">
        <f t="shared" si="16"/>
        <v>0</v>
      </c>
      <c r="K109" s="18">
        <f t="shared" si="17"/>
        <v>0</v>
      </c>
      <c r="L109" s="18">
        <f t="shared" si="10"/>
        <v>40.090000000000003</v>
      </c>
      <c r="M109" s="18">
        <f t="shared" si="11"/>
        <v>20.908968253968254</v>
      </c>
      <c r="N109" s="18">
        <f t="shared" si="12"/>
        <v>60.998968253968258</v>
      </c>
      <c r="O109" s="8"/>
    </row>
    <row r="110" spans="1:15">
      <c r="A110" s="1" t="s">
        <v>100</v>
      </c>
      <c r="B110" s="11"/>
      <c r="C110" s="11">
        <v>502000</v>
      </c>
      <c r="D110" s="11">
        <v>507000</v>
      </c>
      <c r="E110" s="11">
        <v>0</v>
      </c>
      <c r="F110" s="11">
        <f t="shared" si="9"/>
        <v>5000</v>
      </c>
      <c r="G110" s="17">
        <f t="shared" si="13"/>
        <v>40.090000000000003</v>
      </c>
      <c r="H110" s="17">
        <f t="shared" si="14"/>
        <v>0</v>
      </c>
      <c r="I110" s="17">
        <f t="shared" si="15"/>
        <v>0</v>
      </c>
      <c r="J110" s="18">
        <f t="shared" si="16"/>
        <v>0</v>
      </c>
      <c r="K110" s="18">
        <f t="shared" si="17"/>
        <v>0</v>
      </c>
      <c r="L110" s="18">
        <f t="shared" si="10"/>
        <v>40.090000000000003</v>
      </c>
      <c r="M110" s="18">
        <f t="shared" si="11"/>
        <v>20.908968253968254</v>
      </c>
      <c r="N110" s="18">
        <f t="shared" si="12"/>
        <v>60.998968253968258</v>
      </c>
      <c r="O110" s="8"/>
    </row>
    <row r="111" spans="1:15">
      <c r="A111" s="1" t="s">
        <v>101</v>
      </c>
      <c r="B111" s="11"/>
      <c r="C111" s="11">
        <v>4532000</v>
      </c>
      <c r="D111" s="11">
        <v>4542000</v>
      </c>
      <c r="E111" s="11">
        <v>0</v>
      </c>
      <c r="F111" s="11">
        <f t="shared" si="9"/>
        <v>10000</v>
      </c>
      <c r="G111" s="17">
        <f t="shared" si="13"/>
        <v>40.090000000000003</v>
      </c>
      <c r="H111" s="17">
        <f t="shared" si="14"/>
        <v>0</v>
      </c>
      <c r="I111" s="17">
        <f t="shared" si="15"/>
        <v>0</v>
      </c>
      <c r="J111" s="18">
        <f t="shared" si="16"/>
        <v>0</v>
      </c>
      <c r="K111" s="18">
        <f t="shared" si="17"/>
        <v>0</v>
      </c>
      <c r="L111" s="18">
        <f t="shared" si="10"/>
        <v>40.090000000000003</v>
      </c>
      <c r="M111" s="18">
        <f t="shared" si="11"/>
        <v>20.908968253968254</v>
      </c>
      <c r="N111" s="18">
        <f t="shared" si="12"/>
        <v>60.998968253968258</v>
      </c>
      <c r="O111" s="8"/>
    </row>
    <row r="112" spans="1:15">
      <c r="A112" s="1" t="s">
        <v>102</v>
      </c>
      <c r="B112" s="11" t="s">
        <v>138</v>
      </c>
      <c r="C112" s="11">
        <v>0</v>
      </c>
      <c r="D112" s="11">
        <v>0</v>
      </c>
      <c r="E112" s="11">
        <v>0</v>
      </c>
      <c r="F112" s="11">
        <f t="shared" si="9"/>
        <v>0</v>
      </c>
      <c r="G112" s="17">
        <f t="shared" si="13"/>
        <v>11.79</v>
      </c>
      <c r="H112" s="17">
        <f t="shared" si="14"/>
        <v>0</v>
      </c>
      <c r="I112" s="17">
        <f t="shared" si="15"/>
        <v>0</v>
      </c>
      <c r="J112" s="18">
        <f t="shared" si="16"/>
        <v>0</v>
      </c>
      <c r="K112" s="18">
        <f t="shared" si="17"/>
        <v>0</v>
      </c>
      <c r="L112" s="18">
        <f t="shared" si="10"/>
        <v>11.79</v>
      </c>
      <c r="M112" s="18">
        <f t="shared" si="11"/>
        <v>20.908968253968254</v>
      </c>
      <c r="N112" s="18">
        <f t="shared" si="12"/>
        <v>32.698968253968253</v>
      </c>
      <c r="O112" s="8"/>
    </row>
    <row r="113" spans="1:15">
      <c r="A113" s="1" t="s">
        <v>103</v>
      </c>
      <c r="B113" s="11"/>
      <c r="C113" s="11">
        <v>1176000</v>
      </c>
      <c r="D113" s="11">
        <v>1182000</v>
      </c>
      <c r="E113" s="11">
        <v>0</v>
      </c>
      <c r="F113" s="11">
        <f t="shared" si="9"/>
        <v>6000</v>
      </c>
      <c r="G113" s="17">
        <f t="shared" si="13"/>
        <v>40.090000000000003</v>
      </c>
      <c r="H113" s="17">
        <f t="shared" si="14"/>
        <v>0</v>
      </c>
      <c r="I113" s="17">
        <f t="shared" si="15"/>
        <v>0</v>
      </c>
      <c r="J113" s="18">
        <f t="shared" si="16"/>
        <v>0</v>
      </c>
      <c r="K113" s="18">
        <f t="shared" si="17"/>
        <v>0</v>
      </c>
      <c r="L113" s="18">
        <f t="shared" si="10"/>
        <v>40.090000000000003</v>
      </c>
      <c r="M113" s="18">
        <f t="shared" si="11"/>
        <v>20.908968253968254</v>
      </c>
      <c r="N113" s="18">
        <f t="shared" si="12"/>
        <v>60.998968253968258</v>
      </c>
      <c r="O113" s="8"/>
    </row>
    <row r="114" spans="1:15">
      <c r="A114" s="1" t="s">
        <v>104</v>
      </c>
      <c r="B114" s="11" t="s">
        <v>138</v>
      </c>
      <c r="C114" s="11">
        <v>0</v>
      </c>
      <c r="D114" s="11">
        <v>0</v>
      </c>
      <c r="E114" s="11">
        <v>0</v>
      </c>
      <c r="F114" s="11">
        <f t="shared" si="9"/>
        <v>0</v>
      </c>
      <c r="G114" s="17">
        <f t="shared" si="13"/>
        <v>11.79</v>
      </c>
      <c r="H114" s="17">
        <f t="shared" si="14"/>
        <v>0</v>
      </c>
      <c r="I114" s="17">
        <f t="shared" si="15"/>
        <v>0</v>
      </c>
      <c r="J114" s="18">
        <f t="shared" si="16"/>
        <v>0</v>
      </c>
      <c r="K114" s="18">
        <f t="shared" si="17"/>
        <v>0</v>
      </c>
      <c r="L114" s="18">
        <f t="shared" si="10"/>
        <v>11.79</v>
      </c>
      <c r="M114" s="18">
        <f t="shared" si="11"/>
        <v>20.908968253968254</v>
      </c>
      <c r="N114" s="18">
        <f t="shared" si="12"/>
        <v>32.698968253968253</v>
      </c>
      <c r="O114" s="8"/>
    </row>
    <row r="115" spans="1:15">
      <c r="A115" s="1" t="s">
        <v>105</v>
      </c>
      <c r="B115" s="11"/>
      <c r="C115" s="11">
        <v>1437000</v>
      </c>
      <c r="D115" s="11">
        <v>1461000</v>
      </c>
      <c r="E115" s="11">
        <v>0</v>
      </c>
      <c r="F115" s="11">
        <f t="shared" si="9"/>
        <v>24000</v>
      </c>
      <c r="G115" s="17">
        <f t="shared" si="13"/>
        <v>40.090000000000003</v>
      </c>
      <c r="H115" s="17">
        <f t="shared" si="14"/>
        <v>21.8</v>
      </c>
      <c r="I115" s="17">
        <f t="shared" si="15"/>
        <v>10.119999999999999</v>
      </c>
      <c r="J115" s="18">
        <f t="shared" si="16"/>
        <v>0</v>
      </c>
      <c r="K115" s="18">
        <f t="shared" si="17"/>
        <v>0</v>
      </c>
      <c r="L115" s="18">
        <f t="shared" si="10"/>
        <v>72.010000000000005</v>
      </c>
      <c r="M115" s="18">
        <f t="shared" si="11"/>
        <v>20.908968253968254</v>
      </c>
      <c r="N115" s="18">
        <f t="shared" si="12"/>
        <v>92.918968253968259</v>
      </c>
      <c r="O115" s="8"/>
    </row>
    <row r="116" spans="1:15">
      <c r="A116" s="1" t="s">
        <v>106</v>
      </c>
      <c r="B116" s="11"/>
      <c r="C116" s="11">
        <v>1787000</v>
      </c>
      <c r="D116" s="11">
        <v>1788000</v>
      </c>
      <c r="E116" s="11">
        <v>0</v>
      </c>
      <c r="F116" s="11">
        <f t="shared" si="9"/>
        <v>1000</v>
      </c>
      <c r="G116" s="17">
        <f t="shared" si="13"/>
        <v>40.090000000000003</v>
      </c>
      <c r="H116" s="17">
        <f t="shared" si="14"/>
        <v>0</v>
      </c>
      <c r="I116" s="17">
        <f t="shared" si="15"/>
        <v>0</v>
      </c>
      <c r="J116" s="18">
        <f t="shared" si="16"/>
        <v>0</v>
      </c>
      <c r="K116" s="18">
        <f t="shared" si="17"/>
        <v>0</v>
      </c>
      <c r="L116" s="18">
        <f t="shared" si="10"/>
        <v>40.090000000000003</v>
      </c>
      <c r="M116" s="18">
        <f t="shared" si="11"/>
        <v>20.908968253968254</v>
      </c>
      <c r="N116" s="18">
        <f t="shared" si="12"/>
        <v>60.998968253968258</v>
      </c>
      <c r="O116" s="8"/>
    </row>
    <row r="117" spans="1:15">
      <c r="A117" s="1" t="s">
        <v>107</v>
      </c>
      <c r="B117" s="11"/>
      <c r="C117" s="11">
        <v>316000</v>
      </c>
      <c r="D117" s="11">
        <v>318000</v>
      </c>
      <c r="E117" s="11">
        <v>0</v>
      </c>
      <c r="F117" s="11">
        <f t="shared" si="9"/>
        <v>2000</v>
      </c>
      <c r="G117" s="17">
        <f t="shared" si="13"/>
        <v>40.090000000000003</v>
      </c>
      <c r="H117" s="17">
        <f t="shared" si="14"/>
        <v>0</v>
      </c>
      <c r="I117" s="17">
        <f t="shared" si="15"/>
        <v>0</v>
      </c>
      <c r="J117" s="18">
        <f t="shared" si="16"/>
        <v>0</v>
      </c>
      <c r="K117" s="18">
        <f t="shared" si="17"/>
        <v>0</v>
      </c>
      <c r="L117" s="18">
        <f t="shared" si="10"/>
        <v>40.090000000000003</v>
      </c>
      <c r="M117" s="18">
        <f t="shared" si="11"/>
        <v>20.908968253968254</v>
      </c>
      <c r="N117" s="18">
        <f t="shared" si="12"/>
        <v>60.998968253968258</v>
      </c>
      <c r="O117" s="8"/>
    </row>
    <row r="118" spans="1:15">
      <c r="A118" s="1" t="s">
        <v>108</v>
      </c>
      <c r="B118" s="11"/>
      <c r="C118" s="11">
        <v>2563000</v>
      </c>
      <c r="D118" s="11">
        <v>2568000</v>
      </c>
      <c r="E118" s="11">
        <v>0</v>
      </c>
      <c r="F118" s="11">
        <f t="shared" si="9"/>
        <v>5000</v>
      </c>
      <c r="G118" s="17">
        <f t="shared" si="13"/>
        <v>40.090000000000003</v>
      </c>
      <c r="H118" s="17">
        <f t="shared" si="14"/>
        <v>0</v>
      </c>
      <c r="I118" s="17">
        <f t="shared" si="15"/>
        <v>0</v>
      </c>
      <c r="J118" s="18">
        <f t="shared" si="16"/>
        <v>0</v>
      </c>
      <c r="K118" s="18">
        <f t="shared" si="17"/>
        <v>0</v>
      </c>
      <c r="L118" s="18">
        <f t="shared" si="10"/>
        <v>40.090000000000003</v>
      </c>
      <c r="M118" s="18">
        <f t="shared" si="11"/>
        <v>20.908968253968254</v>
      </c>
      <c r="N118" s="18">
        <f t="shared" si="12"/>
        <v>60.998968253968258</v>
      </c>
      <c r="O118" s="8"/>
    </row>
    <row r="119" spans="1:15">
      <c r="A119" s="1" t="s">
        <v>109</v>
      </c>
      <c r="B119" s="11" t="s">
        <v>138</v>
      </c>
      <c r="C119" s="11">
        <v>0</v>
      </c>
      <c r="D119" s="11">
        <v>0</v>
      </c>
      <c r="E119" s="11">
        <v>0</v>
      </c>
      <c r="F119" s="11">
        <f t="shared" si="9"/>
        <v>0</v>
      </c>
      <c r="G119" s="17">
        <f t="shared" si="13"/>
        <v>11.79</v>
      </c>
      <c r="H119" s="17">
        <f t="shared" si="14"/>
        <v>0</v>
      </c>
      <c r="I119" s="17">
        <f t="shared" si="15"/>
        <v>0</v>
      </c>
      <c r="J119" s="18">
        <f t="shared" si="16"/>
        <v>0</v>
      </c>
      <c r="K119" s="18">
        <f t="shared" si="17"/>
        <v>0</v>
      </c>
      <c r="L119" s="18">
        <f t="shared" si="10"/>
        <v>11.79</v>
      </c>
      <c r="M119" s="18">
        <f t="shared" si="11"/>
        <v>20.908968253968254</v>
      </c>
      <c r="N119" s="18">
        <f t="shared" si="12"/>
        <v>32.698968253968253</v>
      </c>
      <c r="O119" s="8"/>
    </row>
    <row r="120" spans="1:15">
      <c r="A120" s="1" t="s">
        <v>110</v>
      </c>
      <c r="B120" s="11"/>
      <c r="C120" s="11">
        <v>3772000</v>
      </c>
      <c r="D120" s="11">
        <v>3779000</v>
      </c>
      <c r="E120" s="11">
        <v>0</v>
      </c>
      <c r="F120" s="11">
        <f t="shared" si="9"/>
        <v>7000</v>
      </c>
      <c r="G120" s="17">
        <f t="shared" si="13"/>
        <v>40.090000000000003</v>
      </c>
      <c r="H120" s="17">
        <f t="shared" si="14"/>
        <v>0</v>
      </c>
      <c r="I120" s="17">
        <f t="shared" si="15"/>
        <v>0</v>
      </c>
      <c r="J120" s="18">
        <f t="shared" si="16"/>
        <v>0</v>
      </c>
      <c r="K120" s="18">
        <f t="shared" si="17"/>
        <v>0</v>
      </c>
      <c r="L120" s="18">
        <f t="shared" si="10"/>
        <v>40.090000000000003</v>
      </c>
      <c r="M120" s="18">
        <f t="shared" si="11"/>
        <v>20.908968253968254</v>
      </c>
      <c r="N120" s="18">
        <f t="shared" si="12"/>
        <v>60.998968253968258</v>
      </c>
      <c r="O120" s="8"/>
    </row>
    <row r="121" spans="1:15">
      <c r="A121" s="1" t="s">
        <v>111</v>
      </c>
      <c r="B121" s="11"/>
      <c r="C121" s="11">
        <v>3488000</v>
      </c>
      <c r="D121" s="11">
        <v>3500000</v>
      </c>
      <c r="E121" s="11">
        <v>0</v>
      </c>
      <c r="F121" s="11">
        <f t="shared" si="9"/>
        <v>12000</v>
      </c>
      <c r="G121" s="17">
        <f t="shared" si="13"/>
        <v>40.090000000000003</v>
      </c>
      <c r="H121" s="17">
        <f t="shared" si="14"/>
        <v>4.3600000000000003</v>
      </c>
      <c r="I121" s="17">
        <f t="shared" si="15"/>
        <v>0</v>
      </c>
      <c r="J121" s="18">
        <f t="shared" si="16"/>
        <v>0</v>
      </c>
      <c r="K121" s="18">
        <f t="shared" si="17"/>
        <v>0</v>
      </c>
      <c r="L121" s="18">
        <f t="shared" si="10"/>
        <v>44.45</v>
      </c>
      <c r="M121" s="18">
        <f t="shared" si="11"/>
        <v>20.908968253968254</v>
      </c>
      <c r="N121" s="18">
        <f t="shared" si="12"/>
        <v>65.358968253968257</v>
      </c>
      <c r="O121" s="8"/>
    </row>
    <row r="122" spans="1:15">
      <c r="A122" s="1" t="s">
        <v>112</v>
      </c>
      <c r="B122" s="11"/>
      <c r="C122" s="11">
        <v>336000</v>
      </c>
      <c r="D122" s="11">
        <v>337000</v>
      </c>
      <c r="E122" s="11">
        <v>0</v>
      </c>
      <c r="F122" s="11">
        <f t="shared" si="9"/>
        <v>1000</v>
      </c>
      <c r="G122" s="17">
        <f t="shared" si="13"/>
        <v>40.090000000000003</v>
      </c>
      <c r="H122" s="17">
        <f t="shared" si="14"/>
        <v>0</v>
      </c>
      <c r="I122" s="17">
        <f t="shared" si="15"/>
        <v>0</v>
      </c>
      <c r="J122" s="18">
        <f t="shared" si="16"/>
        <v>0</v>
      </c>
      <c r="K122" s="18">
        <f t="shared" si="17"/>
        <v>0</v>
      </c>
      <c r="L122" s="18">
        <f t="shared" si="10"/>
        <v>40.090000000000003</v>
      </c>
      <c r="M122" s="18">
        <f t="shared" si="11"/>
        <v>20.908968253968254</v>
      </c>
      <c r="N122" s="18">
        <f t="shared" si="12"/>
        <v>60.998968253968258</v>
      </c>
      <c r="O122" s="8"/>
    </row>
    <row r="123" spans="1:15">
      <c r="A123" s="1" t="s">
        <v>113</v>
      </c>
      <c r="B123" s="11"/>
      <c r="C123" s="11">
        <v>1419000</v>
      </c>
      <c r="D123" s="11">
        <v>1430000</v>
      </c>
      <c r="E123" s="11">
        <v>0</v>
      </c>
      <c r="F123" s="11">
        <f t="shared" si="9"/>
        <v>11000</v>
      </c>
      <c r="G123" s="17">
        <f t="shared" si="13"/>
        <v>40.090000000000003</v>
      </c>
      <c r="H123" s="17">
        <f t="shared" si="14"/>
        <v>2.1800000000000002</v>
      </c>
      <c r="I123" s="17">
        <f t="shared" si="15"/>
        <v>0</v>
      </c>
      <c r="J123" s="18">
        <f t="shared" si="16"/>
        <v>0</v>
      </c>
      <c r="K123" s="18">
        <f t="shared" si="17"/>
        <v>0</v>
      </c>
      <c r="L123" s="18">
        <f t="shared" si="10"/>
        <v>42.27</v>
      </c>
      <c r="M123" s="18">
        <f t="shared" si="11"/>
        <v>20.908968253968254</v>
      </c>
      <c r="N123" s="18">
        <f t="shared" si="12"/>
        <v>63.178968253968257</v>
      </c>
      <c r="O123" s="8"/>
    </row>
    <row r="124" spans="1:15">
      <c r="A124" s="1" t="s">
        <v>114</v>
      </c>
      <c r="B124" s="11"/>
      <c r="C124" s="11">
        <v>2570000</v>
      </c>
      <c r="D124" s="11">
        <v>2573000</v>
      </c>
      <c r="E124" s="11">
        <v>0</v>
      </c>
      <c r="F124" s="11">
        <f t="shared" si="9"/>
        <v>3000</v>
      </c>
      <c r="G124" s="17">
        <f t="shared" si="13"/>
        <v>40.090000000000003</v>
      </c>
      <c r="H124" s="17">
        <f t="shared" si="14"/>
        <v>0</v>
      </c>
      <c r="I124" s="17">
        <f t="shared" si="15"/>
        <v>0</v>
      </c>
      <c r="J124" s="18">
        <f t="shared" si="16"/>
        <v>0</v>
      </c>
      <c r="K124" s="18">
        <f t="shared" si="17"/>
        <v>0</v>
      </c>
      <c r="L124" s="18">
        <f t="shared" si="10"/>
        <v>40.090000000000003</v>
      </c>
      <c r="M124" s="18">
        <f t="shared" si="11"/>
        <v>20.908968253968254</v>
      </c>
      <c r="N124" s="18">
        <f t="shared" si="12"/>
        <v>60.998968253968258</v>
      </c>
      <c r="O124" s="8"/>
    </row>
    <row r="125" spans="1:15">
      <c r="A125" s="1" t="s">
        <v>115</v>
      </c>
      <c r="B125" s="11"/>
      <c r="C125" s="11">
        <v>2432000</v>
      </c>
      <c r="D125" s="11">
        <v>2442000</v>
      </c>
      <c r="E125" s="11">
        <v>0</v>
      </c>
      <c r="F125" s="11">
        <f t="shared" si="9"/>
        <v>10000</v>
      </c>
      <c r="G125" s="17">
        <f t="shared" si="13"/>
        <v>40.090000000000003</v>
      </c>
      <c r="H125" s="17">
        <f t="shared" si="14"/>
        <v>0</v>
      </c>
      <c r="I125" s="17">
        <f t="shared" si="15"/>
        <v>0</v>
      </c>
      <c r="J125" s="18">
        <f t="shared" si="16"/>
        <v>0</v>
      </c>
      <c r="K125" s="18">
        <f t="shared" si="17"/>
        <v>0</v>
      </c>
      <c r="L125" s="18">
        <f t="shared" si="10"/>
        <v>40.090000000000003</v>
      </c>
      <c r="M125" s="18">
        <f t="shared" si="11"/>
        <v>20.908968253968254</v>
      </c>
      <c r="N125" s="18">
        <f t="shared" si="12"/>
        <v>60.998968253968258</v>
      </c>
      <c r="O125" s="8"/>
    </row>
    <row r="126" spans="1:15">
      <c r="A126" s="1" t="s">
        <v>116</v>
      </c>
      <c r="B126" s="11"/>
      <c r="C126" s="11">
        <v>4246000</v>
      </c>
      <c r="D126" s="11">
        <v>4249000</v>
      </c>
      <c r="E126" s="11">
        <v>0</v>
      </c>
      <c r="F126" s="11">
        <f t="shared" si="9"/>
        <v>3000</v>
      </c>
      <c r="G126" s="17">
        <f t="shared" si="13"/>
        <v>40.090000000000003</v>
      </c>
      <c r="H126" s="17">
        <f t="shared" si="14"/>
        <v>0</v>
      </c>
      <c r="I126" s="17">
        <f t="shared" si="15"/>
        <v>0</v>
      </c>
      <c r="J126" s="18">
        <f t="shared" si="16"/>
        <v>0</v>
      </c>
      <c r="K126" s="18">
        <f t="shared" si="17"/>
        <v>0</v>
      </c>
      <c r="L126" s="18">
        <f t="shared" si="10"/>
        <v>40.090000000000003</v>
      </c>
      <c r="M126" s="18">
        <f t="shared" si="11"/>
        <v>20.908968253968254</v>
      </c>
      <c r="N126" s="18">
        <f t="shared" si="12"/>
        <v>60.998968253968258</v>
      </c>
      <c r="O126" s="8"/>
    </row>
    <row r="127" spans="1:15">
      <c r="A127" s="1" t="s">
        <v>117</v>
      </c>
      <c r="B127" s="11"/>
      <c r="C127" s="11">
        <v>1879000</v>
      </c>
      <c r="D127" s="11">
        <v>1882000</v>
      </c>
      <c r="E127" s="11">
        <v>0</v>
      </c>
      <c r="F127" s="11">
        <f t="shared" si="9"/>
        <v>3000</v>
      </c>
      <c r="G127" s="17">
        <f t="shared" si="13"/>
        <v>40.090000000000003</v>
      </c>
      <c r="H127" s="17">
        <f t="shared" si="14"/>
        <v>0</v>
      </c>
      <c r="I127" s="17">
        <f t="shared" si="15"/>
        <v>0</v>
      </c>
      <c r="J127" s="18">
        <f t="shared" si="16"/>
        <v>0</v>
      </c>
      <c r="K127" s="18">
        <f t="shared" si="17"/>
        <v>0</v>
      </c>
      <c r="L127" s="18">
        <f t="shared" si="10"/>
        <v>40.090000000000003</v>
      </c>
      <c r="M127" s="18">
        <f t="shared" si="11"/>
        <v>20.908968253968254</v>
      </c>
      <c r="N127" s="18">
        <f t="shared" si="12"/>
        <v>60.998968253968258</v>
      </c>
      <c r="O127" s="8"/>
    </row>
    <row r="128" spans="1:15">
      <c r="A128" s="14" t="s">
        <v>118</v>
      </c>
      <c r="B128" s="15"/>
      <c r="C128" s="15">
        <v>1164000</v>
      </c>
      <c r="D128" s="15">
        <v>1172000</v>
      </c>
      <c r="E128" s="15">
        <v>0</v>
      </c>
      <c r="F128" s="15">
        <f t="shared" si="9"/>
        <v>8000</v>
      </c>
      <c r="G128" s="19">
        <f t="shared" si="13"/>
        <v>40.090000000000003</v>
      </c>
      <c r="H128" s="19">
        <f t="shared" si="14"/>
        <v>0</v>
      </c>
      <c r="I128" s="19">
        <f t="shared" si="15"/>
        <v>0</v>
      </c>
      <c r="J128" s="20">
        <f t="shared" si="16"/>
        <v>0</v>
      </c>
      <c r="K128" s="20">
        <f t="shared" si="17"/>
        <v>0</v>
      </c>
      <c r="L128" s="18">
        <f t="shared" si="10"/>
        <v>40.090000000000003</v>
      </c>
      <c r="M128" s="18">
        <f t="shared" si="11"/>
        <v>20.908968253968254</v>
      </c>
      <c r="N128" s="18">
        <f t="shared" si="12"/>
        <v>60.998968253968258</v>
      </c>
      <c r="O128" s="16" t="s">
        <v>153</v>
      </c>
    </row>
    <row r="129" spans="1:15">
      <c r="A129" s="1" t="s">
        <v>119</v>
      </c>
      <c r="B129" s="11"/>
      <c r="C129" s="11">
        <v>6817000</v>
      </c>
      <c r="D129" s="11">
        <v>6833000</v>
      </c>
      <c r="E129" s="11">
        <v>0</v>
      </c>
      <c r="F129" s="11">
        <f t="shared" si="9"/>
        <v>16000</v>
      </c>
      <c r="G129" s="17">
        <f t="shared" si="13"/>
        <v>40.090000000000003</v>
      </c>
      <c r="H129" s="17">
        <f t="shared" si="14"/>
        <v>13.080000000000002</v>
      </c>
      <c r="I129" s="17">
        <f t="shared" si="15"/>
        <v>0</v>
      </c>
      <c r="J129" s="18">
        <f t="shared" si="16"/>
        <v>0</v>
      </c>
      <c r="K129" s="18">
        <f t="shared" si="17"/>
        <v>0</v>
      </c>
      <c r="L129" s="18">
        <f t="shared" si="10"/>
        <v>53.17</v>
      </c>
      <c r="M129" s="18">
        <f t="shared" si="11"/>
        <v>20.908968253968254</v>
      </c>
      <c r="N129" s="18">
        <f t="shared" si="12"/>
        <v>74.078968253968256</v>
      </c>
      <c r="O129" s="8"/>
    </row>
    <row r="130" spans="1:15">
      <c r="A130" s="1" t="s">
        <v>120</v>
      </c>
      <c r="B130" s="11"/>
      <c r="C130" s="11">
        <v>3674000</v>
      </c>
      <c r="D130" s="11">
        <v>3687000</v>
      </c>
      <c r="E130" s="11">
        <v>0</v>
      </c>
      <c r="F130" s="11">
        <f t="shared" si="9"/>
        <v>13000</v>
      </c>
      <c r="G130" s="17">
        <f t="shared" si="13"/>
        <v>40.090000000000003</v>
      </c>
      <c r="H130" s="17">
        <f t="shared" si="14"/>
        <v>6.5400000000000009</v>
      </c>
      <c r="I130" s="17">
        <f t="shared" si="15"/>
        <v>0</v>
      </c>
      <c r="J130" s="18">
        <f t="shared" si="16"/>
        <v>0</v>
      </c>
      <c r="K130" s="18">
        <f t="shared" si="17"/>
        <v>0</v>
      </c>
      <c r="L130" s="18">
        <f t="shared" si="10"/>
        <v>46.63</v>
      </c>
      <c r="M130" s="18">
        <f t="shared" si="11"/>
        <v>20.908968253968254</v>
      </c>
      <c r="N130" s="18">
        <f t="shared" si="12"/>
        <v>67.53896825396825</v>
      </c>
      <c r="O130" s="8"/>
    </row>
    <row r="131" spans="1:15">
      <c r="A131" s="1" t="s">
        <v>121</v>
      </c>
      <c r="B131" s="11" t="s">
        <v>138</v>
      </c>
      <c r="C131" s="11">
        <v>0</v>
      </c>
      <c r="D131" s="11">
        <v>0</v>
      </c>
      <c r="E131" s="11">
        <v>0</v>
      </c>
      <c r="F131" s="11">
        <f t="shared" si="9"/>
        <v>0</v>
      </c>
      <c r="G131" s="17">
        <f t="shared" si="13"/>
        <v>11.79</v>
      </c>
      <c r="H131" s="17">
        <f t="shared" si="14"/>
        <v>0</v>
      </c>
      <c r="I131" s="17">
        <f t="shared" si="15"/>
        <v>0</v>
      </c>
      <c r="J131" s="18">
        <f t="shared" si="16"/>
        <v>0</v>
      </c>
      <c r="K131" s="18">
        <f t="shared" si="17"/>
        <v>0</v>
      </c>
      <c r="L131" s="18">
        <f t="shared" si="10"/>
        <v>11.79</v>
      </c>
      <c r="M131" s="18">
        <f t="shared" si="11"/>
        <v>20.908968253968254</v>
      </c>
      <c r="N131" s="18">
        <f t="shared" si="12"/>
        <v>32.698968253968253</v>
      </c>
      <c r="O131" s="8"/>
    </row>
    <row r="132" spans="1:15">
      <c r="A132" s="1" t="s">
        <v>122</v>
      </c>
      <c r="B132" s="11"/>
      <c r="C132" s="11">
        <v>1264000</v>
      </c>
      <c r="D132" s="11">
        <v>1276000</v>
      </c>
      <c r="E132" s="11">
        <v>0</v>
      </c>
      <c r="F132" s="11">
        <f t="shared" si="9"/>
        <v>12000</v>
      </c>
      <c r="G132" s="17">
        <f t="shared" si="13"/>
        <v>40.090000000000003</v>
      </c>
      <c r="H132" s="17">
        <f t="shared" si="14"/>
        <v>4.3600000000000003</v>
      </c>
      <c r="I132" s="17">
        <f t="shared" si="15"/>
        <v>0</v>
      </c>
      <c r="J132" s="18">
        <f t="shared" si="16"/>
        <v>0</v>
      </c>
      <c r="K132" s="18">
        <f t="shared" si="17"/>
        <v>0</v>
      </c>
      <c r="L132" s="18">
        <f t="shared" si="10"/>
        <v>44.45</v>
      </c>
      <c r="M132" s="18">
        <f t="shared" si="11"/>
        <v>20.908968253968254</v>
      </c>
      <c r="N132" s="18">
        <f t="shared" si="12"/>
        <v>65.358968253968257</v>
      </c>
      <c r="O132" s="8"/>
    </row>
    <row r="133" spans="1:15">
      <c r="A133" s="1" t="s">
        <v>123</v>
      </c>
      <c r="B133" s="11" t="s">
        <v>138</v>
      </c>
      <c r="C133" s="11">
        <v>0</v>
      </c>
      <c r="D133" s="11">
        <v>0</v>
      </c>
      <c r="E133" s="11">
        <v>0</v>
      </c>
      <c r="F133" s="11">
        <f t="shared" si="9"/>
        <v>0</v>
      </c>
      <c r="G133" s="17">
        <f t="shared" si="13"/>
        <v>11.79</v>
      </c>
      <c r="H133" s="17">
        <f t="shared" si="14"/>
        <v>0</v>
      </c>
      <c r="I133" s="17">
        <f t="shared" si="15"/>
        <v>0</v>
      </c>
      <c r="J133" s="18">
        <f t="shared" si="16"/>
        <v>0</v>
      </c>
      <c r="K133" s="18">
        <f t="shared" si="17"/>
        <v>0</v>
      </c>
      <c r="L133" s="18">
        <f t="shared" si="10"/>
        <v>11.79</v>
      </c>
      <c r="M133" s="18">
        <f t="shared" si="11"/>
        <v>20.908968253968254</v>
      </c>
      <c r="N133" s="18">
        <f t="shared" si="12"/>
        <v>32.698968253968253</v>
      </c>
      <c r="O133" s="8"/>
    </row>
    <row r="134" spans="1:15">
      <c r="A134" s="1" t="s">
        <v>124</v>
      </c>
      <c r="B134" s="11" t="s">
        <v>138</v>
      </c>
      <c r="C134" s="11">
        <v>0</v>
      </c>
      <c r="D134" s="11">
        <v>0</v>
      </c>
      <c r="E134" s="11">
        <v>0</v>
      </c>
      <c r="F134" s="11">
        <f t="shared" si="9"/>
        <v>0</v>
      </c>
      <c r="G134" s="17">
        <f t="shared" si="13"/>
        <v>11.79</v>
      </c>
      <c r="H134" s="17">
        <f t="shared" si="14"/>
        <v>0</v>
      </c>
      <c r="I134" s="17">
        <f t="shared" si="15"/>
        <v>0</v>
      </c>
      <c r="J134" s="18">
        <f t="shared" si="16"/>
        <v>0</v>
      </c>
      <c r="K134" s="18">
        <f t="shared" si="17"/>
        <v>0</v>
      </c>
      <c r="L134" s="18">
        <f t="shared" si="10"/>
        <v>11.79</v>
      </c>
      <c r="M134" s="18">
        <f t="shared" si="11"/>
        <v>20.908968253968254</v>
      </c>
      <c r="N134" s="18">
        <f t="shared" si="12"/>
        <v>32.698968253968253</v>
      </c>
      <c r="O134" s="8"/>
    </row>
    <row r="135" spans="1:15">
      <c r="A135" s="1" t="s">
        <v>125</v>
      </c>
      <c r="B135" s="11" t="s">
        <v>138</v>
      </c>
      <c r="C135" s="11">
        <v>0</v>
      </c>
      <c r="D135" s="11">
        <v>0</v>
      </c>
      <c r="E135" s="11">
        <v>0</v>
      </c>
      <c r="F135" s="11">
        <f t="shared" si="9"/>
        <v>0</v>
      </c>
      <c r="G135" s="17">
        <f t="shared" si="13"/>
        <v>11.79</v>
      </c>
      <c r="H135" s="17">
        <f t="shared" si="14"/>
        <v>0</v>
      </c>
      <c r="I135" s="17">
        <f t="shared" si="15"/>
        <v>0</v>
      </c>
      <c r="J135" s="18">
        <f t="shared" si="16"/>
        <v>0</v>
      </c>
      <c r="K135" s="18">
        <f t="shared" si="17"/>
        <v>0</v>
      </c>
      <c r="L135" s="18">
        <f t="shared" si="10"/>
        <v>11.79</v>
      </c>
      <c r="M135" s="18">
        <f t="shared" si="11"/>
        <v>20.908968253968254</v>
      </c>
      <c r="N135" s="18">
        <f t="shared" si="12"/>
        <v>32.698968253968253</v>
      </c>
      <c r="O135" s="8"/>
    </row>
    <row r="136" spans="1:15">
      <c r="A136" s="1" t="s">
        <v>126</v>
      </c>
      <c r="B136" s="11"/>
      <c r="C136" s="11">
        <v>970000</v>
      </c>
      <c r="D136" s="11">
        <v>981000</v>
      </c>
      <c r="E136" s="11">
        <v>0</v>
      </c>
      <c r="F136" s="11">
        <f t="shared" si="9"/>
        <v>11000</v>
      </c>
      <c r="G136" s="17">
        <f t="shared" si="13"/>
        <v>40.090000000000003</v>
      </c>
      <c r="H136" s="17">
        <f t="shared" si="14"/>
        <v>2.1800000000000002</v>
      </c>
      <c r="I136" s="17">
        <f t="shared" si="15"/>
        <v>0</v>
      </c>
      <c r="J136" s="18">
        <f t="shared" si="16"/>
        <v>0</v>
      </c>
      <c r="K136" s="18">
        <f t="shared" si="17"/>
        <v>0</v>
      </c>
      <c r="L136" s="18">
        <f t="shared" si="10"/>
        <v>42.27</v>
      </c>
      <c r="M136" s="18">
        <f t="shared" si="11"/>
        <v>20.908968253968254</v>
      </c>
      <c r="N136" s="18">
        <f t="shared" si="12"/>
        <v>63.178968253968257</v>
      </c>
      <c r="O136" s="8"/>
    </row>
    <row r="137" spans="1:15">
      <c r="B137" s="11"/>
      <c r="C137" s="11"/>
      <c r="D137" s="11"/>
      <c r="E137" s="11"/>
      <c r="F137" s="11"/>
      <c r="G137" s="17"/>
      <c r="H137" s="17"/>
      <c r="I137" s="17"/>
      <c r="J137" s="18"/>
      <c r="K137" s="18"/>
      <c r="L137" s="18"/>
      <c r="M137" s="18"/>
      <c r="N137" s="18"/>
      <c r="O137" s="8"/>
    </row>
    <row r="138" spans="1:15">
      <c r="J138" s="1" t="s">
        <v>136</v>
      </c>
      <c r="M138" s="27">
        <f>SUM(M11:M136)</f>
        <v>2634.5300000000011</v>
      </c>
      <c r="N138" s="5">
        <f>SUM(N11:N136)</f>
        <v>9324.4699999999921</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18">SUM(F11:F136)</f>
        <v>1580000</v>
      </c>
      <c r="G140" s="75">
        <f t="shared" si="18"/>
        <v>4196.7500000000045</v>
      </c>
      <c r="H140" s="75">
        <f t="shared" si="18"/>
        <v>630.02</v>
      </c>
      <c r="I140" s="75">
        <f t="shared" si="18"/>
        <v>328.90000000000003</v>
      </c>
      <c r="J140" s="75">
        <f t="shared" si="18"/>
        <v>179.95000000000002</v>
      </c>
      <c r="K140" s="75">
        <f t="shared" si="18"/>
        <v>1354.32</v>
      </c>
      <c r="L140" s="75">
        <f t="shared" si="18"/>
        <v>6689.9400000000078</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2362.713412698412</v>
      </c>
      <c r="G143" s="25">
        <f>SUM(G18:G130)-G145</f>
        <v>3287.3800000000028</v>
      </c>
      <c r="H143" s="80">
        <f>SUM(H18:H130)-H145</f>
        <v>529.74000000000024</v>
      </c>
      <c r="I143" s="25">
        <f>SUM(I18:I130)-I145</f>
        <v>227.70000000000002</v>
      </c>
      <c r="J143" s="25">
        <f>SUM(J18:J130)-J145</f>
        <v>61.949999999999996</v>
      </c>
      <c r="K143" s="25">
        <f>SUM(K18:K130)-K145</f>
        <v>690.84</v>
      </c>
      <c r="L143" s="25">
        <f>SUM(F143:K143)</f>
        <v>4797.6100000000033</v>
      </c>
      <c r="M143" s="1"/>
    </row>
    <row r="144" spans="1:15" customFormat="1">
      <c r="A144" t="s">
        <v>255</v>
      </c>
      <c r="D144">
        <v>8</v>
      </c>
      <c r="E144" s="25">
        <f>SUM(M11:M15)+M17+SUM(M131:M136)</f>
        <v>250.90761904761905</v>
      </c>
      <c r="G144" s="34">
        <f>SUM(G11:G15)+G17+G132+G136</f>
        <v>320.72000000000003</v>
      </c>
      <c r="H144" s="34">
        <f>SUM(H11:H15)+H17+H132+H136</f>
        <v>100.28000000000002</v>
      </c>
      <c r="I144" s="34">
        <f>SUM(I11:I15)+I17+I132+I136</f>
        <v>101.19999999999999</v>
      </c>
      <c r="J144" s="34">
        <f>SUM(J11:J15)+J17+J132+J136</f>
        <v>118</v>
      </c>
      <c r="K144" s="34">
        <f>SUM(K11:K15)+K17+K132+K136</f>
        <v>663.4799999999999</v>
      </c>
      <c r="L144" s="25">
        <f t="shared" ref="L144:L147" si="19">SUM(F144:K144)</f>
        <v>1303.6799999999998</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19"/>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19"/>
        <v>47.16</v>
      </c>
      <c r="M146" s="1"/>
    </row>
    <row r="147" spans="1:13" customFormat="1">
      <c r="A147" t="s">
        <v>253</v>
      </c>
      <c r="D147">
        <v>1</v>
      </c>
      <c r="E147" s="25">
        <f>M16</f>
        <v>20.908968253968254</v>
      </c>
      <c r="G147" s="25">
        <f>G16</f>
        <v>176</v>
      </c>
      <c r="H147" s="25">
        <f>H16</f>
        <v>0</v>
      </c>
      <c r="I147" s="25">
        <f>I16</f>
        <v>0</v>
      </c>
      <c r="J147" s="25">
        <f>J16</f>
        <v>0</v>
      </c>
      <c r="K147" s="25">
        <f>K16</f>
        <v>0</v>
      </c>
      <c r="L147" s="25">
        <f t="shared" si="19"/>
        <v>176</v>
      </c>
      <c r="M147" s="1"/>
    </row>
    <row r="148" spans="1:13" customFormat="1" ht="15.75" thickBot="1">
      <c r="B148" t="s">
        <v>257</v>
      </c>
      <c r="D148" s="73">
        <f>SUM(D143:D147)</f>
        <v>126</v>
      </c>
      <c r="E148" s="74">
        <f>SUM(E143:E147)</f>
        <v>2634.5299999999993</v>
      </c>
      <c r="F148" s="73"/>
      <c r="G148" s="74">
        <f t="shared" ref="G148:L148" si="20">SUM(G143:G147)</f>
        <v>4196.7500000000036</v>
      </c>
      <c r="H148" s="74">
        <f t="shared" si="20"/>
        <v>630.02000000000021</v>
      </c>
      <c r="I148" s="74">
        <f t="shared" si="20"/>
        <v>328.9</v>
      </c>
      <c r="J148" s="74">
        <f t="shared" si="20"/>
        <v>179.95</v>
      </c>
      <c r="K148" s="74">
        <f t="shared" si="20"/>
        <v>1354.32</v>
      </c>
      <c r="L148" s="74">
        <f t="shared" si="20"/>
        <v>6689.9400000000023</v>
      </c>
      <c r="M148" s="1"/>
    </row>
    <row r="149" spans="1:13" customFormat="1" ht="16.5" thickTop="1" thickBot="1">
      <c r="D149" s="78"/>
      <c r="E149" s="78"/>
      <c r="F149" s="78"/>
      <c r="G149" s="79"/>
      <c r="H149" s="79"/>
      <c r="I149" s="79"/>
      <c r="J149" s="79"/>
      <c r="K149" s="79"/>
      <c r="L149" s="79"/>
      <c r="M149" s="1"/>
    </row>
    <row r="150" spans="1:13" customFormat="1">
      <c r="D150" s="188" t="s">
        <v>376</v>
      </c>
      <c r="E150" s="78"/>
      <c r="F150" s="78"/>
      <c r="G150" s="79"/>
      <c r="H150" s="79"/>
      <c r="I150" s="79"/>
      <c r="J150" s="79"/>
      <c r="K150" s="79"/>
      <c r="L150" s="79"/>
      <c r="M150" s="1"/>
    </row>
    <row r="151" spans="1:13" customFormat="1" ht="15.75" thickBot="1">
      <c r="D151" s="189" t="s">
        <v>375</v>
      </c>
      <c r="E151" s="78"/>
      <c r="F151" s="78"/>
      <c r="G151" s="79"/>
      <c r="H151" s="79"/>
      <c r="I151" s="79"/>
      <c r="J151" s="79"/>
      <c r="K151" s="79"/>
      <c r="L151" s="79"/>
      <c r="M151" s="1"/>
    </row>
    <row r="152" spans="1:13" customFormat="1">
      <c r="A152" t="s">
        <v>262</v>
      </c>
      <c r="D152" s="81">
        <v>113</v>
      </c>
      <c r="E152" s="81">
        <f>E143/E148*N7</f>
        <v>808039.68253968249</v>
      </c>
      <c r="F152" s="75"/>
      <c r="G152" s="81">
        <f>F140-G153-G154-(SUM(H155:K155))</f>
        <v>598999.99999999988</v>
      </c>
      <c r="H152" s="81">
        <f>H143/2.18*1000</f>
        <v>243000.00000000009</v>
      </c>
      <c r="I152" s="81">
        <f>I143/2.53*1000</f>
        <v>90000.000000000015</v>
      </c>
      <c r="J152" s="81">
        <f>J143/2.95*1000</f>
        <v>20999.999999999996</v>
      </c>
      <c r="K152" s="81">
        <f>K143/3.42*1000</f>
        <v>202000</v>
      </c>
      <c r="L152" s="81">
        <f>SUM(G152:K152)</f>
        <v>1155000</v>
      </c>
      <c r="M152" s="1"/>
    </row>
    <row r="153" spans="1:13" customFormat="1">
      <c r="A153" t="s">
        <v>263</v>
      </c>
      <c r="D153" s="81">
        <v>12</v>
      </c>
      <c r="E153" s="81">
        <f>E144/E148*N7</f>
        <v>85809.523809523831</v>
      </c>
      <c r="F153" s="75"/>
      <c r="G153" s="81">
        <f>(SUM(F11:F15)+F17+SUM(F131:F136)-H153-I153-J153-K153)</f>
        <v>70000.000000000029</v>
      </c>
      <c r="H153" s="81">
        <f>H144/2.18*1000</f>
        <v>46000.000000000007</v>
      </c>
      <c r="I153" s="81">
        <f>I144/2.53*1000</f>
        <v>40000</v>
      </c>
      <c r="J153" s="81">
        <f>J144/2.95*1000</f>
        <v>40000</v>
      </c>
      <c r="K153" s="81">
        <f>K144/3.42*1000</f>
        <v>193999.99999999997</v>
      </c>
      <c r="L153" s="81">
        <f>SUM(G153:K153)</f>
        <v>390000</v>
      </c>
      <c r="M153" s="1"/>
    </row>
    <row r="154" spans="1:13" customFormat="1">
      <c r="A154" t="s">
        <v>264</v>
      </c>
      <c r="D154" s="81">
        <v>1</v>
      </c>
      <c r="E154" s="81">
        <f>E147/E148*N7</f>
        <v>7150.7936507936538</v>
      </c>
      <c r="F154" s="75"/>
      <c r="G154" s="81">
        <f>IF(F16&gt;100000,100000,F16)</f>
        <v>35000</v>
      </c>
      <c r="H154" s="81">
        <f>H147/1.89*1000</f>
        <v>0</v>
      </c>
      <c r="I154" s="81" t="s">
        <v>259</v>
      </c>
      <c r="J154" s="81" t="s">
        <v>259</v>
      </c>
      <c r="K154" s="81" t="s">
        <v>259</v>
      </c>
      <c r="L154" s="81">
        <f>SUM(G154:K154)</f>
        <v>35000</v>
      </c>
      <c r="M154" s="1"/>
    </row>
    <row r="155" spans="1:13" customFormat="1" ht="15.75" thickBot="1">
      <c r="B155" t="s">
        <v>265</v>
      </c>
      <c r="D155" s="82">
        <f>SUM(D152:D154)</f>
        <v>126</v>
      </c>
      <c r="E155" s="82">
        <f>SUM(E152:E154)</f>
        <v>900999.99999999988</v>
      </c>
      <c r="F155" s="77"/>
      <c r="G155" s="82">
        <f>G152+G153+G154</f>
        <v>703999.99999999988</v>
      </c>
      <c r="H155" s="82">
        <f>SUM(H152:H154)</f>
        <v>289000.00000000012</v>
      </c>
      <c r="I155" s="82">
        <f>SUM(I152:I154)</f>
        <v>130000.00000000001</v>
      </c>
      <c r="J155" s="82">
        <f>SUM(J152:J154)</f>
        <v>61000</v>
      </c>
      <c r="K155" s="82">
        <f>SUM(K152:K154)</f>
        <v>396000</v>
      </c>
      <c r="L155" s="82">
        <f>SUM(L152:L154)</f>
        <v>1580000</v>
      </c>
      <c r="M155" s="1"/>
    </row>
    <row r="156" spans="1:13" ht="15.75" thickTop="1">
      <c r="E156" s="1" t="s">
        <v>274</v>
      </c>
    </row>
    <row r="157" spans="1:13">
      <c r="E157" s="75" t="s">
        <v>275</v>
      </c>
    </row>
    <row r="158" spans="1:13">
      <c r="E158" s="75" t="s">
        <v>273</v>
      </c>
    </row>
    <row r="159" spans="1:13">
      <c r="E159"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3.xml><?xml version="1.0" encoding="utf-8"?>
<worksheet xmlns="http://schemas.openxmlformats.org/spreadsheetml/2006/main" xmlns:r="http://schemas.openxmlformats.org/officeDocument/2006/relationships">
  <sheetPr>
    <tabColor rgb="FFFF0000"/>
    <pageSetUpPr fitToPage="1"/>
  </sheetPr>
  <dimension ref="A1:O159"/>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4">
        <v>40817</v>
      </c>
      <c r="D4" s="1" t="s">
        <v>146</v>
      </c>
      <c r="G4" s="1" t="s">
        <v>156</v>
      </c>
      <c r="K4" s="1" t="s">
        <v>149</v>
      </c>
      <c r="N4" s="1">
        <f>SUM(F11:F136)</f>
        <v>1668000</v>
      </c>
    </row>
    <row r="5" spans="1:15">
      <c r="B5" s="4"/>
      <c r="D5" s="1" t="s">
        <v>144</v>
      </c>
      <c r="E5" s="1">
        <v>4773900</v>
      </c>
      <c r="G5" s="1" t="s">
        <v>155</v>
      </c>
      <c r="H5" s="1">
        <v>2</v>
      </c>
      <c r="K5" s="1" t="s">
        <v>154</v>
      </c>
      <c r="N5" s="1">
        <f>N4-F16</f>
        <v>1545000</v>
      </c>
    </row>
    <row r="6" spans="1:15">
      <c r="B6" s="4"/>
      <c r="D6" s="1" t="s">
        <v>145</v>
      </c>
      <c r="E6" s="1">
        <v>6031500</v>
      </c>
      <c r="G6" s="1" t="s">
        <v>158</v>
      </c>
      <c r="H6" s="1">
        <v>35000</v>
      </c>
      <c r="K6" s="1" t="s">
        <v>160</v>
      </c>
      <c r="N6" s="1">
        <f>SUMIF(F11:F15,"&gt;" &amp; $H$6)+SUMIF(F17:F136,"&gt;" &amp; $H$6)+SUMIF(F16,"&gt;" &amp; $H$7)</f>
        <v>719000</v>
      </c>
    </row>
    <row r="7" spans="1:15">
      <c r="B7" s="4"/>
      <c r="D7" s="1" t="s">
        <v>150</v>
      </c>
      <c r="E7" s="12">
        <f>E6-E5</f>
        <v>1257600</v>
      </c>
      <c r="G7" s="1" t="s">
        <v>159</v>
      </c>
      <c r="H7" s="12">
        <v>100000</v>
      </c>
      <c r="K7" s="1" t="s">
        <v>161</v>
      </c>
      <c r="N7" s="1">
        <f>(SUMIF(F11:F15,"&gt;" &amp; $H$6)-(COUNTIF(F11:F15,"&gt;" &amp; $H$6)*$H$6))+(SUMIF(F17:F136,"&gt;" &amp; $H$6)-(COUNTIF(F17:F136,"&gt;" &amp; $H$6)*$H$6))+(SUMIF(F16,"&gt;" &amp; $H$7)-(COUNTIF(F16,"&gt;" &amp; $H$7)*$H$7))</f>
        <v>444000</v>
      </c>
    </row>
    <row r="8" spans="1:15">
      <c r="D8" s="1" t="s">
        <v>147</v>
      </c>
      <c r="E8" s="25">
        <v>2634.53</v>
      </c>
      <c r="H8" s="6"/>
    </row>
    <row r="10" spans="1:15">
      <c r="A10" s="7" t="s">
        <v>0</v>
      </c>
      <c r="B10" s="10" t="s">
        <v>137</v>
      </c>
      <c r="C10" s="35" t="s">
        <v>203</v>
      </c>
      <c r="D10" s="13" t="s">
        <v>190</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7445000</v>
      </c>
      <c r="D11" s="11">
        <v>7587000</v>
      </c>
      <c r="E11" s="11">
        <v>0</v>
      </c>
      <c r="F11" s="11">
        <f t="shared" ref="F11:F74" si="0">($D11-$C11)+$E11</f>
        <v>142000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348.84</v>
      </c>
      <c r="L11" s="18">
        <f>SUM(G11:K11)</f>
        <v>465.53</v>
      </c>
      <c r="M11" s="18">
        <f>IF(   $H$5=1,    IF((F11-$H$6)&gt;0,((F11-$H$6)/$N$7)*$E$8,0),   IF(F11&gt;0,(F11/$N$4)*$E$8,0)    )</f>
        <v>224.28252997601919</v>
      </c>
      <c r="N11" s="18">
        <f>SUM(L11:M11)</f>
        <v>689.81252997601916</v>
      </c>
      <c r="O11" s="8"/>
    </row>
    <row r="12" spans="1:15">
      <c r="A12" s="1" t="s">
        <v>2</v>
      </c>
      <c r="B12" s="11"/>
      <c r="C12" s="11">
        <v>6491000</v>
      </c>
      <c r="D12" s="11">
        <v>6572000</v>
      </c>
      <c r="E12" s="11">
        <v>0</v>
      </c>
      <c r="F12" s="11">
        <f t="shared" si="0"/>
        <v>81000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140.22</v>
      </c>
      <c r="L12" s="18">
        <f t="shared" ref="L12:L75" si="1">SUM(G12:K12)</f>
        <v>256.90999999999997</v>
      </c>
      <c r="M12" s="18">
        <f>IF(   $H$5=1,    IF((F12-$H$6)&gt;0,((F12-$H$6)/$N$7)*$E$8,0),   IF(F12&gt;0,(F12/$N$4)*$E$8,0)    )</f>
        <v>127.93580935251801</v>
      </c>
      <c r="N12" s="18">
        <f t="shared" ref="N12:N75" si="2">SUM(L12:M12)</f>
        <v>384.84580935251796</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3206000</v>
      </c>
      <c r="D14" s="11">
        <v>3275000</v>
      </c>
      <c r="E14" s="11">
        <v>0</v>
      </c>
      <c r="F14" s="11">
        <f t="shared" si="0"/>
        <v>69000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99.179999999999993</v>
      </c>
      <c r="L14" s="18">
        <f t="shared" si="1"/>
        <v>215.87</v>
      </c>
      <c r="M14" s="18">
        <f>IF(   $H$5=1,    IF((F14-$H$6)&gt;0,((F14-$H$6)/$N$7)*$E$8,0),   IF(F14&gt;0,(F14/$N$4)*$E$8,0)    )</f>
        <v>108.98235611510792</v>
      </c>
      <c r="N14" s="18">
        <f t="shared" si="2"/>
        <v>324.85235611510791</v>
      </c>
      <c r="O14" s="8"/>
    </row>
    <row r="15" spans="1:15">
      <c r="A15" s="1" t="s">
        <v>5</v>
      </c>
      <c r="B15" s="11"/>
      <c r="C15" s="11">
        <v>2132000</v>
      </c>
      <c r="D15" s="11">
        <v>2194000</v>
      </c>
      <c r="E15" s="11">
        <v>0</v>
      </c>
      <c r="F15" s="11">
        <f t="shared" si="0"/>
        <v>62000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75.239999999999995</v>
      </c>
      <c r="L15" s="18">
        <f t="shared" si="1"/>
        <v>191.93</v>
      </c>
      <c r="M15" s="18">
        <f>IF(   $H$5=1,    IF((F15-$H$6)&gt;0,((F15-$H$6)/$N$7)*$E$8,0),   IF(F15&gt;0,(F15/$N$4)*$E$8,0)    )</f>
        <v>97.926175059952044</v>
      </c>
      <c r="N15" s="18">
        <f t="shared" si="2"/>
        <v>289.85617505995208</v>
      </c>
      <c r="O15" s="8"/>
    </row>
    <row r="16" spans="1:15">
      <c r="A16" s="1" t="s">
        <v>6</v>
      </c>
      <c r="B16" s="11"/>
      <c r="C16" s="11">
        <v>24728000</v>
      </c>
      <c r="D16" s="11">
        <v>24851000</v>
      </c>
      <c r="E16" s="11">
        <v>0</v>
      </c>
      <c r="F16" s="11">
        <f t="shared" si="0"/>
        <v>123000</v>
      </c>
      <c r="G16" s="17">
        <v>176</v>
      </c>
      <c r="H16" s="17">
        <f>IF(($F16-100000)&gt;=0,($F16-100000)/1000*1.89,0)</f>
        <v>43.47</v>
      </c>
      <c r="I16" s="17"/>
      <c r="J16" s="18"/>
      <c r="K16" s="18"/>
      <c r="L16" s="18">
        <f t="shared" si="1"/>
        <v>219.47</v>
      </c>
      <c r="M16" s="18">
        <f>IF(   $H$5=1,     IF((F16-$H$7)&gt;0,((F16-$H$7)/$N$7)*$E$8,0),   IF(F16&gt;0,(F16/$N$4)*$E$8,0)    )</f>
        <v>194.27289568345324</v>
      </c>
      <c r="N16" s="18">
        <f t="shared" si="2"/>
        <v>413.74289568345324</v>
      </c>
      <c r="O16" s="8" t="s">
        <v>133</v>
      </c>
    </row>
    <row r="17" spans="1:15">
      <c r="A17" s="1" t="s">
        <v>7</v>
      </c>
      <c r="B17" s="11"/>
      <c r="C17" s="11">
        <v>509000</v>
      </c>
      <c r="D17" s="11">
        <v>522000</v>
      </c>
      <c r="E17" s="11">
        <v>0</v>
      </c>
      <c r="F17" s="11">
        <f t="shared" si="0"/>
        <v>13000</v>
      </c>
      <c r="G17" s="17">
        <f t="shared" ref="G17:G80" si="3">IF(OR($F17&gt;0,$B17=""),40.09,11.79)</f>
        <v>40.090000000000003</v>
      </c>
      <c r="H17" s="17">
        <f t="shared" ref="H17:H80" si="4">IF(AND((($F17-10000)&gt;=0),(($F17-10000)&lt;= 10000)),($F17-10000)/1000*2.18,IF(($F17-10000)&gt;=10000,2.18*10,0))</f>
        <v>6.5400000000000009</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46.63</v>
      </c>
      <c r="M17" s="18">
        <f t="shared" ref="M17:M48" si="8">IF(   $H$5=1,    IF((F17-$H$6)&gt;0,((F17-$H$6)/$N$7)*$E$8,0),   IF(F17&gt;0,(F17/$N$4)*$E$8,0)    )</f>
        <v>20.532907673860912</v>
      </c>
      <c r="N17" s="18">
        <f t="shared" si="2"/>
        <v>67.162907673860914</v>
      </c>
      <c r="O17" s="8"/>
    </row>
    <row r="18" spans="1:15">
      <c r="A18" s="1" t="s">
        <v>8</v>
      </c>
      <c r="B18" s="11"/>
      <c r="C18" s="11">
        <v>2199000</v>
      </c>
      <c r="D18" s="11">
        <v>2211000</v>
      </c>
      <c r="E18" s="11">
        <v>0</v>
      </c>
      <c r="F18" s="11">
        <f t="shared" si="0"/>
        <v>12000</v>
      </c>
      <c r="G18" s="17">
        <f t="shared" si="3"/>
        <v>40.090000000000003</v>
      </c>
      <c r="H18" s="17">
        <f t="shared" si="4"/>
        <v>4.3600000000000003</v>
      </c>
      <c r="I18" s="17">
        <f t="shared" si="5"/>
        <v>0</v>
      </c>
      <c r="J18" s="18">
        <f t="shared" si="6"/>
        <v>0</v>
      </c>
      <c r="K18" s="18">
        <f t="shared" si="7"/>
        <v>0</v>
      </c>
      <c r="L18" s="18">
        <f t="shared" si="1"/>
        <v>44.45</v>
      </c>
      <c r="M18" s="18">
        <f t="shared" si="8"/>
        <v>18.953453237410073</v>
      </c>
      <c r="N18" s="18">
        <f t="shared" si="2"/>
        <v>63.403453237410076</v>
      </c>
      <c r="O18" s="8"/>
    </row>
    <row r="19" spans="1:15">
      <c r="A19" s="1" t="s">
        <v>9</v>
      </c>
      <c r="B19" s="11"/>
      <c r="C19" s="11">
        <v>158000</v>
      </c>
      <c r="D19" s="11">
        <v>186000</v>
      </c>
      <c r="E19" s="11">
        <v>0</v>
      </c>
      <c r="F19" s="11">
        <f t="shared" si="0"/>
        <v>28000</v>
      </c>
      <c r="G19" s="17">
        <f t="shared" si="3"/>
        <v>40.090000000000003</v>
      </c>
      <c r="H19" s="17">
        <f t="shared" si="4"/>
        <v>21.8</v>
      </c>
      <c r="I19" s="17">
        <f t="shared" si="5"/>
        <v>20.239999999999998</v>
      </c>
      <c r="J19" s="18">
        <f t="shared" si="6"/>
        <v>0</v>
      </c>
      <c r="K19" s="18">
        <f t="shared" si="7"/>
        <v>0</v>
      </c>
      <c r="L19" s="18">
        <f t="shared" si="1"/>
        <v>82.13</v>
      </c>
      <c r="M19" s="18">
        <f t="shared" si="8"/>
        <v>44.224724220623507</v>
      </c>
      <c r="N19" s="18">
        <f t="shared" si="2"/>
        <v>126.3547242206235</v>
      </c>
      <c r="O19" s="8"/>
    </row>
    <row r="20" spans="1:15">
      <c r="A20" s="1" t="s">
        <v>10</v>
      </c>
      <c r="B20" s="11"/>
      <c r="C20" s="11">
        <v>1496000</v>
      </c>
      <c r="D20" s="11">
        <v>1513000</v>
      </c>
      <c r="E20" s="11">
        <v>0</v>
      </c>
      <c r="F20" s="11">
        <f t="shared" si="0"/>
        <v>17000</v>
      </c>
      <c r="G20" s="17">
        <f t="shared" si="3"/>
        <v>40.090000000000003</v>
      </c>
      <c r="H20" s="17">
        <f t="shared" si="4"/>
        <v>15.260000000000002</v>
      </c>
      <c r="I20" s="17">
        <f t="shared" si="5"/>
        <v>0</v>
      </c>
      <c r="J20" s="18">
        <f t="shared" si="6"/>
        <v>0</v>
      </c>
      <c r="K20" s="18">
        <f t="shared" si="7"/>
        <v>0</v>
      </c>
      <c r="L20" s="18">
        <f t="shared" si="1"/>
        <v>55.350000000000009</v>
      </c>
      <c r="M20" s="18">
        <f t="shared" si="8"/>
        <v>26.850725419664272</v>
      </c>
      <c r="N20" s="18">
        <f t="shared" si="2"/>
        <v>82.20072541966428</v>
      </c>
      <c r="O20" s="8"/>
    </row>
    <row r="21" spans="1:15">
      <c r="A21" s="1" t="s">
        <v>11</v>
      </c>
      <c r="B21" s="11"/>
      <c r="C21" s="11">
        <v>1947000</v>
      </c>
      <c r="D21" s="11">
        <v>1957000</v>
      </c>
      <c r="E21" s="11">
        <v>0</v>
      </c>
      <c r="F21" s="11">
        <f t="shared" si="0"/>
        <v>10000</v>
      </c>
      <c r="G21" s="17">
        <f t="shared" si="3"/>
        <v>40.090000000000003</v>
      </c>
      <c r="H21" s="17">
        <f t="shared" si="4"/>
        <v>0</v>
      </c>
      <c r="I21" s="17">
        <f t="shared" si="5"/>
        <v>0</v>
      </c>
      <c r="J21" s="18">
        <f t="shared" si="6"/>
        <v>0</v>
      </c>
      <c r="K21" s="18">
        <f t="shared" si="7"/>
        <v>0</v>
      </c>
      <c r="L21" s="18">
        <f t="shared" si="1"/>
        <v>40.090000000000003</v>
      </c>
      <c r="M21" s="18">
        <f t="shared" si="8"/>
        <v>15.794544364508395</v>
      </c>
      <c r="N21" s="18">
        <f t="shared" si="2"/>
        <v>55.8845443645084</v>
      </c>
      <c r="O21" s="8"/>
    </row>
    <row r="22" spans="1:15">
      <c r="A22" s="1" t="s">
        <v>12</v>
      </c>
      <c r="B22" s="11"/>
      <c r="C22" s="11">
        <v>2165000</v>
      </c>
      <c r="D22" s="11">
        <v>2191000</v>
      </c>
      <c r="E22" s="11">
        <v>0</v>
      </c>
      <c r="F22" s="11">
        <f t="shared" si="0"/>
        <v>26000</v>
      </c>
      <c r="G22" s="17">
        <f t="shared" si="3"/>
        <v>40.090000000000003</v>
      </c>
      <c r="H22" s="17">
        <f t="shared" si="4"/>
        <v>21.8</v>
      </c>
      <c r="I22" s="17">
        <f t="shared" si="5"/>
        <v>15.18</v>
      </c>
      <c r="J22" s="18">
        <f t="shared" si="6"/>
        <v>0</v>
      </c>
      <c r="K22" s="18">
        <f t="shared" si="7"/>
        <v>0</v>
      </c>
      <c r="L22" s="18">
        <f t="shared" si="1"/>
        <v>77.069999999999993</v>
      </c>
      <c r="M22" s="18">
        <f t="shared" si="8"/>
        <v>41.065815347721824</v>
      </c>
      <c r="N22" s="18">
        <f t="shared" si="2"/>
        <v>118.13581534772182</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6378000</v>
      </c>
      <c r="D24" s="11">
        <v>6402000</v>
      </c>
      <c r="E24" s="11">
        <v>0</v>
      </c>
      <c r="F24" s="11">
        <f t="shared" si="0"/>
        <v>24000</v>
      </c>
      <c r="G24" s="17">
        <f t="shared" si="3"/>
        <v>40.090000000000003</v>
      </c>
      <c r="H24" s="17">
        <f t="shared" si="4"/>
        <v>21.8</v>
      </c>
      <c r="I24" s="17">
        <f t="shared" si="5"/>
        <v>10.119999999999999</v>
      </c>
      <c r="J24" s="18">
        <f t="shared" si="6"/>
        <v>0</v>
      </c>
      <c r="K24" s="18">
        <f t="shared" si="7"/>
        <v>0</v>
      </c>
      <c r="L24" s="18">
        <f t="shared" si="1"/>
        <v>72.010000000000005</v>
      </c>
      <c r="M24" s="18">
        <f t="shared" si="8"/>
        <v>37.906906474820147</v>
      </c>
      <c r="N24" s="18">
        <f t="shared" si="2"/>
        <v>109.91690647482015</v>
      </c>
      <c r="O24" s="8"/>
    </row>
    <row r="25" spans="1:15">
      <c r="A25" s="1" t="s">
        <v>15</v>
      </c>
      <c r="B25" s="11"/>
      <c r="C25" s="11">
        <v>2630000</v>
      </c>
      <c r="D25" s="11">
        <v>2653000</v>
      </c>
      <c r="E25" s="11">
        <v>0</v>
      </c>
      <c r="F25" s="11">
        <f t="shared" si="0"/>
        <v>23000</v>
      </c>
      <c r="G25" s="17">
        <f t="shared" si="3"/>
        <v>40.090000000000003</v>
      </c>
      <c r="H25" s="17">
        <f t="shared" si="4"/>
        <v>21.8</v>
      </c>
      <c r="I25" s="17">
        <f t="shared" si="5"/>
        <v>7.59</v>
      </c>
      <c r="J25" s="18">
        <f t="shared" si="6"/>
        <v>0</v>
      </c>
      <c r="K25" s="18">
        <f t="shared" si="7"/>
        <v>0</v>
      </c>
      <c r="L25" s="18">
        <f t="shared" si="1"/>
        <v>69.48</v>
      </c>
      <c r="M25" s="18">
        <f t="shared" si="8"/>
        <v>36.327452038369309</v>
      </c>
      <c r="N25" s="18">
        <f t="shared" si="2"/>
        <v>105.80745203836932</v>
      </c>
      <c r="O25" s="8"/>
    </row>
    <row r="26" spans="1:15">
      <c r="A26" s="1" t="s">
        <v>16</v>
      </c>
      <c r="B26" s="11"/>
      <c r="C26" s="11">
        <v>1566000</v>
      </c>
      <c r="D26" s="11">
        <v>1582000</v>
      </c>
      <c r="E26" s="11">
        <v>0</v>
      </c>
      <c r="F26" s="11">
        <f t="shared" si="0"/>
        <v>16000</v>
      </c>
      <c r="G26" s="17">
        <f t="shared" si="3"/>
        <v>40.090000000000003</v>
      </c>
      <c r="H26" s="17">
        <f t="shared" si="4"/>
        <v>13.080000000000002</v>
      </c>
      <c r="I26" s="17">
        <f t="shared" si="5"/>
        <v>0</v>
      </c>
      <c r="J26" s="18">
        <f t="shared" si="6"/>
        <v>0</v>
      </c>
      <c r="K26" s="18">
        <f t="shared" si="7"/>
        <v>0</v>
      </c>
      <c r="L26" s="18">
        <f t="shared" si="1"/>
        <v>53.17</v>
      </c>
      <c r="M26" s="18">
        <f t="shared" si="8"/>
        <v>25.27127098321343</v>
      </c>
      <c r="N26" s="18">
        <f t="shared" si="2"/>
        <v>78.441270983213428</v>
      </c>
      <c r="O26" s="8"/>
    </row>
    <row r="27" spans="1:15">
      <c r="A27" s="1" t="s">
        <v>17</v>
      </c>
      <c r="B27" s="11"/>
      <c r="C27" s="11">
        <v>1154000</v>
      </c>
      <c r="D27" s="11">
        <v>1161000</v>
      </c>
      <c r="E27" s="11">
        <v>0</v>
      </c>
      <c r="F27" s="11">
        <f t="shared" si="0"/>
        <v>7000</v>
      </c>
      <c r="G27" s="17">
        <f t="shared" si="3"/>
        <v>40.090000000000003</v>
      </c>
      <c r="H27" s="17">
        <f t="shared" si="4"/>
        <v>0</v>
      </c>
      <c r="I27" s="17">
        <f t="shared" si="5"/>
        <v>0</v>
      </c>
      <c r="J27" s="18">
        <f t="shared" si="6"/>
        <v>0</v>
      </c>
      <c r="K27" s="18">
        <f t="shared" si="7"/>
        <v>0</v>
      </c>
      <c r="L27" s="18">
        <f t="shared" si="1"/>
        <v>40.090000000000003</v>
      </c>
      <c r="M27" s="18">
        <f t="shared" si="8"/>
        <v>11.056181055155877</v>
      </c>
      <c r="N27" s="18">
        <f t="shared" si="2"/>
        <v>51.146181055155878</v>
      </c>
      <c r="O27" s="8"/>
    </row>
    <row r="28" spans="1:15">
      <c r="A28" s="1" t="s">
        <v>18</v>
      </c>
      <c r="B28" s="11"/>
      <c r="C28" s="11">
        <v>4018000</v>
      </c>
      <c r="D28" s="11">
        <v>4025000</v>
      </c>
      <c r="E28" s="11">
        <v>0</v>
      </c>
      <c r="F28" s="11">
        <f t="shared" si="0"/>
        <v>7000</v>
      </c>
      <c r="G28" s="17">
        <f t="shared" si="3"/>
        <v>40.090000000000003</v>
      </c>
      <c r="H28" s="17">
        <f t="shared" si="4"/>
        <v>0</v>
      </c>
      <c r="I28" s="17">
        <f t="shared" si="5"/>
        <v>0</v>
      </c>
      <c r="J28" s="18">
        <f t="shared" si="6"/>
        <v>0</v>
      </c>
      <c r="K28" s="18">
        <f t="shared" si="7"/>
        <v>0</v>
      </c>
      <c r="L28" s="18">
        <f t="shared" si="1"/>
        <v>40.090000000000003</v>
      </c>
      <c r="M28" s="18">
        <f t="shared" si="8"/>
        <v>11.056181055155877</v>
      </c>
      <c r="N28" s="18">
        <f t="shared" si="2"/>
        <v>51.146181055155878</v>
      </c>
      <c r="O28" s="8"/>
    </row>
    <row r="29" spans="1:15">
      <c r="A29" s="1" t="s">
        <v>19</v>
      </c>
      <c r="B29" s="11"/>
      <c r="C29" s="11">
        <v>1148000</v>
      </c>
      <c r="D29" s="11">
        <v>1161000</v>
      </c>
      <c r="E29" s="11">
        <v>0</v>
      </c>
      <c r="F29" s="11">
        <f t="shared" si="0"/>
        <v>13000</v>
      </c>
      <c r="G29" s="17">
        <f t="shared" si="3"/>
        <v>40.090000000000003</v>
      </c>
      <c r="H29" s="17">
        <f t="shared" si="4"/>
        <v>6.5400000000000009</v>
      </c>
      <c r="I29" s="17">
        <f t="shared" si="5"/>
        <v>0</v>
      </c>
      <c r="J29" s="18">
        <f t="shared" si="6"/>
        <v>0</v>
      </c>
      <c r="K29" s="18">
        <f t="shared" si="7"/>
        <v>0</v>
      </c>
      <c r="L29" s="18">
        <f t="shared" si="1"/>
        <v>46.63</v>
      </c>
      <c r="M29" s="18">
        <f t="shared" si="8"/>
        <v>20.532907673860912</v>
      </c>
      <c r="N29" s="18">
        <f t="shared" si="2"/>
        <v>67.162907673860914</v>
      </c>
      <c r="O29" s="8"/>
    </row>
    <row r="30" spans="1:15">
      <c r="A30" s="1" t="s">
        <v>20</v>
      </c>
      <c r="B30" s="11"/>
      <c r="C30" s="11">
        <v>2211000</v>
      </c>
      <c r="D30" s="11">
        <v>2214000</v>
      </c>
      <c r="E30" s="11">
        <v>0</v>
      </c>
      <c r="F30" s="11">
        <f t="shared" si="0"/>
        <v>3000</v>
      </c>
      <c r="G30" s="17">
        <f t="shared" si="3"/>
        <v>40.090000000000003</v>
      </c>
      <c r="H30" s="17">
        <f t="shared" si="4"/>
        <v>0</v>
      </c>
      <c r="I30" s="17">
        <f t="shared" si="5"/>
        <v>0</v>
      </c>
      <c r="J30" s="18">
        <f t="shared" si="6"/>
        <v>0</v>
      </c>
      <c r="K30" s="18">
        <f t="shared" si="7"/>
        <v>0</v>
      </c>
      <c r="L30" s="18">
        <f t="shared" si="1"/>
        <v>40.090000000000003</v>
      </c>
      <c r="M30" s="18">
        <f t="shared" si="8"/>
        <v>4.7383633093525184</v>
      </c>
      <c r="N30" s="18">
        <f t="shared" si="2"/>
        <v>44.828363309352525</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603000</v>
      </c>
      <c r="D32" s="11">
        <v>613000</v>
      </c>
      <c r="E32" s="11">
        <v>0</v>
      </c>
      <c r="F32" s="11">
        <f t="shared" si="0"/>
        <v>10000</v>
      </c>
      <c r="G32" s="17">
        <f t="shared" si="3"/>
        <v>40.090000000000003</v>
      </c>
      <c r="H32" s="17">
        <f t="shared" si="4"/>
        <v>0</v>
      </c>
      <c r="I32" s="17">
        <f t="shared" si="5"/>
        <v>0</v>
      </c>
      <c r="J32" s="18">
        <f t="shared" si="6"/>
        <v>0</v>
      </c>
      <c r="K32" s="18">
        <f t="shared" si="7"/>
        <v>0</v>
      </c>
      <c r="L32" s="18">
        <f t="shared" si="1"/>
        <v>40.090000000000003</v>
      </c>
      <c r="M32" s="18">
        <f t="shared" si="8"/>
        <v>15.794544364508395</v>
      </c>
      <c r="N32" s="18">
        <f t="shared" si="2"/>
        <v>55.8845443645084</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2349000</v>
      </c>
      <c r="D35" s="11">
        <v>2368000</v>
      </c>
      <c r="E35" s="11">
        <v>0</v>
      </c>
      <c r="F35" s="11">
        <f t="shared" si="0"/>
        <v>19000</v>
      </c>
      <c r="G35" s="17">
        <f t="shared" si="3"/>
        <v>40.090000000000003</v>
      </c>
      <c r="H35" s="17">
        <f t="shared" si="4"/>
        <v>19.62</v>
      </c>
      <c r="I35" s="17">
        <f t="shared" si="5"/>
        <v>0</v>
      </c>
      <c r="J35" s="18">
        <f t="shared" si="6"/>
        <v>0</v>
      </c>
      <c r="K35" s="18">
        <f t="shared" si="7"/>
        <v>0</v>
      </c>
      <c r="L35" s="18">
        <f t="shared" si="1"/>
        <v>59.710000000000008</v>
      </c>
      <c r="M35" s="18">
        <f t="shared" si="8"/>
        <v>30.009634292565952</v>
      </c>
      <c r="N35" s="18">
        <f t="shared" si="2"/>
        <v>89.719634292565956</v>
      </c>
      <c r="O35" s="8"/>
    </row>
    <row r="36" spans="1:15">
      <c r="A36" s="1" t="s">
        <v>26</v>
      </c>
      <c r="B36" s="11"/>
      <c r="C36" s="11">
        <v>343000</v>
      </c>
      <c r="D36" s="11">
        <v>356000</v>
      </c>
      <c r="E36" s="11">
        <v>0</v>
      </c>
      <c r="F36" s="11">
        <f t="shared" si="0"/>
        <v>13000</v>
      </c>
      <c r="G36" s="17">
        <f t="shared" si="3"/>
        <v>40.090000000000003</v>
      </c>
      <c r="H36" s="17">
        <f t="shared" si="4"/>
        <v>6.5400000000000009</v>
      </c>
      <c r="I36" s="17">
        <f t="shared" si="5"/>
        <v>0</v>
      </c>
      <c r="J36" s="18">
        <f t="shared" si="6"/>
        <v>0</v>
      </c>
      <c r="K36" s="18">
        <f t="shared" si="7"/>
        <v>0</v>
      </c>
      <c r="L36" s="18">
        <f t="shared" si="1"/>
        <v>46.63</v>
      </c>
      <c r="M36" s="18">
        <f t="shared" si="8"/>
        <v>20.532907673860912</v>
      </c>
      <c r="N36" s="18">
        <f t="shared" si="2"/>
        <v>67.162907673860914</v>
      </c>
      <c r="O36" s="8"/>
    </row>
    <row r="37" spans="1:15">
      <c r="A37" s="1" t="s">
        <v>27</v>
      </c>
      <c r="B37" s="11"/>
      <c r="C37" s="11">
        <v>2123000</v>
      </c>
      <c r="D37" s="11">
        <v>2127000</v>
      </c>
      <c r="E37" s="11">
        <v>0</v>
      </c>
      <c r="F37" s="11">
        <f t="shared" si="0"/>
        <v>4000</v>
      </c>
      <c r="G37" s="17">
        <f t="shared" si="3"/>
        <v>40.090000000000003</v>
      </c>
      <c r="H37" s="17">
        <f t="shared" si="4"/>
        <v>0</v>
      </c>
      <c r="I37" s="17">
        <f t="shared" si="5"/>
        <v>0</v>
      </c>
      <c r="J37" s="18">
        <f t="shared" si="6"/>
        <v>0</v>
      </c>
      <c r="K37" s="18">
        <f t="shared" si="7"/>
        <v>0</v>
      </c>
      <c r="L37" s="18">
        <f t="shared" si="1"/>
        <v>40.090000000000003</v>
      </c>
      <c r="M37" s="18">
        <f t="shared" si="8"/>
        <v>6.3178177458033575</v>
      </c>
      <c r="N37" s="18">
        <f t="shared" si="2"/>
        <v>46.407817745803364</v>
      </c>
      <c r="O37" s="8"/>
    </row>
    <row r="38" spans="1:15">
      <c r="A38" s="1" t="s">
        <v>28</v>
      </c>
      <c r="B38" s="11"/>
      <c r="C38" s="11">
        <v>1332000</v>
      </c>
      <c r="D38" s="11">
        <v>1339000</v>
      </c>
      <c r="E38" s="11">
        <v>0</v>
      </c>
      <c r="F38" s="11">
        <f t="shared" si="0"/>
        <v>7000</v>
      </c>
      <c r="G38" s="17">
        <f t="shared" si="3"/>
        <v>40.090000000000003</v>
      </c>
      <c r="H38" s="17">
        <f t="shared" si="4"/>
        <v>0</v>
      </c>
      <c r="I38" s="17">
        <f t="shared" si="5"/>
        <v>0</v>
      </c>
      <c r="J38" s="18">
        <f t="shared" si="6"/>
        <v>0</v>
      </c>
      <c r="K38" s="18">
        <f t="shared" si="7"/>
        <v>0</v>
      </c>
      <c r="L38" s="18">
        <f t="shared" si="1"/>
        <v>40.090000000000003</v>
      </c>
      <c r="M38" s="18">
        <f t="shared" si="8"/>
        <v>11.056181055155877</v>
      </c>
      <c r="N38" s="18">
        <f t="shared" si="2"/>
        <v>51.146181055155878</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508000</v>
      </c>
      <c r="D41" s="11">
        <v>513000</v>
      </c>
      <c r="E41" s="11">
        <v>0</v>
      </c>
      <c r="F41" s="11">
        <f t="shared" si="0"/>
        <v>5000</v>
      </c>
      <c r="G41" s="17">
        <f t="shared" si="3"/>
        <v>40.090000000000003</v>
      </c>
      <c r="H41" s="17">
        <f t="shared" si="4"/>
        <v>0</v>
      </c>
      <c r="I41" s="17">
        <f t="shared" si="5"/>
        <v>0</v>
      </c>
      <c r="J41" s="18">
        <f t="shared" si="6"/>
        <v>0</v>
      </c>
      <c r="K41" s="18">
        <f t="shared" si="7"/>
        <v>0</v>
      </c>
      <c r="L41" s="18">
        <f t="shared" si="1"/>
        <v>40.090000000000003</v>
      </c>
      <c r="M41" s="18">
        <f t="shared" si="8"/>
        <v>7.8972721822541976</v>
      </c>
      <c r="N41" s="18">
        <f t="shared" si="2"/>
        <v>47.987272182254202</v>
      </c>
      <c r="O41" s="8"/>
    </row>
    <row r="42" spans="1:15">
      <c r="A42" s="1" t="s">
        <v>32</v>
      </c>
      <c r="B42" s="11"/>
      <c r="C42" s="11">
        <v>3868000</v>
      </c>
      <c r="D42" s="11">
        <v>3873000</v>
      </c>
      <c r="E42" s="11">
        <v>0</v>
      </c>
      <c r="F42" s="11">
        <f t="shared" si="0"/>
        <v>5000</v>
      </c>
      <c r="G42" s="17">
        <f t="shared" si="3"/>
        <v>40.090000000000003</v>
      </c>
      <c r="H42" s="17">
        <f t="shared" si="4"/>
        <v>0</v>
      </c>
      <c r="I42" s="17">
        <f t="shared" si="5"/>
        <v>0</v>
      </c>
      <c r="J42" s="18">
        <f t="shared" si="6"/>
        <v>0</v>
      </c>
      <c r="K42" s="18">
        <f t="shared" si="7"/>
        <v>0</v>
      </c>
      <c r="L42" s="18">
        <f t="shared" si="1"/>
        <v>40.090000000000003</v>
      </c>
      <c r="M42" s="18">
        <f t="shared" si="8"/>
        <v>7.8972721822541976</v>
      </c>
      <c r="N42" s="18">
        <f t="shared" si="2"/>
        <v>47.987272182254202</v>
      </c>
      <c r="O42" s="8"/>
    </row>
    <row r="43" spans="1:15">
      <c r="A43" s="1" t="s">
        <v>33</v>
      </c>
      <c r="B43" s="11"/>
      <c r="C43" s="11">
        <v>1172000</v>
      </c>
      <c r="D43" s="11">
        <v>1178000</v>
      </c>
      <c r="E43" s="11">
        <v>0</v>
      </c>
      <c r="F43" s="11">
        <f t="shared" si="0"/>
        <v>6000</v>
      </c>
      <c r="G43" s="17">
        <f t="shared" si="3"/>
        <v>40.090000000000003</v>
      </c>
      <c r="H43" s="17">
        <f t="shared" si="4"/>
        <v>0</v>
      </c>
      <c r="I43" s="17">
        <f t="shared" si="5"/>
        <v>0</v>
      </c>
      <c r="J43" s="18">
        <f t="shared" si="6"/>
        <v>0</v>
      </c>
      <c r="K43" s="18">
        <f t="shared" si="7"/>
        <v>0</v>
      </c>
      <c r="L43" s="18">
        <f t="shared" si="1"/>
        <v>40.090000000000003</v>
      </c>
      <c r="M43" s="18">
        <f t="shared" si="8"/>
        <v>9.4767266187050367</v>
      </c>
      <c r="N43" s="18">
        <f t="shared" si="2"/>
        <v>49.56672661870504</v>
      </c>
      <c r="O43" s="8"/>
    </row>
    <row r="44" spans="1:15">
      <c r="A44" s="1" t="s">
        <v>34</v>
      </c>
      <c r="B44" s="11"/>
      <c r="C44" s="11">
        <v>175000</v>
      </c>
      <c r="D44" s="11">
        <v>203000</v>
      </c>
      <c r="E44" s="11">
        <v>0</v>
      </c>
      <c r="F44" s="11">
        <f t="shared" si="0"/>
        <v>28000</v>
      </c>
      <c r="G44" s="17">
        <f t="shared" si="3"/>
        <v>40.090000000000003</v>
      </c>
      <c r="H44" s="17">
        <f t="shared" si="4"/>
        <v>21.8</v>
      </c>
      <c r="I44" s="17">
        <f t="shared" si="5"/>
        <v>20.239999999999998</v>
      </c>
      <c r="J44" s="18">
        <f t="shared" si="6"/>
        <v>0</v>
      </c>
      <c r="K44" s="18">
        <f t="shared" si="7"/>
        <v>0</v>
      </c>
      <c r="L44" s="18">
        <f t="shared" si="1"/>
        <v>82.13</v>
      </c>
      <c r="M44" s="18">
        <f t="shared" si="8"/>
        <v>44.224724220623507</v>
      </c>
      <c r="N44" s="18">
        <f t="shared" si="2"/>
        <v>126.3547242206235</v>
      </c>
      <c r="O44" s="8"/>
    </row>
    <row r="45" spans="1:15">
      <c r="A45" s="1" t="s">
        <v>35</v>
      </c>
      <c r="B45" s="11"/>
      <c r="C45" s="11">
        <v>1479000</v>
      </c>
      <c r="D45" s="11">
        <v>1501000</v>
      </c>
      <c r="E45" s="11">
        <v>0</v>
      </c>
      <c r="F45" s="11">
        <f t="shared" si="0"/>
        <v>22000</v>
      </c>
      <c r="G45" s="17">
        <f t="shared" si="3"/>
        <v>40.090000000000003</v>
      </c>
      <c r="H45" s="17">
        <f t="shared" si="4"/>
        <v>21.8</v>
      </c>
      <c r="I45" s="17">
        <f t="shared" si="5"/>
        <v>5.0599999999999996</v>
      </c>
      <c r="J45" s="18">
        <f t="shared" si="6"/>
        <v>0</v>
      </c>
      <c r="K45" s="18">
        <f t="shared" si="7"/>
        <v>0</v>
      </c>
      <c r="L45" s="18">
        <f t="shared" si="1"/>
        <v>66.95</v>
      </c>
      <c r="M45" s="18">
        <f t="shared" si="8"/>
        <v>34.747997601918463</v>
      </c>
      <c r="N45" s="18">
        <f t="shared" si="2"/>
        <v>101.69799760191847</v>
      </c>
      <c r="O45" s="8"/>
    </row>
    <row r="46" spans="1:15">
      <c r="A46" s="1" t="s">
        <v>36</v>
      </c>
      <c r="B46" s="11"/>
      <c r="C46" s="11">
        <v>1589000</v>
      </c>
      <c r="D46" s="11">
        <v>1592000</v>
      </c>
      <c r="E46" s="11">
        <v>0</v>
      </c>
      <c r="F46" s="11">
        <f t="shared" si="0"/>
        <v>3000</v>
      </c>
      <c r="G46" s="17">
        <f t="shared" si="3"/>
        <v>40.090000000000003</v>
      </c>
      <c r="H46" s="17">
        <f t="shared" si="4"/>
        <v>0</v>
      </c>
      <c r="I46" s="17">
        <f t="shared" si="5"/>
        <v>0</v>
      </c>
      <c r="J46" s="18">
        <f t="shared" si="6"/>
        <v>0</v>
      </c>
      <c r="K46" s="18">
        <f t="shared" si="7"/>
        <v>0</v>
      </c>
      <c r="L46" s="18">
        <f t="shared" si="1"/>
        <v>40.090000000000003</v>
      </c>
      <c r="M46" s="18">
        <f t="shared" si="8"/>
        <v>4.7383633093525184</v>
      </c>
      <c r="N46" s="18">
        <f t="shared" si="2"/>
        <v>44.828363309352525</v>
      </c>
      <c r="O46" s="8"/>
    </row>
    <row r="47" spans="1:15">
      <c r="A47" s="1" t="s">
        <v>37</v>
      </c>
      <c r="B47" s="11"/>
      <c r="C47" s="11">
        <v>1839000</v>
      </c>
      <c r="D47" s="11">
        <v>1874000</v>
      </c>
      <c r="E47" s="11">
        <v>0</v>
      </c>
      <c r="F47" s="11">
        <f t="shared" si="0"/>
        <v>35000</v>
      </c>
      <c r="G47" s="17">
        <f t="shared" si="3"/>
        <v>40.090000000000003</v>
      </c>
      <c r="H47" s="17">
        <f t="shared" si="4"/>
        <v>21.8</v>
      </c>
      <c r="I47" s="17">
        <f t="shared" si="5"/>
        <v>25.299999999999997</v>
      </c>
      <c r="J47" s="18">
        <f t="shared" si="6"/>
        <v>14.75</v>
      </c>
      <c r="K47" s="18">
        <f t="shared" si="7"/>
        <v>0</v>
      </c>
      <c r="L47" s="18">
        <f t="shared" si="1"/>
        <v>101.94</v>
      </c>
      <c r="M47" s="18">
        <f t="shared" si="8"/>
        <v>55.280905275779382</v>
      </c>
      <c r="N47" s="18">
        <f t="shared" si="2"/>
        <v>157.22090527577939</v>
      </c>
      <c r="O47" s="8"/>
    </row>
    <row r="48" spans="1:15">
      <c r="A48" s="1" t="s">
        <v>38</v>
      </c>
      <c r="B48" s="11"/>
      <c r="C48" s="11">
        <v>1661000</v>
      </c>
      <c r="D48" s="11">
        <v>1687000</v>
      </c>
      <c r="E48" s="11">
        <v>0</v>
      </c>
      <c r="F48" s="11">
        <f t="shared" si="0"/>
        <v>26000</v>
      </c>
      <c r="G48" s="17">
        <f t="shared" si="3"/>
        <v>40.090000000000003</v>
      </c>
      <c r="H48" s="17">
        <f t="shared" si="4"/>
        <v>21.8</v>
      </c>
      <c r="I48" s="17">
        <f t="shared" si="5"/>
        <v>15.18</v>
      </c>
      <c r="J48" s="18">
        <f t="shared" si="6"/>
        <v>0</v>
      </c>
      <c r="K48" s="18">
        <f t="shared" si="7"/>
        <v>0</v>
      </c>
      <c r="L48" s="18">
        <f t="shared" si="1"/>
        <v>77.069999999999993</v>
      </c>
      <c r="M48" s="18">
        <f t="shared" si="8"/>
        <v>41.065815347721824</v>
      </c>
      <c r="N48" s="18">
        <f t="shared" si="2"/>
        <v>118.13581534772182</v>
      </c>
      <c r="O48" s="8"/>
    </row>
    <row r="49" spans="1:15">
      <c r="A49" s="1" t="s">
        <v>39</v>
      </c>
      <c r="B49" s="11" t="s">
        <v>138</v>
      </c>
      <c r="C49" s="11">
        <v>0</v>
      </c>
      <c r="D49" s="11">
        <v>0</v>
      </c>
      <c r="E49" s="11">
        <v>0</v>
      </c>
      <c r="F49" s="11">
        <f t="shared" si="0"/>
        <v>0</v>
      </c>
      <c r="G49" s="17">
        <f t="shared" si="3"/>
        <v>11.79</v>
      </c>
      <c r="H49" s="17">
        <f t="shared" si="4"/>
        <v>0</v>
      </c>
      <c r="I49" s="17">
        <f t="shared" si="5"/>
        <v>0</v>
      </c>
      <c r="J49" s="18">
        <f t="shared" si="6"/>
        <v>0</v>
      </c>
      <c r="K49" s="18">
        <f t="shared" si="7"/>
        <v>0</v>
      </c>
      <c r="L49" s="18">
        <f t="shared" si="1"/>
        <v>11.79</v>
      </c>
      <c r="M49" s="18">
        <f t="shared" ref="M49:M80" si="9">IF(   $H$5=1,    IF((F49-$H$6)&gt;0,((F49-$H$6)/$N$7)*$E$8,0),   IF(F49&gt;0,(F49/$N$4)*$E$8,0)    )</f>
        <v>0</v>
      </c>
      <c r="N49" s="18">
        <f t="shared" si="2"/>
        <v>11.79</v>
      </c>
      <c r="O49" s="8"/>
    </row>
    <row r="50" spans="1:15">
      <c r="A50" s="1" t="s">
        <v>40</v>
      </c>
      <c r="B50" s="11" t="s">
        <v>138</v>
      </c>
      <c r="C50" s="11">
        <v>0</v>
      </c>
      <c r="D50" s="11">
        <v>0</v>
      </c>
      <c r="E50" s="11">
        <v>0</v>
      </c>
      <c r="F50" s="11">
        <f t="shared" si="0"/>
        <v>0</v>
      </c>
      <c r="G50" s="17">
        <f t="shared" si="3"/>
        <v>11.79</v>
      </c>
      <c r="H50" s="17">
        <f t="shared" si="4"/>
        <v>0</v>
      </c>
      <c r="I50" s="17">
        <f t="shared" si="5"/>
        <v>0</v>
      </c>
      <c r="J50" s="18">
        <f t="shared" si="6"/>
        <v>0</v>
      </c>
      <c r="K50" s="18">
        <f t="shared" si="7"/>
        <v>0</v>
      </c>
      <c r="L50" s="18">
        <f t="shared" si="1"/>
        <v>11.79</v>
      </c>
      <c r="M50" s="18">
        <f t="shared" si="9"/>
        <v>0</v>
      </c>
      <c r="N50" s="18">
        <f t="shared" si="2"/>
        <v>11.79</v>
      </c>
      <c r="O50" s="8"/>
    </row>
    <row r="51" spans="1:15">
      <c r="A51" s="1" t="s">
        <v>41</v>
      </c>
      <c r="B51" s="11" t="s">
        <v>138</v>
      </c>
      <c r="C51" s="11">
        <v>0</v>
      </c>
      <c r="D51" s="11">
        <v>0</v>
      </c>
      <c r="E51" s="11">
        <v>0</v>
      </c>
      <c r="F51" s="11">
        <f t="shared" si="0"/>
        <v>0</v>
      </c>
      <c r="G51" s="17">
        <f t="shared" si="3"/>
        <v>11.79</v>
      </c>
      <c r="H51" s="17">
        <f t="shared" si="4"/>
        <v>0</v>
      </c>
      <c r="I51" s="17">
        <f t="shared" si="5"/>
        <v>0</v>
      </c>
      <c r="J51" s="18">
        <f t="shared" si="6"/>
        <v>0</v>
      </c>
      <c r="K51" s="18">
        <f t="shared" si="7"/>
        <v>0</v>
      </c>
      <c r="L51" s="18">
        <f t="shared" si="1"/>
        <v>11.79</v>
      </c>
      <c r="M51" s="18">
        <f t="shared" si="9"/>
        <v>0</v>
      </c>
      <c r="N51" s="18">
        <f t="shared" si="2"/>
        <v>11.79</v>
      </c>
      <c r="O51" s="8"/>
    </row>
    <row r="52" spans="1:15">
      <c r="A52" s="1" t="s">
        <v>42</v>
      </c>
      <c r="B52" s="11"/>
      <c r="C52" s="11">
        <v>3052000</v>
      </c>
      <c r="D52" s="11">
        <v>3070000</v>
      </c>
      <c r="E52" s="11">
        <v>0</v>
      </c>
      <c r="F52" s="11">
        <f t="shared" si="0"/>
        <v>18000</v>
      </c>
      <c r="G52" s="17">
        <f t="shared" si="3"/>
        <v>40.090000000000003</v>
      </c>
      <c r="H52" s="17">
        <f t="shared" si="4"/>
        <v>17.440000000000001</v>
      </c>
      <c r="I52" s="17">
        <f t="shared" si="5"/>
        <v>0</v>
      </c>
      <c r="J52" s="18">
        <f t="shared" si="6"/>
        <v>0</v>
      </c>
      <c r="K52" s="18">
        <f t="shared" si="7"/>
        <v>0</v>
      </c>
      <c r="L52" s="18">
        <f t="shared" si="1"/>
        <v>57.53</v>
      </c>
      <c r="M52" s="18">
        <f t="shared" si="9"/>
        <v>28.43017985611511</v>
      </c>
      <c r="N52" s="18">
        <f t="shared" si="2"/>
        <v>85.960179856115104</v>
      </c>
      <c r="O52" s="8"/>
    </row>
    <row r="53" spans="1:15">
      <c r="A53" s="1" t="s">
        <v>43</v>
      </c>
      <c r="B53" s="11"/>
      <c r="C53" s="11">
        <v>3222000</v>
      </c>
      <c r="D53" s="11">
        <v>3244000</v>
      </c>
      <c r="E53" s="11">
        <v>0</v>
      </c>
      <c r="F53" s="11">
        <f t="shared" si="0"/>
        <v>22000</v>
      </c>
      <c r="G53" s="17">
        <f t="shared" si="3"/>
        <v>40.090000000000003</v>
      </c>
      <c r="H53" s="17">
        <f t="shared" si="4"/>
        <v>21.8</v>
      </c>
      <c r="I53" s="17">
        <f t="shared" si="5"/>
        <v>5.0599999999999996</v>
      </c>
      <c r="J53" s="18">
        <f t="shared" si="6"/>
        <v>0</v>
      </c>
      <c r="K53" s="18">
        <f t="shared" si="7"/>
        <v>0</v>
      </c>
      <c r="L53" s="18">
        <f t="shared" si="1"/>
        <v>66.95</v>
      </c>
      <c r="M53" s="18">
        <f t="shared" si="9"/>
        <v>34.747997601918463</v>
      </c>
      <c r="N53" s="18">
        <f t="shared" si="2"/>
        <v>101.69799760191847</v>
      </c>
      <c r="O53" s="8"/>
    </row>
    <row r="54" spans="1:15">
      <c r="A54" s="1" t="s">
        <v>44</v>
      </c>
      <c r="B54" s="11"/>
      <c r="C54" s="11">
        <v>4017000</v>
      </c>
      <c r="D54" s="11">
        <v>4051000</v>
      </c>
      <c r="E54" s="11">
        <v>0</v>
      </c>
      <c r="F54" s="11">
        <f t="shared" si="0"/>
        <v>34000</v>
      </c>
      <c r="G54" s="17">
        <f t="shared" si="3"/>
        <v>40.090000000000003</v>
      </c>
      <c r="H54" s="17">
        <f t="shared" si="4"/>
        <v>21.8</v>
      </c>
      <c r="I54" s="17">
        <f t="shared" si="5"/>
        <v>25.299999999999997</v>
      </c>
      <c r="J54" s="18">
        <f t="shared" si="6"/>
        <v>11.8</v>
      </c>
      <c r="K54" s="18">
        <f t="shared" si="7"/>
        <v>0</v>
      </c>
      <c r="L54" s="18">
        <f t="shared" si="1"/>
        <v>98.99</v>
      </c>
      <c r="M54" s="18">
        <f t="shared" si="9"/>
        <v>53.701450839328544</v>
      </c>
      <c r="N54" s="18">
        <f t="shared" si="2"/>
        <v>152.69145083932852</v>
      </c>
      <c r="O54" s="8"/>
    </row>
    <row r="55" spans="1:15">
      <c r="A55" s="1" t="s">
        <v>45</v>
      </c>
      <c r="B55" s="11" t="s">
        <v>138</v>
      </c>
      <c r="C55" s="11">
        <v>0</v>
      </c>
      <c r="D55" s="11">
        <v>0</v>
      </c>
      <c r="E55" s="11">
        <v>0</v>
      </c>
      <c r="F55" s="11">
        <f t="shared" si="0"/>
        <v>0</v>
      </c>
      <c r="G55" s="17">
        <f t="shared" si="3"/>
        <v>11.79</v>
      </c>
      <c r="H55" s="17">
        <f t="shared" si="4"/>
        <v>0</v>
      </c>
      <c r="I55" s="17">
        <f t="shared" si="5"/>
        <v>0</v>
      </c>
      <c r="J55" s="18">
        <f t="shared" si="6"/>
        <v>0</v>
      </c>
      <c r="K55" s="18">
        <f t="shared" si="7"/>
        <v>0</v>
      </c>
      <c r="L55" s="18">
        <f t="shared" si="1"/>
        <v>11.79</v>
      </c>
      <c r="M55" s="18">
        <f t="shared" si="9"/>
        <v>0</v>
      </c>
      <c r="N55" s="18">
        <f t="shared" si="2"/>
        <v>11.79</v>
      </c>
      <c r="O55" s="8"/>
    </row>
    <row r="56" spans="1:15">
      <c r="A56" s="1" t="s">
        <v>46</v>
      </c>
      <c r="B56" s="11" t="s">
        <v>138</v>
      </c>
      <c r="C56" s="11">
        <v>0</v>
      </c>
      <c r="D56" s="11">
        <v>0</v>
      </c>
      <c r="E56" s="11">
        <v>0</v>
      </c>
      <c r="F56" s="11">
        <f t="shared" si="0"/>
        <v>0</v>
      </c>
      <c r="G56" s="17">
        <f t="shared" si="3"/>
        <v>11.79</v>
      </c>
      <c r="H56" s="17">
        <f t="shared" si="4"/>
        <v>0</v>
      </c>
      <c r="I56" s="17">
        <f t="shared" si="5"/>
        <v>0</v>
      </c>
      <c r="J56" s="18">
        <f t="shared" si="6"/>
        <v>0</v>
      </c>
      <c r="K56" s="18">
        <f t="shared" si="7"/>
        <v>0</v>
      </c>
      <c r="L56" s="18">
        <f t="shared" si="1"/>
        <v>11.79</v>
      </c>
      <c r="M56" s="18">
        <f t="shared" si="9"/>
        <v>0</v>
      </c>
      <c r="N56" s="18">
        <f t="shared" si="2"/>
        <v>11.79</v>
      </c>
      <c r="O56" s="8"/>
    </row>
    <row r="57" spans="1:15">
      <c r="A57" s="1" t="s">
        <v>47</v>
      </c>
      <c r="B57" s="11" t="s">
        <v>138</v>
      </c>
      <c r="C57" s="11">
        <v>0</v>
      </c>
      <c r="D57" s="11">
        <v>0</v>
      </c>
      <c r="E57" s="11">
        <v>0</v>
      </c>
      <c r="F57" s="11">
        <f t="shared" si="0"/>
        <v>0</v>
      </c>
      <c r="G57" s="17">
        <f t="shared" si="3"/>
        <v>11.79</v>
      </c>
      <c r="H57" s="17">
        <f t="shared" si="4"/>
        <v>0</v>
      </c>
      <c r="I57" s="17">
        <f t="shared" si="5"/>
        <v>0</v>
      </c>
      <c r="J57" s="18">
        <f t="shared" si="6"/>
        <v>0</v>
      </c>
      <c r="K57" s="18">
        <f t="shared" si="7"/>
        <v>0</v>
      </c>
      <c r="L57" s="18">
        <f t="shared" si="1"/>
        <v>11.79</v>
      </c>
      <c r="M57" s="18">
        <f t="shared" si="9"/>
        <v>0</v>
      </c>
      <c r="N57" s="18">
        <f t="shared" si="2"/>
        <v>11.79</v>
      </c>
      <c r="O57" s="8"/>
    </row>
    <row r="58" spans="1:15">
      <c r="A58" s="1" t="s">
        <v>48</v>
      </c>
      <c r="B58" s="11"/>
      <c r="C58" s="11">
        <v>1115000</v>
      </c>
      <c r="D58" s="11">
        <v>1118000</v>
      </c>
      <c r="E58" s="11">
        <v>0</v>
      </c>
      <c r="F58" s="11">
        <f t="shared" si="0"/>
        <v>3000</v>
      </c>
      <c r="G58" s="17">
        <f t="shared" si="3"/>
        <v>40.090000000000003</v>
      </c>
      <c r="H58" s="17">
        <f t="shared" si="4"/>
        <v>0</v>
      </c>
      <c r="I58" s="17">
        <f t="shared" si="5"/>
        <v>0</v>
      </c>
      <c r="J58" s="18">
        <f t="shared" si="6"/>
        <v>0</v>
      </c>
      <c r="K58" s="18">
        <f t="shared" si="7"/>
        <v>0</v>
      </c>
      <c r="L58" s="18">
        <f t="shared" si="1"/>
        <v>40.090000000000003</v>
      </c>
      <c r="M58" s="18">
        <f t="shared" si="9"/>
        <v>4.7383633093525184</v>
      </c>
      <c r="N58" s="18">
        <f t="shared" si="2"/>
        <v>44.828363309352525</v>
      </c>
      <c r="O58" s="8"/>
    </row>
    <row r="59" spans="1:15">
      <c r="A59" s="1" t="s">
        <v>49</v>
      </c>
      <c r="B59" s="11"/>
      <c r="C59" s="11">
        <v>879000</v>
      </c>
      <c r="D59" s="11">
        <v>888000</v>
      </c>
      <c r="E59" s="11">
        <v>0</v>
      </c>
      <c r="F59" s="11">
        <f t="shared" si="0"/>
        <v>9000</v>
      </c>
      <c r="G59" s="17">
        <f t="shared" si="3"/>
        <v>40.090000000000003</v>
      </c>
      <c r="H59" s="17">
        <f t="shared" si="4"/>
        <v>0</v>
      </c>
      <c r="I59" s="17">
        <f t="shared" si="5"/>
        <v>0</v>
      </c>
      <c r="J59" s="18">
        <f t="shared" si="6"/>
        <v>0</v>
      </c>
      <c r="K59" s="18">
        <f t="shared" si="7"/>
        <v>0</v>
      </c>
      <c r="L59" s="18">
        <f t="shared" si="1"/>
        <v>40.090000000000003</v>
      </c>
      <c r="M59" s="18">
        <f t="shared" si="9"/>
        <v>14.215089928057555</v>
      </c>
      <c r="N59" s="18">
        <f t="shared" si="2"/>
        <v>54.305089928057555</v>
      </c>
      <c r="O59" s="8"/>
    </row>
    <row r="60" spans="1:15">
      <c r="A60" s="1" t="s">
        <v>50</v>
      </c>
      <c r="B60" s="11"/>
      <c r="C60" s="11">
        <v>3482000</v>
      </c>
      <c r="D60" s="11">
        <v>3487000</v>
      </c>
      <c r="E60" s="11">
        <v>0</v>
      </c>
      <c r="F60" s="11">
        <f t="shared" si="0"/>
        <v>5000</v>
      </c>
      <c r="G60" s="17">
        <f t="shared" si="3"/>
        <v>40.090000000000003</v>
      </c>
      <c r="H60" s="17">
        <f t="shared" si="4"/>
        <v>0</v>
      </c>
      <c r="I60" s="17">
        <f t="shared" si="5"/>
        <v>0</v>
      </c>
      <c r="J60" s="18">
        <f t="shared" si="6"/>
        <v>0</v>
      </c>
      <c r="K60" s="18">
        <f t="shared" si="7"/>
        <v>0</v>
      </c>
      <c r="L60" s="18">
        <f t="shared" si="1"/>
        <v>40.090000000000003</v>
      </c>
      <c r="M60" s="18">
        <f t="shared" si="9"/>
        <v>7.8972721822541976</v>
      </c>
      <c r="N60" s="18">
        <f t="shared" si="2"/>
        <v>47.987272182254202</v>
      </c>
      <c r="O60" s="8"/>
    </row>
    <row r="61" spans="1:15">
      <c r="A61" s="1" t="s">
        <v>51</v>
      </c>
      <c r="B61" s="11" t="s">
        <v>138</v>
      </c>
      <c r="C61" s="11">
        <v>0</v>
      </c>
      <c r="D61" s="11">
        <v>0</v>
      </c>
      <c r="E61" s="11">
        <v>0</v>
      </c>
      <c r="F61" s="11">
        <f t="shared" si="0"/>
        <v>0</v>
      </c>
      <c r="G61" s="17">
        <f t="shared" si="3"/>
        <v>11.79</v>
      </c>
      <c r="H61" s="17">
        <f t="shared" si="4"/>
        <v>0</v>
      </c>
      <c r="I61" s="17">
        <f t="shared" si="5"/>
        <v>0</v>
      </c>
      <c r="J61" s="18">
        <f t="shared" si="6"/>
        <v>0</v>
      </c>
      <c r="K61" s="18">
        <f t="shared" si="7"/>
        <v>0</v>
      </c>
      <c r="L61" s="18">
        <f t="shared" si="1"/>
        <v>11.79</v>
      </c>
      <c r="M61" s="18">
        <f t="shared" si="9"/>
        <v>0</v>
      </c>
      <c r="N61" s="18">
        <f t="shared" si="2"/>
        <v>11.79</v>
      </c>
      <c r="O61" s="8"/>
    </row>
    <row r="62" spans="1:15">
      <c r="A62" s="1" t="s">
        <v>52</v>
      </c>
      <c r="B62" s="11"/>
      <c r="C62" s="11">
        <v>1701000</v>
      </c>
      <c r="D62" s="11">
        <v>1705000</v>
      </c>
      <c r="E62" s="11">
        <v>0</v>
      </c>
      <c r="F62" s="11">
        <f t="shared" si="0"/>
        <v>4000</v>
      </c>
      <c r="G62" s="17">
        <f t="shared" si="3"/>
        <v>40.090000000000003</v>
      </c>
      <c r="H62" s="17">
        <f t="shared" si="4"/>
        <v>0</v>
      </c>
      <c r="I62" s="17">
        <f t="shared" si="5"/>
        <v>0</v>
      </c>
      <c r="J62" s="18">
        <f t="shared" si="6"/>
        <v>0</v>
      </c>
      <c r="K62" s="18">
        <f t="shared" si="7"/>
        <v>0</v>
      </c>
      <c r="L62" s="18">
        <f t="shared" si="1"/>
        <v>40.090000000000003</v>
      </c>
      <c r="M62" s="18">
        <f t="shared" si="9"/>
        <v>6.3178177458033575</v>
      </c>
      <c r="N62" s="18">
        <f t="shared" si="2"/>
        <v>46.407817745803364</v>
      </c>
      <c r="O62" s="8"/>
    </row>
    <row r="63" spans="1:15">
      <c r="A63" s="1" t="s">
        <v>53</v>
      </c>
      <c r="B63" s="11"/>
      <c r="C63" s="11">
        <v>2304000</v>
      </c>
      <c r="D63" s="11">
        <v>2316000</v>
      </c>
      <c r="E63" s="11">
        <v>0</v>
      </c>
      <c r="F63" s="11">
        <f t="shared" si="0"/>
        <v>12000</v>
      </c>
      <c r="G63" s="17">
        <f t="shared" si="3"/>
        <v>40.090000000000003</v>
      </c>
      <c r="H63" s="17">
        <f t="shared" si="4"/>
        <v>4.3600000000000003</v>
      </c>
      <c r="I63" s="17">
        <f t="shared" si="5"/>
        <v>0</v>
      </c>
      <c r="J63" s="18">
        <f t="shared" si="6"/>
        <v>0</v>
      </c>
      <c r="K63" s="18">
        <f t="shared" si="7"/>
        <v>0</v>
      </c>
      <c r="L63" s="18">
        <f t="shared" si="1"/>
        <v>44.45</v>
      </c>
      <c r="M63" s="18">
        <f t="shared" si="9"/>
        <v>18.953453237410073</v>
      </c>
      <c r="N63" s="18">
        <f t="shared" si="2"/>
        <v>63.403453237410076</v>
      </c>
      <c r="O63" s="8"/>
    </row>
    <row r="64" spans="1:15">
      <c r="A64" s="1" t="s">
        <v>54</v>
      </c>
      <c r="B64" s="11"/>
      <c r="C64" s="11">
        <v>3090000</v>
      </c>
      <c r="D64" s="11">
        <v>3332000</v>
      </c>
      <c r="E64" s="11">
        <v>0</v>
      </c>
      <c r="F64" s="11">
        <f t="shared" si="0"/>
        <v>242000</v>
      </c>
      <c r="G64" s="17">
        <f t="shared" si="3"/>
        <v>40.090000000000003</v>
      </c>
      <c r="H64" s="17">
        <f t="shared" si="4"/>
        <v>21.8</v>
      </c>
      <c r="I64" s="17">
        <f t="shared" si="5"/>
        <v>25.299999999999997</v>
      </c>
      <c r="J64" s="18">
        <f t="shared" si="6"/>
        <v>29.5</v>
      </c>
      <c r="K64" s="18">
        <f t="shared" si="7"/>
        <v>690.84</v>
      </c>
      <c r="L64" s="18">
        <f t="shared" si="1"/>
        <v>807.53</v>
      </c>
      <c r="M64" s="18">
        <f t="shared" si="9"/>
        <v>382.2279736211031</v>
      </c>
      <c r="N64" s="18">
        <f t="shared" si="2"/>
        <v>1189.757973621103</v>
      </c>
      <c r="O64" s="8"/>
    </row>
    <row r="65" spans="1:15">
      <c r="A65" s="1" t="s">
        <v>55</v>
      </c>
      <c r="B65" s="11" t="s">
        <v>138</v>
      </c>
      <c r="C65" s="11">
        <v>0</v>
      </c>
      <c r="D65" s="11">
        <v>0</v>
      </c>
      <c r="E65" s="11">
        <v>0</v>
      </c>
      <c r="F65" s="11">
        <f t="shared" si="0"/>
        <v>0</v>
      </c>
      <c r="G65" s="17">
        <f t="shared" si="3"/>
        <v>11.79</v>
      </c>
      <c r="H65" s="17">
        <f t="shared" si="4"/>
        <v>0</v>
      </c>
      <c r="I65" s="17">
        <f t="shared" si="5"/>
        <v>0</v>
      </c>
      <c r="J65" s="18">
        <f t="shared" si="6"/>
        <v>0</v>
      </c>
      <c r="K65" s="18">
        <f t="shared" si="7"/>
        <v>0</v>
      </c>
      <c r="L65" s="18">
        <f t="shared" si="1"/>
        <v>11.79</v>
      </c>
      <c r="M65" s="18">
        <f t="shared" si="9"/>
        <v>0</v>
      </c>
      <c r="N65" s="18">
        <f t="shared" si="2"/>
        <v>11.79</v>
      </c>
      <c r="O65" s="8"/>
    </row>
    <row r="66" spans="1:15">
      <c r="A66" s="1" t="s">
        <v>56</v>
      </c>
      <c r="B66" s="11"/>
      <c r="C66" s="11">
        <v>1495000</v>
      </c>
      <c r="D66" s="11">
        <v>1509000</v>
      </c>
      <c r="E66" s="11">
        <v>0</v>
      </c>
      <c r="F66" s="11">
        <f t="shared" si="0"/>
        <v>14000</v>
      </c>
      <c r="G66" s="17">
        <f t="shared" si="3"/>
        <v>40.090000000000003</v>
      </c>
      <c r="H66" s="17">
        <f t="shared" si="4"/>
        <v>8.7200000000000006</v>
      </c>
      <c r="I66" s="17">
        <f t="shared" si="5"/>
        <v>0</v>
      </c>
      <c r="J66" s="18">
        <f t="shared" si="6"/>
        <v>0</v>
      </c>
      <c r="K66" s="18">
        <f t="shared" si="7"/>
        <v>0</v>
      </c>
      <c r="L66" s="18">
        <f t="shared" si="1"/>
        <v>48.81</v>
      </c>
      <c r="M66" s="18">
        <f t="shared" si="9"/>
        <v>22.112362110311754</v>
      </c>
      <c r="N66" s="18">
        <f t="shared" si="2"/>
        <v>70.922362110311752</v>
      </c>
      <c r="O66" s="8"/>
    </row>
    <row r="67" spans="1:15">
      <c r="A67" s="1" t="s">
        <v>57</v>
      </c>
      <c r="B67" s="11"/>
      <c r="C67" s="11">
        <v>1610000</v>
      </c>
      <c r="D67" s="11">
        <v>1615000</v>
      </c>
      <c r="E67" s="11">
        <v>0</v>
      </c>
      <c r="F67" s="11">
        <f t="shared" si="0"/>
        <v>5000</v>
      </c>
      <c r="G67" s="17">
        <f t="shared" si="3"/>
        <v>40.090000000000003</v>
      </c>
      <c r="H67" s="17">
        <f t="shared" si="4"/>
        <v>0</v>
      </c>
      <c r="I67" s="17">
        <f t="shared" si="5"/>
        <v>0</v>
      </c>
      <c r="J67" s="18">
        <f t="shared" si="6"/>
        <v>0</v>
      </c>
      <c r="K67" s="18">
        <f t="shared" si="7"/>
        <v>0</v>
      </c>
      <c r="L67" s="18">
        <f t="shared" si="1"/>
        <v>40.090000000000003</v>
      </c>
      <c r="M67" s="18">
        <f t="shared" si="9"/>
        <v>7.8972721822541976</v>
      </c>
      <c r="N67" s="18">
        <f t="shared" si="2"/>
        <v>47.987272182254202</v>
      </c>
      <c r="O67" s="8"/>
    </row>
    <row r="68" spans="1:15">
      <c r="A68" s="1" t="s">
        <v>58</v>
      </c>
      <c r="B68" s="11" t="s">
        <v>138</v>
      </c>
      <c r="C68" s="11">
        <v>0</v>
      </c>
      <c r="D68" s="11">
        <v>0</v>
      </c>
      <c r="E68" s="11">
        <v>0</v>
      </c>
      <c r="F68" s="11">
        <f t="shared" si="0"/>
        <v>0</v>
      </c>
      <c r="G68" s="17">
        <f t="shared" si="3"/>
        <v>11.79</v>
      </c>
      <c r="H68" s="17">
        <f t="shared" si="4"/>
        <v>0</v>
      </c>
      <c r="I68" s="17">
        <f t="shared" si="5"/>
        <v>0</v>
      </c>
      <c r="J68" s="18">
        <f t="shared" si="6"/>
        <v>0</v>
      </c>
      <c r="K68" s="18">
        <f t="shared" si="7"/>
        <v>0</v>
      </c>
      <c r="L68" s="18">
        <f t="shared" si="1"/>
        <v>11.79</v>
      </c>
      <c r="M68" s="18">
        <f t="shared" si="9"/>
        <v>0</v>
      </c>
      <c r="N68" s="18">
        <f t="shared" si="2"/>
        <v>11.79</v>
      </c>
      <c r="O68" s="8"/>
    </row>
    <row r="69" spans="1:15">
      <c r="A69" s="1" t="s">
        <v>59</v>
      </c>
      <c r="B69" s="11" t="s">
        <v>138</v>
      </c>
      <c r="C69" s="11">
        <v>0</v>
      </c>
      <c r="D69" s="11">
        <v>0</v>
      </c>
      <c r="E69" s="11">
        <v>0</v>
      </c>
      <c r="F69" s="11">
        <f t="shared" si="0"/>
        <v>0</v>
      </c>
      <c r="G69" s="17">
        <f t="shared" si="3"/>
        <v>11.79</v>
      </c>
      <c r="H69" s="17">
        <f t="shared" si="4"/>
        <v>0</v>
      </c>
      <c r="I69" s="17">
        <f t="shared" si="5"/>
        <v>0</v>
      </c>
      <c r="J69" s="18">
        <f t="shared" si="6"/>
        <v>0</v>
      </c>
      <c r="K69" s="18">
        <f t="shared" si="7"/>
        <v>0</v>
      </c>
      <c r="L69" s="18">
        <f t="shared" si="1"/>
        <v>11.79</v>
      </c>
      <c r="M69" s="18">
        <f t="shared" si="9"/>
        <v>0</v>
      </c>
      <c r="N69" s="18">
        <f t="shared" si="2"/>
        <v>11.79</v>
      </c>
      <c r="O69" s="8"/>
    </row>
    <row r="70" spans="1:15">
      <c r="A70" s="1" t="s">
        <v>60</v>
      </c>
      <c r="B70" s="11" t="s">
        <v>138</v>
      </c>
      <c r="C70" s="11">
        <v>0</v>
      </c>
      <c r="D70" s="11">
        <v>0</v>
      </c>
      <c r="E70" s="11">
        <v>0</v>
      </c>
      <c r="F70" s="11">
        <f t="shared" si="0"/>
        <v>0</v>
      </c>
      <c r="G70" s="17">
        <f t="shared" si="3"/>
        <v>11.79</v>
      </c>
      <c r="H70" s="17">
        <f t="shared" si="4"/>
        <v>0</v>
      </c>
      <c r="I70" s="17">
        <f t="shared" si="5"/>
        <v>0</v>
      </c>
      <c r="J70" s="18">
        <f t="shared" si="6"/>
        <v>0</v>
      </c>
      <c r="K70" s="18">
        <f t="shared" si="7"/>
        <v>0</v>
      </c>
      <c r="L70" s="18">
        <f t="shared" si="1"/>
        <v>11.79</v>
      </c>
      <c r="M70" s="18">
        <f t="shared" si="9"/>
        <v>0</v>
      </c>
      <c r="N70" s="18">
        <f t="shared" si="2"/>
        <v>11.79</v>
      </c>
      <c r="O70" s="8"/>
    </row>
    <row r="71" spans="1:15">
      <c r="A71" s="1" t="s">
        <v>61</v>
      </c>
      <c r="B71" s="11"/>
      <c r="C71" s="11">
        <v>1333000</v>
      </c>
      <c r="D71" s="11">
        <v>1338000</v>
      </c>
      <c r="E71" s="11">
        <v>0</v>
      </c>
      <c r="F71" s="11">
        <f t="shared" si="0"/>
        <v>5000</v>
      </c>
      <c r="G71" s="17">
        <f t="shared" si="3"/>
        <v>40.090000000000003</v>
      </c>
      <c r="H71" s="17">
        <f t="shared" si="4"/>
        <v>0</v>
      </c>
      <c r="I71" s="17">
        <f t="shared" si="5"/>
        <v>0</v>
      </c>
      <c r="J71" s="18">
        <f t="shared" si="6"/>
        <v>0</v>
      </c>
      <c r="K71" s="18">
        <f t="shared" si="7"/>
        <v>0</v>
      </c>
      <c r="L71" s="18">
        <f t="shared" si="1"/>
        <v>40.090000000000003</v>
      </c>
      <c r="M71" s="18">
        <f t="shared" si="9"/>
        <v>7.8972721822541976</v>
      </c>
      <c r="N71" s="18">
        <f t="shared" si="2"/>
        <v>47.987272182254202</v>
      </c>
      <c r="O71" s="8"/>
    </row>
    <row r="72" spans="1:15">
      <c r="A72" s="1" t="s">
        <v>62</v>
      </c>
      <c r="B72" s="11"/>
      <c r="C72" s="11">
        <v>1890000</v>
      </c>
      <c r="D72" s="11">
        <v>1895000</v>
      </c>
      <c r="E72" s="11">
        <v>0</v>
      </c>
      <c r="F72" s="11">
        <f t="shared" si="0"/>
        <v>5000</v>
      </c>
      <c r="G72" s="17">
        <f t="shared" si="3"/>
        <v>40.090000000000003</v>
      </c>
      <c r="H72" s="17">
        <f t="shared" si="4"/>
        <v>0</v>
      </c>
      <c r="I72" s="17">
        <f t="shared" si="5"/>
        <v>0</v>
      </c>
      <c r="J72" s="18">
        <f t="shared" si="6"/>
        <v>0</v>
      </c>
      <c r="K72" s="18">
        <f t="shared" si="7"/>
        <v>0</v>
      </c>
      <c r="L72" s="18">
        <f t="shared" si="1"/>
        <v>40.090000000000003</v>
      </c>
      <c r="M72" s="18">
        <f t="shared" si="9"/>
        <v>7.8972721822541976</v>
      </c>
      <c r="N72" s="18">
        <f t="shared" si="2"/>
        <v>47.987272182254202</v>
      </c>
      <c r="O72" s="8"/>
    </row>
    <row r="73" spans="1:15">
      <c r="A73" s="1" t="s">
        <v>63</v>
      </c>
      <c r="B73" s="11" t="s">
        <v>138</v>
      </c>
      <c r="C73" s="11">
        <v>0</v>
      </c>
      <c r="D73" s="11">
        <v>0</v>
      </c>
      <c r="E73" s="11">
        <v>0</v>
      </c>
      <c r="F73" s="11">
        <f t="shared" si="0"/>
        <v>0</v>
      </c>
      <c r="G73" s="17">
        <f t="shared" si="3"/>
        <v>11.79</v>
      </c>
      <c r="H73" s="17">
        <f t="shared" si="4"/>
        <v>0</v>
      </c>
      <c r="I73" s="17">
        <f t="shared" si="5"/>
        <v>0</v>
      </c>
      <c r="J73" s="18">
        <f t="shared" si="6"/>
        <v>0</v>
      </c>
      <c r="K73" s="18">
        <f t="shared" si="7"/>
        <v>0</v>
      </c>
      <c r="L73" s="18">
        <f t="shared" si="1"/>
        <v>11.79</v>
      </c>
      <c r="M73" s="18">
        <f t="shared" si="9"/>
        <v>0</v>
      </c>
      <c r="N73" s="18">
        <f t="shared" si="2"/>
        <v>11.79</v>
      </c>
      <c r="O73" s="8"/>
    </row>
    <row r="74" spans="1:15">
      <c r="A74" s="1" t="s">
        <v>64</v>
      </c>
      <c r="B74" s="11"/>
      <c r="C74" s="11">
        <v>4896000</v>
      </c>
      <c r="D74" s="11">
        <v>4906000</v>
      </c>
      <c r="E74" s="11">
        <v>0</v>
      </c>
      <c r="F74" s="11">
        <f t="shared" si="0"/>
        <v>10000</v>
      </c>
      <c r="G74" s="17">
        <f t="shared" si="3"/>
        <v>40.090000000000003</v>
      </c>
      <c r="H74" s="17">
        <f t="shared" si="4"/>
        <v>0</v>
      </c>
      <c r="I74" s="17">
        <f t="shared" si="5"/>
        <v>0</v>
      </c>
      <c r="J74" s="18">
        <f t="shared" si="6"/>
        <v>0</v>
      </c>
      <c r="K74" s="18">
        <f t="shared" si="7"/>
        <v>0</v>
      </c>
      <c r="L74" s="18">
        <f t="shared" si="1"/>
        <v>40.090000000000003</v>
      </c>
      <c r="M74" s="18">
        <f t="shared" si="9"/>
        <v>15.794544364508395</v>
      </c>
      <c r="N74" s="18">
        <f t="shared" si="2"/>
        <v>55.8845443645084</v>
      </c>
      <c r="O74" s="8"/>
    </row>
    <row r="75" spans="1:15">
      <c r="A75" s="1" t="s">
        <v>65</v>
      </c>
      <c r="B75" s="11"/>
      <c r="C75" s="11">
        <v>6623000</v>
      </c>
      <c r="D75" s="11">
        <v>6641000</v>
      </c>
      <c r="E75" s="11">
        <v>0</v>
      </c>
      <c r="F75" s="11">
        <f t="shared" ref="F75:F136" si="10">($D75-$C75)+$E75</f>
        <v>18000</v>
      </c>
      <c r="G75" s="17">
        <f t="shared" si="3"/>
        <v>40.090000000000003</v>
      </c>
      <c r="H75" s="17">
        <f t="shared" si="4"/>
        <v>17.440000000000001</v>
      </c>
      <c r="I75" s="17">
        <f t="shared" si="5"/>
        <v>0</v>
      </c>
      <c r="J75" s="18">
        <f t="shared" si="6"/>
        <v>0</v>
      </c>
      <c r="K75" s="18">
        <f t="shared" si="7"/>
        <v>0</v>
      </c>
      <c r="L75" s="18">
        <f t="shared" si="1"/>
        <v>57.53</v>
      </c>
      <c r="M75" s="18">
        <f t="shared" si="9"/>
        <v>28.43017985611511</v>
      </c>
      <c r="N75" s="18">
        <f t="shared" si="2"/>
        <v>85.960179856115104</v>
      </c>
      <c r="O75" s="8"/>
    </row>
    <row r="76" spans="1:15">
      <c r="A76" s="1" t="s">
        <v>66</v>
      </c>
      <c r="B76" s="11"/>
      <c r="C76" s="11">
        <v>9207000</v>
      </c>
      <c r="D76" s="11">
        <v>9214000</v>
      </c>
      <c r="E76" s="11">
        <v>0</v>
      </c>
      <c r="F76" s="11">
        <f t="shared" si="10"/>
        <v>7000</v>
      </c>
      <c r="G76" s="17">
        <f t="shared" si="3"/>
        <v>40.090000000000003</v>
      </c>
      <c r="H76" s="17">
        <f t="shared" si="4"/>
        <v>0</v>
      </c>
      <c r="I76" s="17">
        <f t="shared" si="5"/>
        <v>0</v>
      </c>
      <c r="J76" s="18">
        <f t="shared" si="6"/>
        <v>0</v>
      </c>
      <c r="K76" s="18">
        <f t="shared" si="7"/>
        <v>0</v>
      </c>
      <c r="L76" s="18">
        <f t="shared" ref="L76:L136" si="11">SUM(G76:K76)</f>
        <v>40.090000000000003</v>
      </c>
      <c r="M76" s="18">
        <f t="shared" si="9"/>
        <v>11.056181055155877</v>
      </c>
      <c r="N76" s="18">
        <f t="shared" ref="N76:N136" si="12">SUM(L76:M76)</f>
        <v>51.146181055155878</v>
      </c>
      <c r="O76" s="8"/>
    </row>
    <row r="77" spans="1:15">
      <c r="A77" s="1" t="s">
        <v>67</v>
      </c>
      <c r="B77" s="11" t="s">
        <v>138</v>
      </c>
      <c r="C77" s="11">
        <v>0</v>
      </c>
      <c r="D77" s="11">
        <v>0</v>
      </c>
      <c r="E77" s="11">
        <v>0</v>
      </c>
      <c r="F77" s="11">
        <f t="shared" si="10"/>
        <v>0</v>
      </c>
      <c r="G77" s="17">
        <f t="shared" si="3"/>
        <v>11.79</v>
      </c>
      <c r="H77" s="17">
        <f t="shared" si="4"/>
        <v>0</v>
      </c>
      <c r="I77" s="17">
        <f t="shared" si="5"/>
        <v>0</v>
      </c>
      <c r="J77" s="18">
        <f t="shared" si="6"/>
        <v>0</v>
      </c>
      <c r="K77" s="18">
        <f t="shared" si="7"/>
        <v>0</v>
      </c>
      <c r="L77" s="18">
        <f t="shared" si="11"/>
        <v>11.79</v>
      </c>
      <c r="M77" s="18">
        <f t="shared" si="9"/>
        <v>0</v>
      </c>
      <c r="N77" s="18">
        <f t="shared" si="12"/>
        <v>11.79</v>
      </c>
      <c r="O77" s="8"/>
    </row>
    <row r="78" spans="1:15">
      <c r="A78" s="1" t="s">
        <v>68</v>
      </c>
      <c r="B78" s="11"/>
      <c r="C78" s="11">
        <v>3559000</v>
      </c>
      <c r="D78" s="11">
        <v>3573000</v>
      </c>
      <c r="E78" s="11">
        <v>0</v>
      </c>
      <c r="F78" s="11">
        <f t="shared" si="10"/>
        <v>14000</v>
      </c>
      <c r="G78" s="17">
        <f t="shared" si="3"/>
        <v>40.090000000000003</v>
      </c>
      <c r="H78" s="17">
        <f t="shared" si="4"/>
        <v>8.7200000000000006</v>
      </c>
      <c r="I78" s="17">
        <f t="shared" si="5"/>
        <v>0</v>
      </c>
      <c r="J78" s="18">
        <f t="shared" si="6"/>
        <v>0</v>
      </c>
      <c r="K78" s="18">
        <f t="shared" si="7"/>
        <v>0</v>
      </c>
      <c r="L78" s="18">
        <f t="shared" si="11"/>
        <v>48.81</v>
      </c>
      <c r="M78" s="18">
        <f t="shared" si="9"/>
        <v>22.112362110311754</v>
      </c>
      <c r="N78" s="18">
        <f t="shared" si="12"/>
        <v>70.922362110311752</v>
      </c>
      <c r="O78" s="8"/>
    </row>
    <row r="79" spans="1:15">
      <c r="A79" s="1" t="s">
        <v>69</v>
      </c>
      <c r="B79" s="11"/>
      <c r="C79" s="11">
        <v>2280000</v>
      </c>
      <c r="D79" s="11">
        <v>2291000</v>
      </c>
      <c r="E79" s="11">
        <v>0</v>
      </c>
      <c r="F79" s="11">
        <f t="shared" si="10"/>
        <v>11000</v>
      </c>
      <c r="G79" s="17">
        <f t="shared" si="3"/>
        <v>40.090000000000003</v>
      </c>
      <c r="H79" s="17">
        <f t="shared" si="4"/>
        <v>2.1800000000000002</v>
      </c>
      <c r="I79" s="17">
        <f t="shared" si="5"/>
        <v>0</v>
      </c>
      <c r="J79" s="18">
        <f t="shared" si="6"/>
        <v>0</v>
      </c>
      <c r="K79" s="18">
        <f t="shared" si="7"/>
        <v>0</v>
      </c>
      <c r="L79" s="18">
        <f t="shared" si="11"/>
        <v>42.27</v>
      </c>
      <c r="M79" s="18">
        <f t="shared" si="9"/>
        <v>17.373998800959232</v>
      </c>
      <c r="N79" s="18">
        <f t="shared" si="12"/>
        <v>59.643998800959238</v>
      </c>
      <c r="O79" s="8"/>
    </row>
    <row r="80" spans="1:15">
      <c r="A80" s="1" t="s">
        <v>70</v>
      </c>
      <c r="B80" s="11"/>
      <c r="C80" s="11">
        <v>1366000</v>
      </c>
      <c r="D80" s="11">
        <v>1398000</v>
      </c>
      <c r="E80" s="11">
        <v>0</v>
      </c>
      <c r="F80" s="11">
        <f t="shared" si="10"/>
        <v>32000</v>
      </c>
      <c r="G80" s="17">
        <f t="shared" si="3"/>
        <v>40.090000000000003</v>
      </c>
      <c r="H80" s="17">
        <f t="shared" si="4"/>
        <v>21.8</v>
      </c>
      <c r="I80" s="17">
        <f t="shared" si="5"/>
        <v>25.299999999999997</v>
      </c>
      <c r="J80" s="18">
        <f t="shared" si="6"/>
        <v>5.9</v>
      </c>
      <c r="K80" s="18">
        <f t="shared" si="7"/>
        <v>0</v>
      </c>
      <c r="L80" s="18">
        <f t="shared" si="11"/>
        <v>93.09</v>
      </c>
      <c r="M80" s="18">
        <f t="shared" si="9"/>
        <v>50.54254196642686</v>
      </c>
      <c r="N80" s="18">
        <f t="shared" si="12"/>
        <v>143.63254196642686</v>
      </c>
      <c r="O80" s="8"/>
    </row>
    <row r="81" spans="1:15">
      <c r="A81" s="1" t="s">
        <v>71</v>
      </c>
      <c r="B81" s="11" t="s">
        <v>138</v>
      </c>
      <c r="C81" s="11">
        <v>0</v>
      </c>
      <c r="D81" s="11">
        <v>0</v>
      </c>
      <c r="E81" s="11">
        <v>0</v>
      </c>
      <c r="F81" s="11">
        <f t="shared" si="10"/>
        <v>0</v>
      </c>
      <c r="G81" s="17">
        <f t="shared" ref="G81:G136" si="13">IF(OR($F81&gt;0,$B81=""),40.09,11.79)</f>
        <v>11.79</v>
      </c>
      <c r="H81" s="17">
        <f t="shared" ref="H81:H136" si="14">IF(AND((($F81-10000)&gt;=0),(($F81-10000)&lt;= 10000)),($F81-10000)/1000*2.18,IF(($F81-10000)&gt;=10000,2.18*10,0))</f>
        <v>0</v>
      </c>
      <c r="I81" s="17">
        <f t="shared" ref="I81:I136" si="15">IF(AND((($F81-20000)&gt;=0),(($F81-20000)&lt;=10000)),($F81-20000)/1000*2.53,IF(($F81-20000)&gt;=10000,2.53*10,0))</f>
        <v>0</v>
      </c>
      <c r="J81" s="18">
        <f t="shared" ref="J81:J136" si="16">IF(AND((($F81-30000)&gt;=0),(($F81-30000)&lt;=10000)),($F81-30000)/1000*2.95,IF(($F81-30000)&gt;=10000,2.95*10,0))</f>
        <v>0</v>
      </c>
      <c r="K81" s="18">
        <f t="shared" ref="K81:K136" si="17">IF((($F81-40000)&gt;=0),($F81-40000)/1000*3.42,0)</f>
        <v>0</v>
      </c>
      <c r="L81" s="18">
        <f t="shared" si="11"/>
        <v>11.79</v>
      </c>
      <c r="M81" s="18">
        <f t="shared" ref="M81:M112" si="18">IF(   $H$5=1,    IF((F81-$H$6)&gt;0,((F81-$H$6)/$N$7)*$E$8,0),   IF(F81&gt;0,(F81/$N$4)*$E$8,0)    )</f>
        <v>0</v>
      </c>
      <c r="N81" s="18">
        <f t="shared" si="12"/>
        <v>11.79</v>
      </c>
      <c r="O81" s="8"/>
    </row>
    <row r="82" spans="1:15">
      <c r="A82" s="1" t="s">
        <v>72</v>
      </c>
      <c r="B82" s="11"/>
      <c r="C82" s="11">
        <v>96000</v>
      </c>
      <c r="D82" s="11">
        <v>118000</v>
      </c>
      <c r="E82" s="11">
        <v>0</v>
      </c>
      <c r="F82" s="11">
        <f t="shared" si="10"/>
        <v>22000</v>
      </c>
      <c r="G82" s="17">
        <f t="shared" si="13"/>
        <v>40.090000000000003</v>
      </c>
      <c r="H82" s="17">
        <f t="shared" si="14"/>
        <v>21.8</v>
      </c>
      <c r="I82" s="17">
        <f t="shared" si="15"/>
        <v>5.0599999999999996</v>
      </c>
      <c r="J82" s="18">
        <f t="shared" si="16"/>
        <v>0</v>
      </c>
      <c r="K82" s="18">
        <f t="shared" si="17"/>
        <v>0</v>
      </c>
      <c r="L82" s="18">
        <f t="shared" si="11"/>
        <v>66.95</v>
      </c>
      <c r="M82" s="18">
        <f t="shared" si="18"/>
        <v>34.747997601918463</v>
      </c>
      <c r="N82" s="18">
        <f t="shared" si="12"/>
        <v>101.69799760191847</v>
      </c>
      <c r="O82" s="8" t="s">
        <v>139</v>
      </c>
    </row>
    <row r="83" spans="1:15">
      <c r="A83" s="1" t="s">
        <v>73</v>
      </c>
      <c r="B83" s="11"/>
      <c r="C83" s="11">
        <v>1918000</v>
      </c>
      <c r="D83" s="11">
        <v>1924000</v>
      </c>
      <c r="E83" s="11">
        <v>0</v>
      </c>
      <c r="F83" s="11">
        <f t="shared" si="10"/>
        <v>6000</v>
      </c>
      <c r="G83" s="17">
        <f t="shared" si="13"/>
        <v>40.090000000000003</v>
      </c>
      <c r="H83" s="17">
        <f t="shared" si="14"/>
        <v>0</v>
      </c>
      <c r="I83" s="17">
        <f t="shared" si="15"/>
        <v>0</v>
      </c>
      <c r="J83" s="18">
        <f t="shared" si="16"/>
        <v>0</v>
      </c>
      <c r="K83" s="18">
        <f t="shared" si="17"/>
        <v>0</v>
      </c>
      <c r="L83" s="18">
        <f t="shared" si="11"/>
        <v>40.090000000000003</v>
      </c>
      <c r="M83" s="18">
        <f t="shared" si="18"/>
        <v>9.4767266187050367</v>
      </c>
      <c r="N83" s="18">
        <f t="shared" si="12"/>
        <v>49.56672661870504</v>
      </c>
      <c r="O83" s="8"/>
    </row>
    <row r="84" spans="1:15">
      <c r="A84" s="1" t="s">
        <v>74</v>
      </c>
      <c r="B84" s="11" t="s">
        <v>138</v>
      </c>
      <c r="C84" s="11">
        <v>0</v>
      </c>
      <c r="D84" s="11">
        <v>0</v>
      </c>
      <c r="E84" s="11">
        <v>0</v>
      </c>
      <c r="F84" s="11">
        <f t="shared" si="10"/>
        <v>0</v>
      </c>
      <c r="G84" s="17">
        <f t="shared" si="13"/>
        <v>11.79</v>
      </c>
      <c r="H84" s="17">
        <f t="shared" si="14"/>
        <v>0</v>
      </c>
      <c r="I84" s="17">
        <f t="shared" si="15"/>
        <v>0</v>
      </c>
      <c r="J84" s="18">
        <f t="shared" si="16"/>
        <v>0</v>
      </c>
      <c r="K84" s="18">
        <f t="shared" si="17"/>
        <v>0</v>
      </c>
      <c r="L84" s="18">
        <f t="shared" si="11"/>
        <v>11.79</v>
      </c>
      <c r="M84" s="18">
        <f t="shared" si="18"/>
        <v>0</v>
      </c>
      <c r="N84" s="18">
        <f t="shared" si="12"/>
        <v>11.79</v>
      </c>
      <c r="O84" s="8"/>
    </row>
    <row r="85" spans="1:15">
      <c r="A85" s="1" t="s">
        <v>75</v>
      </c>
      <c r="B85" s="11"/>
      <c r="C85" s="11">
        <v>719000</v>
      </c>
      <c r="D85" s="11">
        <v>721000</v>
      </c>
      <c r="E85" s="11">
        <v>0</v>
      </c>
      <c r="F85" s="11">
        <f t="shared" si="10"/>
        <v>2000</v>
      </c>
      <c r="G85" s="17">
        <f t="shared" si="13"/>
        <v>40.090000000000003</v>
      </c>
      <c r="H85" s="17">
        <f t="shared" si="14"/>
        <v>0</v>
      </c>
      <c r="I85" s="17">
        <f t="shared" si="15"/>
        <v>0</v>
      </c>
      <c r="J85" s="18">
        <f t="shared" si="16"/>
        <v>0</v>
      </c>
      <c r="K85" s="18">
        <f t="shared" si="17"/>
        <v>0</v>
      </c>
      <c r="L85" s="18">
        <f t="shared" si="11"/>
        <v>40.090000000000003</v>
      </c>
      <c r="M85" s="18">
        <f t="shared" si="18"/>
        <v>3.1589088729016788</v>
      </c>
      <c r="N85" s="18">
        <f t="shared" si="12"/>
        <v>43.24890887290168</v>
      </c>
      <c r="O85" s="8"/>
    </row>
    <row r="86" spans="1:15">
      <c r="A86" s="1" t="s">
        <v>76</v>
      </c>
      <c r="B86" s="11"/>
      <c r="C86" s="11">
        <v>111000</v>
      </c>
      <c r="D86" s="11">
        <v>122000</v>
      </c>
      <c r="E86" s="11">
        <v>0</v>
      </c>
      <c r="F86" s="11">
        <f t="shared" si="10"/>
        <v>11000</v>
      </c>
      <c r="G86" s="17">
        <f t="shared" si="13"/>
        <v>40.090000000000003</v>
      </c>
      <c r="H86" s="17">
        <f t="shared" si="14"/>
        <v>2.1800000000000002</v>
      </c>
      <c r="I86" s="17">
        <f t="shared" si="15"/>
        <v>0</v>
      </c>
      <c r="J86" s="18">
        <f t="shared" si="16"/>
        <v>0</v>
      </c>
      <c r="K86" s="18">
        <f t="shared" si="17"/>
        <v>0</v>
      </c>
      <c r="L86" s="18">
        <f t="shared" si="11"/>
        <v>42.27</v>
      </c>
      <c r="M86" s="18">
        <f t="shared" si="18"/>
        <v>17.373998800959232</v>
      </c>
      <c r="N86" s="18">
        <f t="shared" si="12"/>
        <v>59.643998800959238</v>
      </c>
      <c r="O86" s="8" t="s">
        <v>139</v>
      </c>
    </row>
    <row r="87" spans="1:15">
      <c r="A87" s="1" t="s">
        <v>77</v>
      </c>
      <c r="B87" s="11"/>
      <c r="C87" s="11">
        <v>86000</v>
      </c>
      <c r="D87" s="11">
        <v>93000</v>
      </c>
      <c r="E87" s="11">
        <v>0</v>
      </c>
      <c r="F87" s="11">
        <f t="shared" si="10"/>
        <v>7000</v>
      </c>
      <c r="G87" s="17">
        <f t="shared" si="13"/>
        <v>40.090000000000003</v>
      </c>
      <c r="H87" s="17">
        <f t="shared" si="14"/>
        <v>0</v>
      </c>
      <c r="I87" s="17">
        <f t="shared" si="15"/>
        <v>0</v>
      </c>
      <c r="J87" s="18">
        <f t="shared" si="16"/>
        <v>0</v>
      </c>
      <c r="K87" s="18">
        <f t="shared" si="17"/>
        <v>0</v>
      </c>
      <c r="L87" s="18">
        <f t="shared" si="11"/>
        <v>40.090000000000003</v>
      </c>
      <c r="M87" s="18">
        <f t="shared" si="18"/>
        <v>11.056181055155877</v>
      </c>
      <c r="N87" s="18">
        <f t="shared" si="12"/>
        <v>51.146181055155878</v>
      </c>
      <c r="O87" s="8"/>
    </row>
    <row r="88" spans="1:15">
      <c r="A88" s="1" t="s">
        <v>78</v>
      </c>
      <c r="B88" s="11"/>
      <c r="C88" s="11">
        <v>1225000</v>
      </c>
      <c r="D88" s="11">
        <v>1239000</v>
      </c>
      <c r="E88" s="11">
        <v>0</v>
      </c>
      <c r="F88" s="11">
        <f t="shared" si="10"/>
        <v>14000</v>
      </c>
      <c r="G88" s="17">
        <f t="shared" si="13"/>
        <v>40.090000000000003</v>
      </c>
      <c r="H88" s="17">
        <f t="shared" si="14"/>
        <v>8.7200000000000006</v>
      </c>
      <c r="I88" s="17">
        <f t="shared" si="15"/>
        <v>0</v>
      </c>
      <c r="J88" s="18">
        <f t="shared" si="16"/>
        <v>0</v>
      </c>
      <c r="K88" s="18">
        <f t="shared" si="17"/>
        <v>0</v>
      </c>
      <c r="L88" s="18">
        <f t="shared" si="11"/>
        <v>48.81</v>
      </c>
      <c r="M88" s="18">
        <f t="shared" si="18"/>
        <v>22.112362110311754</v>
      </c>
      <c r="N88" s="18">
        <f t="shared" si="12"/>
        <v>70.922362110311752</v>
      </c>
      <c r="O88" s="8"/>
    </row>
    <row r="89" spans="1:15">
      <c r="A89" s="1" t="s">
        <v>79</v>
      </c>
      <c r="B89" s="11"/>
      <c r="C89" s="11">
        <v>3422000</v>
      </c>
      <c r="D89" s="11">
        <v>3427000</v>
      </c>
      <c r="E89" s="11">
        <v>0</v>
      </c>
      <c r="F89" s="11">
        <f t="shared" si="10"/>
        <v>5000</v>
      </c>
      <c r="G89" s="17">
        <f t="shared" si="13"/>
        <v>40.090000000000003</v>
      </c>
      <c r="H89" s="17">
        <f t="shared" si="14"/>
        <v>0</v>
      </c>
      <c r="I89" s="17">
        <f t="shared" si="15"/>
        <v>0</v>
      </c>
      <c r="J89" s="18">
        <f t="shared" si="16"/>
        <v>0</v>
      </c>
      <c r="K89" s="18">
        <f t="shared" si="17"/>
        <v>0</v>
      </c>
      <c r="L89" s="18">
        <f t="shared" si="11"/>
        <v>40.090000000000003</v>
      </c>
      <c r="M89" s="18">
        <f t="shared" si="18"/>
        <v>7.8972721822541976</v>
      </c>
      <c r="N89" s="18">
        <f t="shared" si="12"/>
        <v>47.987272182254202</v>
      </c>
      <c r="O89" s="8"/>
    </row>
    <row r="90" spans="1:15">
      <c r="A90" s="1" t="s">
        <v>80</v>
      </c>
      <c r="B90" s="11"/>
      <c r="C90" s="11">
        <v>3011000</v>
      </c>
      <c r="D90" s="11">
        <v>3015000</v>
      </c>
      <c r="E90" s="11">
        <v>0</v>
      </c>
      <c r="F90" s="11">
        <f t="shared" si="10"/>
        <v>4000</v>
      </c>
      <c r="G90" s="17">
        <f t="shared" si="13"/>
        <v>40.090000000000003</v>
      </c>
      <c r="H90" s="17">
        <f t="shared" si="14"/>
        <v>0</v>
      </c>
      <c r="I90" s="17">
        <f t="shared" si="15"/>
        <v>0</v>
      </c>
      <c r="J90" s="18">
        <f t="shared" si="16"/>
        <v>0</v>
      </c>
      <c r="K90" s="18">
        <f t="shared" si="17"/>
        <v>0</v>
      </c>
      <c r="L90" s="18">
        <f t="shared" si="11"/>
        <v>40.090000000000003</v>
      </c>
      <c r="M90" s="18">
        <f t="shared" si="18"/>
        <v>6.3178177458033575</v>
      </c>
      <c r="N90" s="18">
        <f t="shared" si="12"/>
        <v>46.407817745803364</v>
      </c>
      <c r="O90" s="8"/>
    </row>
    <row r="91" spans="1:15">
      <c r="A91" s="1" t="s">
        <v>81</v>
      </c>
      <c r="B91" s="11" t="s">
        <v>138</v>
      </c>
      <c r="C91" s="11">
        <v>0</v>
      </c>
      <c r="D91" s="11">
        <v>0</v>
      </c>
      <c r="E91" s="11">
        <v>0</v>
      </c>
      <c r="F91" s="11">
        <f t="shared" si="10"/>
        <v>0</v>
      </c>
      <c r="G91" s="17">
        <f t="shared" si="13"/>
        <v>11.79</v>
      </c>
      <c r="H91" s="17">
        <f t="shared" si="14"/>
        <v>0</v>
      </c>
      <c r="I91" s="17">
        <f t="shared" si="15"/>
        <v>0</v>
      </c>
      <c r="J91" s="18">
        <f t="shared" si="16"/>
        <v>0</v>
      </c>
      <c r="K91" s="18">
        <f t="shared" si="17"/>
        <v>0</v>
      </c>
      <c r="L91" s="18">
        <f t="shared" si="11"/>
        <v>11.79</v>
      </c>
      <c r="M91" s="18">
        <f t="shared" si="18"/>
        <v>0</v>
      </c>
      <c r="N91" s="18">
        <f t="shared" si="12"/>
        <v>11.79</v>
      </c>
      <c r="O91" s="8"/>
    </row>
    <row r="92" spans="1:15">
      <c r="A92" s="1" t="s">
        <v>82</v>
      </c>
      <c r="B92" s="11"/>
      <c r="C92" s="11">
        <v>3212000</v>
      </c>
      <c r="D92" s="11">
        <v>3233000</v>
      </c>
      <c r="E92" s="11">
        <v>0</v>
      </c>
      <c r="F92" s="11">
        <f t="shared" si="10"/>
        <v>21000</v>
      </c>
      <c r="G92" s="17">
        <f t="shared" si="13"/>
        <v>40.090000000000003</v>
      </c>
      <c r="H92" s="17">
        <f t="shared" si="14"/>
        <v>21.8</v>
      </c>
      <c r="I92" s="17">
        <f t="shared" si="15"/>
        <v>2.5299999999999998</v>
      </c>
      <c r="J92" s="18">
        <f t="shared" si="16"/>
        <v>0</v>
      </c>
      <c r="K92" s="18">
        <f t="shared" si="17"/>
        <v>0</v>
      </c>
      <c r="L92" s="18">
        <f t="shared" si="11"/>
        <v>64.42</v>
      </c>
      <c r="M92" s="18">
        <f t="shared" si="18"/>
        <v>33.168543165467625</v>
      </c>
      <c r="N92" s="18">
        <f t="shared" si="12"/>
        <v>97.588543165467627</v>
      </c>
      <c r="O92" s="8"/>
    </row>
    <row r="93" spans="1:15">
      <c r="A93" s="1" t="s">
        <v>83</v>
      </c>
      <c r="B93" s="11"/>
      <c r="C93" s="11">
        <v>7540000</v>
      </c>
      <c r="D93" s="11">
        <v>7559000</v>
      </c>
      <c r="E93" s="11">
        <v>0</v>
      </c>
      <c r="F93" s="11">
        <f t="shared" si="10"/>
        <v>19000</v>
      </c>
      <c r="G93" s="17">
        <f t="shared" si="13"/>
        <v>40.090000000000003</v>
      </c>
      <c r="H93" s="17">
        <f t="shared" si="14"/>
        <v>19.62</v>
      </c>
      <c r="I93" s="17">
        <f t="shared" si="15"/>
        <v>0</v>
      </c>
      <c r="J93" s="18">
        <f t="shared" si="16"/>
        <v>0</v>
      </c>
      <c r="K93" s="18">
        <f t="shared" si="17"/>
        <v>0</v>
      </c>
      <c r="L93" s="18">
        <f t="shared" si="11"/>
        <v>59.710000000000008</v>
      </c>
      <c r="M93" s="18">
        <f t="shared" si="18"/>
        <v>30.009634292565952</v>
      </c>
      <c r="N93" s="18">
        <f t="shared" si="12"/>
        <v>89.719634292565956</v>
      </c>
      <c r="O93" s="8"/>
    </row>
    <row r="94" spans="1:15">
      <c r="A94" s="1" t="s">
        <v>84</v>
      </c>
      <c r="B94" s="11"/>
      <c r="C94" s="11">
        <v>3007000</v>
      </c>
      <c r="D94" s="11">
        <v>3012000</v>
      </c>
      <c r="E94" s="11">
        <v>0</v>
      </c>
      <c r="F94" s="11">
        <f t="shared" si="10"/>
        <v>5000</v>
      </c>
      <c r="G94" s="17">
        <f t="shared" si="13"/>
        <v>40.090000000000003</v>
      </c>
      <c r="H94" s="17">
        <f t="shared" si="14"/>
        <v>0</v>
      </c>
      <c r="I94" s="17">
        <f t="shared" si="15"/>
        <v>0</v>
      </c>
      <c r="J94" s="18">
        <f t="shared" si="16"/>
        <v>0</v>
      </c>
      <c r="K94" s="18">
        <f t="shared" si="17"/>
        <v>0</v>
      </c>
      <c r="L94" s="18">
        <f t="shared" si="11"/>
        <v>40.090000000000003</v>
      </c>
      <c r="M94" s="18">
        <f t="shared" si="18"/>
        <v>7.8972721822541976</v>
      </c>
      <c r="N94" s="18">
        <f t="shared" si="12"/>
        <v>47.987272182254202</v>
      </c>
      <c r="O94" s="8"/>
    </row>
    <row r="95" spans="1:15">
      <c r="A95" s="1" t="s">
        <v>85</v>
      </c>
      <c r="B95" s="11"/>
      <c r="C95" s="11">
        <v>2005000</v>
      </c>
      <c r="D95" s="11">
        <v>2013000</v>
      </c>
      <c r="E95" s="11">
        <v>0</v>
      </c>
      <c r="F95" s="11">
        <f t="shared" si="10"/>
        <v>8000</v>
      </c>
      <c r="G95" s="17">
        <f t="shared" si="13"/>
        <v>40.090000000000003</v>
      </c>
      <c r="H95" s="17">
        <f t="shared" si="14"/>
        <v>0</v>
      </c>
      <c r="I95" s="17">
        <f t="shared" si="15"/>
        <v>0</v>
      </c>
      <c r="J95" s="18">
        <f t="shared" si="16"/>
        <v>0</v>
      </c>
      <c r="K95" s="18">
        <f t="shared" si="17"/>
        <v>0</v>
      </c>
      <c r="L95" s="18">
        <f t="shared" si="11"/>
        <v>40.090000000000003</v>
      </c>
      <c r="M95" s="18">
        <f t="shared" si="18"/>
        <v>12.635635491606715</v>
      </c>
      <c r="N95" s="18">
        <f t="shared" si="12"/>
        <v>52.725635491606717</v>
      </c>
      <c r="O95" s="8"/>
    </row>
    <row r="96" spans="1:15">
      <c r="A96" s="1" t="s">
        <v>86</v>
      </c>
      <c r="B96" s="11"/>
      <c r="C96" s="11">
        <v>1831000</v>
      </c>
      <c r="D96" s="11">
        <v>1838000</v>
      </c>
      <c r="E96" s="11">
        <v>0</v>
      </c>
      <c r="F96" s="11">
        <f t="shared" si="10"/>
        <v>7000</v>
      </c>
      <c r="G96" s="17">
        <f t="shared" si="13"/>
        <v>40.090000000000003</v>
      </c>
      <c r="H96" s="17">
        <f t="shared" si="14"/>
        <v>0</v>
      </c>
      <c r="I96" s="17">
        <f t="shared" si="15"/>
        <v>0</v>
      </c>
      <c r="J96" s="18">
        <f t="shared" si="16"/>
        <v>0</v>
      </c>
      <c r="K96" s="18">
        <f t="shared" si="17"/>
        <v>0</v>
      </c>
      <c r="L96" s="18">
        <f t="shared" si="11"/>
        <v>40.090000000000003</v>
      </c>
      <c r="M96" s="18">
        <f t="shared" si="18"/>
        <v>11.056181055155877</v>
      </c>
      <c r="N96" s="18">
        <f t="shared" si="12"/>
        <v>51.146181055155878</v>
      </c>
      <c r="O96" s="8"/>
    </row>
    <row r="97" spans="1:15">
      <c r="A97" s="1" t="s">
        <v>87</v>
      </c>
      <c r="B97" s="11" t="s">
        <v>138</v>
      </c>
      <c r="C97" s="11">
        <v>0</v>
      </c>
      <c r="D97" s="11">
        <v>0</v>
      </c>
      <c r="E97" s="11">
        <v>0</v>
      </c>
      <c r="F97" s="11">
        <f t="shared" si="10"/>
        <v>0</v>
      </c>
      <c r="G97" s="17">
        <f t="shared" si="13"/>
        <v>11.79</v>
      </c>
      <c r="H97" s="17">
        <f t="shared" si="14"/>
        <v>0</v>
      </c>
      <c r="I97" s="17">
        <f t="shared" si="15"/>
        <v>0</v>
      </c>
      <c r="J97" s="18">
        <f t="shared" si="16"/>
        <v>0</v>
      </c>
      <c r="K97" s="18">
        <f t="shared" si="17"/>
        <v>0</v>
      </c>
      <c r="L97" s="18">
        <f t="shared" si="11"/>
        <v>11.79</v>
      </c>
      <c r="M97" s="18">
        <f t="shared" si="18"/>
        <v>0</v>
      </c>
      <c r="N97" s="18">
        <f t="shared" si="12"/>
        <v>11.79</v>
      </c>
      <c r="O97" s="8"/>
    </row>
    <row r="98" spans="1:15">
      <c r="A98" s="1" t="s">
        <v>88</v>
      </c>
      <c r="B98" s="11"/>
      <c r="C98" s="11">
        <v>1229000</v>
      </c>
      <c r="D98" s="11">
        <v>1231000</v>
      </c>
      <c r="E98" s="11">
        <v>0</v>
      </c>
      <c r="F98" s="11">
        <f t="shared" si="10"/>
        <v>2000</v>
      </c>
      <c r="G98" s="17">
        <f t="shared" si="13"/>
        <v>40.090000000000003</v>
      </c>
      <c r="H98" s="17">
        <f t="shared" si="14"/>
        <v>0</v>
      </c>
      <c r="I98" s="17">
        <f t="shared" si="15"/>
        <v>0</v>
      </c>
      <c r="J98" s="18">
        <f t="shared" si="16"/>
        <v>0</v>
      </c>
      <c r="K98" s="18">
        <f t="shared" si="17"/>
        <v>0</v>
      </c>
      <c r="L98" s="18">
        <f t="shared" si="11"/>
        <v>40.090000000000003</v>
      </c>
      <c r="M98" s="18">
        <f t="shared" si="18"/>
        <v>3.1589088729016788</v>
      </c>
      <c r="N98" s="18">
        <f t="shared" si="12"/>
        <v>43.24890887290168</v>
      </c>
      <c r="O98" s="8"/>
    </row>
    <row r="99" spans="1:15">
      <c r="A99" s="1" t="s">
        <v>89</v>
      </c>
      <c r="B99" s="11"/>
      <c r="C99" s="11">
        <v>2228000</v>
      </c>
      <c r="D99" s="11">
        <v>2252000</v>
      </c>
      <c r="E99" s="11">
        <v>0</v>
      </c>
      <c r="F99" s="11">
        <f t="shared" si="10"/>
        <v>24000</v>
      </c>
      <c r="G99" s="17">
        <f t="shared" si="13"/>
        <v>40.090000000000003</v>
      </c>
      <c r="H99" s="17">
        <f t="shared" si="14"/>
        <v>21.8</v>
      </c>
      <c r="I99" s="17">
        <f t="shared" si="15"/>
        <v>10.119999999999999</v>
      </c>
      <c r="J99" s="18">
        <f t="shared" si="16"/>
        <v>0</v>
      </c>
      <c r="K99" s="18">
        <f t="shared" si="17"/>
        <v>0</v>
      </c>
      <c r="L99" s="18">
        <f t="shared" si="11"/>
        <v>72.010000000000005</v>
      </c>
      <c r="M99" s="18">
        <f t="shared" si="18"/>
        <v>37.906906474820147</v>
      </c>
      <c r="N99" s="18">
        <f t="shared" si="12"/>
        <v>109.91690647482015</v>
      </c>
      <c r="O99" s="8"/>
    </row>
    <row r="100" spans="1:15">
      <c r="A100" s="1" t="s">
        <v>90</v>
      </c>
      <c r="B100" s="11"/>
      <c r="C100" s="11">
        <v>1226000</v>
      </c>
      <c r="D100" s="11">
        <v>1231000</v>
      </c>
      <c r="E100" s="11">
        <v>0</v>
      </c>
      <c r="F100" s="11">
        <f t="shared" si="10"/>
        <v>5000</v>
      </c>
      <c r="G100" s="17">
        <f t="shared" si="13"/>
        <v>40.090000000000003</v>
      </c>
      <c r="H100" s="17">
        <f t="shared" si="14"/>
        <v>0</v>
      </c>
      <c r="I100" s="17">
        <f t="shared" si="15"/>
        <v>0</v>
      </c>
      <c r="J100" s="18">
        <f t="shared" si="16"/>
        <v>0</v>
      </c>
      <c r="K100" s="18">
        <f t="shared" si="17"/>
        <v>0</v>
      </c>
      <c r="L100" s="18">
        <f t="shared" si="11"/>
        <v>40.090000000000003</v>
      </c>
      <c r="M100" s="18">
        <f t="shared" si="18"/>
        <v>7.8972721822541976</v>
      </c>
      <c r="N100" s="18">
        <f t="shared" si="12"/>
        <v>47.987272182254202</v>
      </c>
      <c r="O100" s="8"/>
    </row>
    <row r="101" spans="1:15">
      <c r="A101" s="1" t="s">
        <v>91</v>
      </c>
      <c r="B101" s="11"/>
      <c r="C101" s="11">
        <v>238200</v>
      </c>
      <c r="D101" s="11">
        <v>242200</v>
      </c>
      <c r="E101" s="11">
        <v>0</v>
      </c>
      <c r="F101" s="11">
        <f t="shared" si="10"/>
        <v>4000</v>
      </c>
      <c r="G101" s="17">
        <f t="shared" si="13"/>
        <v>40.090000000000003</v>
      </c>
      <c r="H101" s="17">
        <f t="shared" si="14"/>
        <v>0</v>
      </c>
      <c r="I101" s="17">
        <f t="shared" si="15"/>
        <v>0</v>
      </c>
      <c r="J101" s="18">
        <f t="shared" si="16"/>
        <v>0</v>
      </c>
      <c r="K101" s="18">
        <f t="shared" si="17"/>
        <v>0</v>
      </c>
      <c r="L101" s="18">
        <f t="shared" si="11"/>
        <v>40.090000000000003</v>
      </c>
      <c r="M101" s="18">
        <f t="shared" si="18"/>
        <v>6.3178177458033575</v>
      </c>
      <c r="N101" s="18">
        <f t="shared" si="12"/>
        <v>46.407817745803364</v>
      </c>
      <c r="O101" s="8"/>
    </row>
    <row r="102" spans="1:15">
      <c r="A102" s="1" t="s">
        <v>92</v>
      </c>
      <c r="B102" s="11"/>
      <c r="C102" s="11">
        <v>2507000</v>
      </c>
      <c r="D102" s="11">
        <v>2510000</v>
      </c>
      <c r="E102" s="11">
        <v>0</v>
      </c>
      <c r="F102" s="11">
        <f t="shared" si="10"/>
        <v>3000</v>
      </c>
      <c r="G102" s="17">
        <f t="shared" si="13"/>
        <v>40.090000000000003</v>
      </c>
      <c r="H102" s="17">
        <f t="shared" si="14"/>
        <v>0</v>
      </c>
      <c r="I102" s="17">
        <f t="shared" si="15"/>
        <v>0</v>
      </c>
      <c r="J102" s="18">
        <f t="shared" si="16"/>
        <v>0</v>
      </c>
      <c r="K102" s="18">
        <f t="shared" si="17"/>
        <v>0</v>
      </c>
      <c r="L102" s="18">
        <f t="shared" si="11"/>
        <v>40.090000000000003</v>
      </c>
      <c r="M102" s="18">
        <f t="shared" si="18"/>
        <v>4.7383633093525184</v>
      </c>
      <c r="N102" s="18">
        <f t="shared" si="12"/>
        <v>44.828363309352525</v>
      </c>
      <c r="O102" s="8"/>
    </row>
    <row r="103" spans="1:15">
      <c r="A103" s="1" t="s">
        <v>93</v>
      </c>
      <c r="B103" s="11" t="s">
        <v>138</v>
      </c>
      <c r="C103" s="11">
        <v>0</v>
      </c>
      <c r="D103" s="11">
        <v>0</v>
      </c>
      <c r="E103" s="11">
        <v>0</v>
      </c>
      <c r="F103" s="11">
        <f t="shared" si="10"/>
        <v>0</v>
      </c>
      <c r="G103" s="17">
        <f t="shared" si="13"/>
        <v>11.79</v>
      </c>
      <c r="H103" s="17">
        <f t="shared" si="14"/>
        <v>0</v>
      </c>
      <c r="I103" s="17">
        <f t="shared" si="15"/>
        <v>0</v>
      </c>
      <c r="J103" s="18">
        <f t="shared" si="16"/>
        <v>0</v>
      </c>
      <c r="K103" s="18">
        <f t="shared" si="17"/>
        <v>0</v>
      </c>
      <c r="L103" s="18">
        <f t="shared" si="11"/>
        <v>11.79</v>
      </c>
      <c r="M103" s="18">
        <f t="shared" si="18"/>
        <v>0</v>
      </c>
      <c r="N103" s="18">
        <f t="shared" si="12"/>
        <v>11.79</v>
      </c>
      <c r="O103" s="8"/>
    </row>
    <row r="104" spans="1:15">
      <c r="A104" s="1" t="s">
        <v>94</v>
      </c>
      <c r="B104" s="11" t="s">
        <v>138</v>
      </c>
      <c r="C104" s="11">
        <v>0</v>
      </c>
      <c r="D104" s="11">
        <v>0</v>
      </c>
      <c r="E104" s="11">
        <v>0</v>
      </c>
      <c r="F104" s="11">
        <f t="shared" si="10"/>
        <v>0</v>
      </c>
      <c r="G104" s="17">
        <f t="shared" si="13"/>
        <v>11.79</v>
      </c>
      <c r="H104" s="17">
        <f t="shared" si="14"/>
        <v>0</v>
      </c>
      <c r="I104" s="17">
        <f t="shared" si="15"/>
        <v>0</v>
      </c>
      <c r="J104" s="18">
        <f t="shared" si="16"/>
        <v>0</v>
      </c>
      <c r="K104" s="18">
        <f t="shared" si="17"/>
        <v>0</v>
      </c>
      <c r="L104" s="18">
        <f t="shared" si="11"/>
        <v>11.79</v>
      </c>
      <c r="M104" s="18">
        <f t="shared" si="18"/>
        <v>0</v>
      </c>
      <c r="N104" s="18">
        <f t="shared" si="12"/>
        <v>11.79</v>
      </c>
      <c r="O104" s="8"/>
    </row>
    <row r="105" spans="1:15">
      <c r="A105" s="1" t="s">
        <v>95</v>
      </c>
      <c r="B105" s="11" t="s">
        <v>138</v>
      </c>
      <c r="C105" s="11">
        <v>0</v>
      </c>
      <c r="D105" s="11">
        <v>0</v>
      </c>
      <c r="E105" s="11">
        <v>0</v>
      </c>
      <c r="F105" s="11">
        <f t="shared" si="10"/>
        <v>0</v>
      </c>
      <c r="G105" s="17">
        <f t="shared" si="13"/>
        <v>11.79</v>
      </c>
      <c r="H105" s="17">
        <f t="shared" si="14"/>
        <v>0</v>
      </c>
      <c r="I105" s="17">
        <f t="shared" si="15"/>
        <v>0</v>
      </c>
      <c r="J105" s="18">
        <f t="shared" si="16"/>
        <v>0</v>
      </c>
      <c r="K105" s="18">
        <f t="shared" si="17"/>
        <v>0</v>
      </c>
      <c r="L105" s="18">
        <f t="shared" si="11"/>
        <v>11.79</v>
      </c>
      <c r="M105" s="18">
        <f t="shared" si="18"/>
        <v>0</v>
      </c>
      <c r="N105" s="18">
        <f t="shared" si="12"/>
        <v>11.79</v>
      </c>
      <c r="O105" s="8"/>
    </row>
    <row r="106" spans="1:15">
      <c r="A106" s="1" t="s">
        <v>96</v>
      </c>
      <c r="B106" s="11"/>
      <c r="C106" s="11">
        <v>1824000</v>
      </c>
      <c r="D106" s="11">
        <v>1831000</v>
      </c>
      <c r="E106" s="11">
        <v>0</v>
      </c>
      <c r="F106" s="11">
        <f t="shared" si="10"/>
        <v>7000</v>
      </c>
      <c r="G106" s="17">
        <f t="shared" si="13"/>
        <v>40.090000000000003</v>
      </c>
      <c r="H106" s="17">
        <f t="shared" si="14"/>
        <v>0</v>
      </c>
      <c r="I106" s="17">
        <f t="shared" si="15"/>
        <v>0</v>
      </c>
      <c r="J106" s="18">
        <f t="shared" si="16"/>
        <v>0</v>
      </c>
      <c r="K106" s="18">
        <f t="shared" si="17"/>
        <v>0</v>
      </c>
      <c r="L106" s="18">
        <f t="shared" si="11"/>
        <v>40.090000000000003</v>
      </c>
      <c r="M106" s="18">
        <f t="shared" si="18"/>
        <v>11.056181055155877</v>
      </c>
      <c r="N106" s="18">
        <f t="shared" si="12"/>
        <v>51.146181055155878</v>
      </c>
      <c r="O106" s="8"/>
    </row>
    <row r="107" spans="1:15">
      <c r="A107" s="1" t="s">
        <v>97</v>
      </c>
      <c r="B107" s="11" t="s">
        <v>138</v>
      </c>
      <c r="C107" s="11">
        <v>0</v>
      </c>
      <c r="D107" s="11">
        <v>0</v>
      </c>
      <c r="E107" s="11">
        <v>0</v>
      </c>
      <c r="F107" s="11">
        <f t="shared" si="10"/>
        <v>0</v>
      </c>
      <c r="G107" s="17">
        <f t="shared" si="13"/>
        <v>11.79</v>
      </c>
      <c r="H107" s="17">
        <f t="shared" si="14"/>
        <v>0</v>
      </c>
      <c r="I107" s="17">
        <f t="shared" si="15"/>
        <v>0</v>
      </c>
      <c r="J107" s="18">
        <f t="shared" si="16"/>
        <v>0</v>
      </c>
      <c r="K107" s="18">
        <f t="shared" si="17"/>
        <v>0</v>
      </c>
      <c r="L107" s="18">
        <f t="shared" si="11"/>
        <v>11.79</v>
      </c>
      <c r="M107" s="18">
        <f t="shared" si="18"/>
        <v>0</v>
      </c>
      <c r="N107" s="18">
        <f t="shared" si="12"/>
        <v>11.79</v>
      </c>
      <c r="O107" s="8"/>
    </row>
    <row r="108" spans="1:15">
      <c r="A108" s="1" t="s">
        <v>98</v>
      </c>
      <c r="B108" s="11" t="s">
        <v>138</v>
      </c>
      <c r="C108" s="11">
        <v>0</v>
      </c>
      <c r="D108" s="11">
        <v>0</v>
      </c>
      <c r="E108" s="11">
        <v>0</v>
      </c>
      <c r="F108" s="11">
        <f t="shared" si="10"/>
        <v>0</v>
      </c>
      <c r="G108" s="17">
        <f t="shared" si="13"/>
        <v>11.79</v>
      </c>
      <c r="H108" s="17">
        <f t="shared" si="14"/>
        <v>0</v>
      </c>
      <c r="I108" s="17">
        <f t="shared" si="15"/>
        <v>0</v>
      </c>
      <c r="J108" s="18">
        <f t="shared" si="16"/>
        <v>0</v>
      </c>
      <c r="K108" s="18">
        <f t="shared" si="17"/>
        <v>0</v>
      </c>
      <c r="L108" s="18">
        <f t="shared" si="11"/>
        <v>11.79</v>
      </c>
      <c r="M108" s="18">
        <f t="shared" si="18"/>
        <v>0</v>
      </c>
      <c r="N108" s="18">
        <f t="shared" si="12"/>
        <v>11.79</v>
      </c>
      <c r="O108" s="8"/>
    </row>
    <row r="109" spans="1:15">
      <c r="A109" s="1" t="s">
        <v>99</v>
      </c>
      <c r="B109" s="11"/>
      <c r="C109" s="11">
        <v>1655000</v>
      </c>
      <c r="D109" s="11">
        <v>1655000</v>
      </c>
      <c r="E109" s="11">
        <v>0</v>
      </c>
      <c r="F109" s="11">
        <f t="shared" si="10"/>
        <v>0</v>
      </c>
      <c r="G109" s="17">
        <f t="shared" si="13"/>
        <v>40.090000000000003</v>
      </c>
      <c r="H109" s="17">
        <f t="shared" si="14"/>
        <v>0</v>
      </c>
      <c r="I109" s="17">
        <f t="shared" si="15"/>
        <v>0</v>
      </c>
      <c r="J109" s="18">
        <f t="shared" si="16"/>
        <v>0</v>
      </c>
      <c r="K109" s="18">
        <f t="shared" si="17"/>
        <v>0</v>
      </c>
      <c r="L109" s="18">
        <f t="shared" si="11"/>
        <v>40.090000000000003</v>
      </c>
      <c r="M109" s="18">
        <f t="shared" si="18"/>
        <v>0</v>
      </c>
      <c r="N109" s="18">
        <f t="shared" si="12"/>
        <v>40.090000000000003</v>
      </c>
      <c r="O109" s="8"/>
    </row>
    <row r="110" spans="1:15">
      <c r="A110" s="1" t="s">
        <v>100</v>
      </c>
      <c r="B110" s="11"/>
      <c r="C110" s="11">
        <v>502000</v>
      </c>
      <c r="D110" s="11">
        <v>507000</v>
      </c>
      <c r="E110" s="11">
        <v>0</v>
      </c>
      <c r="F110" s="11">
        <f t="shared" si="10"/>
        <v>5000</v>
      </c>
      <c r="G110" s="17">
        <f t="shared" si="13"/>
        <v>40.090000000000003</v>
      </c>
      <c r="H110" s="17">
        <f t="shared" si="14"/>
        <v>0</v>
      </c>
      <c r="I110" s="17">
        <f t="shared" si="15"/>
        <v>0</v>
      </c>
      <c r="J110" s="18">
        <f t="shared" si="16"/>
        <v>0</v>
      </c>
      <c r="K110" s="18">
        <f t="shared" si="17"/>
        <v>0</v>
      </c>
      <c r="L110" s="18">
        <f t="shared" si="11"/>
        <v>40.090000000000003</v>
      </c>
      <c r="M110" s="18">
        <f t="shared" si="18"/>
        <v>7.8972721822541976</v>
      </c>
      <c r="N110" s="18">
        <f t="shared" si="12"/>
        <v>47.987272182254202</v>
      </c>
      <c r="O110" s="8"/>
    </row>
    <row r="111" spans="1:15">
      <c r="A111" s="1" t="s">
        <v>101</v>
      </c>
      <c r="B111" s="11"/>
      <c r="C111" s="11">
        <v>4532000</v>
      </c>
      <c r="D111" s="11">
        <v>4542000</v>
      </c>
      <c r="E111" s="11">
        <v>0</v>
      </c>
      <c r="F111" s="11">
        <f t="shared" si="10"/>
        <v>10000</v>
      </c>
      <c r="G111" s="17">
        <f t="shared" si="13"/>
        <v>40.090000000000003</v>
      </c>
      <c r="H111" s="17">
        <f t="shared" si="14"/>
        <v>0</v>
      </c>
      <c r="I111" s="17">
        <f t="shared" si="15"/>
        <v>0</v>
      </c>
      <c r="J111" s="18">
        <f t="shared" si="16"/>
        <v>0</v>
      </c>
      <c r="K111" s="18">
        <f t="shared" si="17"/>
        <v>0</v>
      </c>
      <c r="L111" s="18">
        <f t="shared" si="11"/>
        <v>40.090000000000003</v>
      </c>
      <c r="M111" s="18">
        <f t="shared" si="18"/>
        <v>15.794544364508395</v>
      </c>
      <c r="N111" s="18">
        <f t="shared" si="12"/>
        <v>55.8845443645084</v>
      </c>
      <c r="O111" s="8"/>
    </row>
    <row r="112" spans="1:15">
      <c r="A112" s="1" t="s">
        <v>102</v>
      </c>
      <c r="B112" s="11" t="s">
        <v>138</v>
      </c>
      <c r="C112" s="11">
        <v>0</v>
      </c>
      <c r="D112" s="11">
        <v>0</v>
      </c>
      <c r="E112" s="11">
        <v>0</v>
      </c>
      <c r="F112" s="11">
        <f t="shared" si="10"/>
        <v>0</v>
      </c>
      <c r="G112" s="17">
        <f t="shared" si="13"/>
        <v>11.79</v>
      </c>
      <c r="H112" s="17">
        <f t="shared" si="14"/>
        <v>0</v>
      </c>
      <c r="I112" s="17">
        <f t="shared" si="15"/>
        <v>0</v>
      </c>
      <c r="J112" s="18">
        <f t="shared" si="16"/>
        <v>0</v>
      </c>
      <c r="K112" s="18">
        <f t="shared" si="17"/>
        <v>0</v>
      </c>
      <c r="L112" s="18">
        <f t="shared" si="11"/>
        <v>11.79</v>
      </c>
      <c r="M112" s="18">
        <f t="shared" si="18"/>
        <v>0</v>
      </c>
      <c r="N112" s="18">
        <f t="shared" si="12"/>
        <v>11.79</v>
      </c>
      <c r="O112" s="8"/>
    </row>
    <row r="113" spans="1:15">
      <c r="A113" s="1" t="s">
        <v>103</v>
      </c>
      <c r="B113" s="11"/>
      <c r="C113" s="11">
        <v>1176000</v>
      </c>
      <c r="D113" s="11">
        <v>1182000</v>
      </c>
      <c r="E113" s="11">
        <v>0</v>
      </c>
      <c r="F113" s="11">
        <f t="shared" si="10"/>
        <v>6000</v>
      </c>
      <c r="G113" s="17">
        <f t="shared" si="13"/>
        <v>40.090000000000003</v>
      </c>
      <c r="H113" s="17">
        <f t="shared" si="14"/>
        <v>0</v>
      </c>
      <c r="I113" s="17">
        <f t="shared" si="15"/>
        <v>0</v>
      </c>
      <c r="J113" s="18">
        <f t="shared" si="16"/>
        <v>0</v>
      </c>
      <c r="K113" s="18">
        <f t="shared" si="17"/>
        <v>0</v>
      </c>
      <c r="L113" s="18">
        <f t="shared" si="11"/>
        <v>40.090000000000003</v>
      </c>
      <c r="M113" s="18">
        <f t="shared" ref="M113:M136" si="19">IF(   $H$5=1,    IF((F113-$H$6)&gt;0,((F113-$H$6)/$N$7)*$E$8,0),   IF(F113&gt;0,(F113/$N$4)*$E$8,0)    )</f>
        <v>9.4767266187050367</v>
      </c>
      <c r="N113" s="18">
        <f t="shared" si="12"/>
        <v>49.56672661870504</v>
      </c>
      <c r="O113" s="8"/>
    </row>
    <row r="114" spans="1:15">
      <c r="A114" s="1" t="s">
        <v>104</v>
      </c>
      <c r="B114" s="11" t="s">
        <v>138</v>
      </c>
      <c r="C114" s="11">
        <v>0</v>
      </c>
      <c r="D114" s="11">
        <v>0</v>
      </c>
      <c r="E114" s="11">
        <v>0</v>
      </c>
      <c r="F114" s="11">
        <f t="shared" si="10"/>
        <v>0</v>
      </c>
      <c r="G114" s="17">
        <f t="shared" si="13"/>
        <v>11.79</v>
      </c>
      <c r="H114" s="17">
        <f t="shared" si="14"/>
        <v>0</v>
      </c>
      <c r="I114" s="17">
        <f t="shared" si="15"/>
        <v>0</v>
      </c>
      <c r="J114" s="18">
        <f t="shared" si="16"/>
        <v>0</v>
      </c>
      <c r="K114" s="18">
        <f t="shared" si="17"/>
        <v>0</v>
      </c>
      <c r="L114" s="18">
        <f t="shared" si="11"/>
        <v>11.79</v>
      </c>
      <c r="M114" s="18">
        <f t="shared" si="19"/>
        <v>0</v>
      </c>
      <c r="N114" s="18">
        <f t="shared" si="12"/>
        <v>11.79</v>
      </c>
      <c r="O114" s="8"/>
    </row>
    <row r="115" spans="1:15">
      <c r="A115" s="1" t="s">
        <v>105</v>
      </c>
      <c r="B115" s="11"/>
      <c r="C115" s="11">
        <v>1437000</v>
      </c>
      <c r="D115" s="11">
        <v>1461000</v>
      </c>
      <c r="E115" s="11">
        <v>0</v>
      </c>
      <c r="F115" s="11">
        <f t="shared" si="10"/>
        <v>24000</v>
      </c>
      <c r="G115" s="17">
        <f t="shared" si="13"/>
        <v>40.090000000000003</v>
      </c>
      <c r="H115" s="17">
        <f t="shared" si="14"/>
        <v>21.8</v>
      </c>
      <c r="I115" s="17">
        <f t="shared" si="15"/>
        <v>10.119999999999999</v>
      </c>
      <c r="J115" s="18">
        <f t="shared" si="16"/>
        <v>0</v>
      </c>
      <c r="K115" s="18">
        <f t="shared" si="17"/>
        <v>0</v>
      </c>
      <c r="L115" s="18">
        <f t="shared" si="11"/>
        <v>72.010000000000005</v>
      </c>
      <c r="M115" s="18">
        <f t="shared" si="19"/>
        <v>37.906906474820147</v>
      </c>
      <c r="N115" s="18">
        <f t="shared" si="12"/>
        <v>109.91690647482015</v>
      </c>
      <c r="O115" s="8"/>
    </row>
    <row r="116" spans="1:15">
      <c r="A116" s="1" t="s">
        <v>106</v>
      </c>
      <c r="B116" s="11"/>
      <c r="C116" s="11">
        <v>1787000</v>
      </c>
      <c r="D116" s="11">
        <v>1788000</v>
      </c>
      <c r="E116" s="11">
        <v>0</v>
      </c>
      <c r="F116" s="11">
        <f t="shared" si="10"/>
        <v>1000</v>
      </c>
      <c r="G116" s="17">
        <f t="shared" si="13"/>
        <v>40.090000000000003</v>
      </c>
      <c r="H116" s="17">
        <f t="shared" si="14"/>
        <v>0</v>
      </c>
      <c r="I116" s="17">
        <f t="shared" si="15"/>
        <v>0</v>
      </c>
      <c r="J116" s="18">
        <f t="shared" si="16"/>
        <v>0</v>
      </c>
      <c r="K116" s="18">
        <f t="shared" si="17"/>
        <v>0</v>
      </c>
      <c r="L116" s="18">
        <f t="shared" si="11"/>
        <v>40.090000000000003</v>
      </c>
      <c r="M116" s="18">
        <f t="shared" si="19"/>
        <v>1.5794544364508394</v>
      </c>
      <c r="N116" s="18">
        <f t="shared" si="12"/>
        <v>41.669454436450842</v>
      </c>
      <c r="O116" s="8"/>
    </row>
    <row r="117" spans="1:15">
      <c r="A117" s="1" t="s">
        <v>107</v>
      </c>
      <c r="B117" s="11"/>
      <c r="C117" s="11">
        <v>316000</v>
      </c>
      <c r="D117" s="11">
        <v>318000</v>
      </c>
      <c r="E117" s="11">
        <v>0</v>
      </c>
      <c r="F117" s="11">
        <f t="shared" si="10"/>
        <v>2000</v>
      </c>
      <c r="G117" s="17">
        <f t="shared" si="13"/>
        <v>40.090000000000003</v>
      </c>
      <c r="H117" s="17">
        <f t="shared" si="14"/>
        <v>0</v>
      </c>
      <c r="I117" s="17">
        <f t="shared" si="15"/>
        <v>0</v>
      </c>
      <c r="J117" s="18">
        <f t="shared" si="16"/>
        <v>0</v>
      </c>
      <c r="K117" s="18">
        <f t="shared" si="17"/>
        <v>0</v>
      </c>
      <c r="L117" s="18">
        <f t="shared" si="11"/>
        <v>40.090000000000003</v>
      </c>
      <c r="M117" s="18">
        <f t="shared" si="19"/>
        <v>3.1589088729016788</v>
      </c>
      <c r="N117" s="18">
        <f t="shared" si="12"/>
        <v>43.24890887290168</v>
      </c>
      <c r="O117" s="8"/>
    </row>
    <row r="118" spans="1:15">
      <c r="A118" s="1" t="s">
        <v>108</v>
      </c>
      <c r="B118" s="11"/>
      <c r="C118" s="11">
        <v>2563000</v>
      </c>
      <c r="D118" s="11">
        <v>2568000</v>
      </c>
      <c r="E118" s="11">
        <v>0</v>
      </c>
      <c r="F118" s="11">
        <f t="shared" si="10"/>
        <v>5000</v>
      </c>
      <c r="G118" s="17">
        <f t="shared" si="13"/>
        <v>40.090000000000003</v>
      </c>
      <c r="H118" s="17">
        <f t="shared" si="14"/>
        <v>0</v>
      </c>
      <c r="I118" s="17">
        <f t="shared" si="15"/>
        <v>0</v>
      </c>
      <c r="J118" s="18">
        <f t="shared" si="16"/>
        <v>0</v>
      </c>
      <c r="K118" s="18">
        <f t="shared" si="17"/>
        <v>0</v>
      </c>
      <c r="L118" s="18">
        <f t="shared" si="11"/>
        <v>40.090000000000003</v>
      </c>
      <c r="M118" s="18">
        <f t="shared" si="19"/>
        <v>7.8972721822541976</v>
      </c>
      <c r="N118" s="18">
        <f t="shared" si="12"/>
        <v>47.987272182254202</v>
      </c>
      <c r="O118" s="8"/>
    </row>
    <row r="119" spans="1:15">
      <c r="A119" s="1" t="s">
        <v>109</v>
      </c>
      <c r="B119" s="11" t="s">
        <v>138</v>
      </c>
      <c r="C119" s="11">
        <v>0</v>
      </c>
      <c r="D119" s="11">
        <v>0</v>
      </c>
      <c r="E119" s="11">
        <v>0</v>
      </c>
      <c r="F119" s="11">
        <f t="shared" si="10"/>
        <v>0</v>
      </c>
      <c r="G119" s="17">
        <f t="shared" si="13"/>
        <v>11.79</v>
      </c>
      <c r="H119" s="17">
        <f t="shared" si="14"/>
        <v>0</v>
      </c>
      <c r="I119" s="17">
        <f t="shared" si="15"/>
        <v>0</v>
      </c>
      <c r="J119" s="18">
        <f t="shared" si="16"/>
        <v>0</v>
      </c>
      <c r="K119" s="18">
        <f t="shared" si="17"/>
        <v>0</v>
      </c>
      <c r="L119" s="18">
        <f t="shared" si="11"/>
        <v>11.79</v>
      </c>
      <c r="M119" s="18">
        <f t="shared" si="19"/>
        <v>0</v>
      </c>
      <c r="N119" s="18">
        <f t="shared" si="12"/>
        <v>11.79</v>
      </c>
      <c r="O119" s="8"/>
    </row>
    <row r="120" spans="1:15">
      <c r="A120" s="1" t="s">
        <v>110</v>
      </c>
      <c r="B120" s="11"/>
      <c r="C120" s="11">
        <v>3772000</v>
      </c>
      <c r="D120" s="11">
        <v>3779000</v>
      </c>
      <c r="E120" s="11">
        <v>0</v>
      </c>
      <c r="F120" s="11">
        <f t="shared" si="10"/>
        <v>7000</v>
      </c>
      <c r="G120" s="17">
        <f t="shared" si="13"/>
        <v>40.090000000000003</v>
      </c>
      <c r="H120" s="17">
        <f t="shared" si="14"/>
        <v>0</v>
      </c>
      <c r="I120" s="17">
        <f t="shared" si="15"/>
        <v>0</v>
      </c>
      <c r="J120" s="18">
        <f t="shared" si="16"/>
        <v>0</v>
      </c>
      <c r="K120" s="18">
        <f t="shared" si="17"/>
        <v>0</v>
      </c>
      <c r="L120" s="18">
        <f t="shared" si="11"/>
        <v>40.090000000000003</v>
      </c>
      <c r="M120" s="18">
        <f t="shared" si="19"/>
        <v>11.056181055155877</v>
      </c>
      <c r="N120" s="18">
        <f t="shared" si="12"/>
        <v>51.146181055155878</v>
      </c>
      <c r="O120" s="8"/>
    </row>
    <row r="121" spans="1:15">
      <c r="A121" s="1" t="s">
        <v>111</v>
      </c>
      <c r="B121" s="11"/>
      <c r="C121" s="11">
        <v>3488000</v>
      </c>
      <c r="D121" s="11">
        <v>3500000</v>
      </c>
      <c r="E121" s="11">
        <v>0</v>
      </c>
      <c r="F121" s="11">
        <f t="shared" si="10"/>
        <v>12000</v>
      </c>
      <c r="G121" s="17">
        <f t="shared" si="13"/>
        <v>40.090000000000003</v>
      </c>
      <c r="H121" s="17">
        <f t="shared" si="14"/>
        <v>4.3600000000000003</v>
      </c>
      <c r="I121" s="17">
        <f t="shared" si="15"/>
        <v>0</v>
      </c>
      <c r="J121" s="18">
        <f t="shared" si="16"/>
        <v>0</v>
      </c>
      <c r="K121" s="18">
        <f t="shared" si="17"/>
        <v>0</v>
      </c>
      <c r="L121" s="18">
        <f t="shared" si="11"/>
        <v>44.45</v>
      </c>
      <c r="M121" s="18">
        <f t="shared" si="19"/>
        <v>18.953453237410073</v>
      </c>
      <c r="N121" s="18">
        <f t="shared" si="12"/>
        <v>63.403453237410076</v>
      </c>
      <c r="O121" s="8"/>
    </row>
    <row r="122" spans="1:15">
      <c r="A122" s="1" t="s">
        <v>112</v>
      </c>
      <c r="B122" s="11"/>
      <c r="C122" s="11">
        <v>336000</v>
      </c>
      <c r="D122" s="11">
        <v>337000</v>
      </c>
      <c r="E122" s="11">
        <v>0</v>
      </c>
      <c r="F122" s="11">
        <f t="shared" si="10"/>
        <v>1000</v>
      </c>
      <c r="G122" s="17">
        <f t="shared" si="13"/>
        <v>40.090000000000003</v>
      </c>
      <c r="H122" s="17">
        <f t="shared" si="14"/>
        <v>0</v>
      </c>
      <c r="I122" s="17">
        <f t="shared" si="15"/>
        <v>0</v>
      </c>
      <c r="J122" s="18">
        <f t="shared" si="16"/>
        <v>0</v>
      </c>
      <c r="K122" s="18">
        <f t="shared" si="17"/>
        <v>0</v>
      </c>
      <c r="L122" s="18">
        <f t="shared" si="11"/>
        <v>40.090000000000003</v>
      </c>
      <c r="M122" s="18">
        <f t="shared" si="19"/>
        <v>1.5794544364508394</v>
      </c>
      <c r="N122" s="18">
        <f t="shared" si="12"/>
        <v>41.669454436450842</v>
      </c>
      <c r="O122" s="8"/>
    </row>
    <row r="123" spans="1:15">
      <c r="A123" s="1" t="s">
        <v>113</v>
      </c>
      <c r="B123" s="11"/>
      <c r="C123" s="11">
        <v>1419000</v>
      </c>
      <c r="D123" s="11">
        <v>1430000</v>
      </c>
      <c r="E123" s="11">
        <v>0</v>
      </c>
      <c r="F123" s="11">
        <f t="shared" si="10"/>
        <v>11000</v>
      </c>
      <c r="G123" s="17">
        <f t="shared" si="13"/>
        <v>40.090000000000003</v>
      </c>
      <c r="H123" s="17">
        <f t="shared" si="14"/>
        <v>2.1800000000000002</v>
      </c>
      <c r="I123" s="17">
        <f t="shared" si="15"/>
        <v>0</v>
      </c>
      <c r="J123" s="18">
        <f t="shared" si="16"/>
        <v>0</v>
      </c>
      <c r="K123" s="18">
        <f t="shared" si="17"/>
        <v>0</v>
      </c>
      <c r="L123" s="18">
        <f t="shared" si="11"/>
        <v>42.27</v>
      </c>
      <c r="M123" s="18">
        <f t="shared" si="19"/>
        <v>17.373998800959232</v>
      </c>
      <c r="N123" s="18">
        <f t="shared" si="12"/>
        <v>59.643998800959238</v>
      </c>
      <c r="O123" s="8"/>
    </row>
    <row r="124" spans="1:15">
      <c r="A124" s="1" t="s">
        <v>114</v>
      </c>
      <c r="B124" s="11"/>
      <c r="C124" s="11">
        <v>2570000</v>
      </c>
      <c r="D124" s="11">
        <v>2573000</v>
      </c>
      <c r="E124" s="11">
        <v>0</v>
      </c>
      <c r="F124" s="11">
        <f t="shared" si="10"/>
        <v>3000</v>
      </c>
      <c r="G124" s="17">
        <f t="shared" si="13"/>
        <v>40.090000000000003</v>
      </c>
      <c r="H124" s="17">
        <f t="shared" si="14"/>
        <v>0</v>
      </c>
      <c r="I124" s="17">
        <f t="shared" si="15"/>
        <v>0</v>
      </c>
      <c r="J124" s="18">
        <f t="shared" si="16"/>
        <v>0</v>
      </c>
      <c r="K124" s="18">
        <f t="shared" si="17"/>
        <v>0</v>
      </c>
      <c r="L124" s="18">
        <f t="shared" si="11"/>
        <v>40.090000000000003</v>
      </c>
      <c r="M124" s="18">
        <f t="shared" si="19"/>
        <v>4.7383633093525184</v>
      </c>
      <c r="N124" s="18">
        <f t="shared" si="12"/>
        <v>44.828363309352525</v>
      </c>
      <c r="O124" s="8"/>
    </row>
    <row r="125" spans="1:15">
      <c r="A125" s="1" t="s">
        <v>115</v>
      </c>
      <c r="B125" s="11"/>
      <c r="C125" s="11">
        <v>2432000</v>
      </c>
      <c r="D125" s="11">
        <v>2442000</v>
      </c>
      <c r="E125" s="11">
        <v>0</v>
      </c>
      <c r="F125" s="11">
        <f t="shared" si="10"/>
        <v>10000</v>
      </c>
      <c r="G125" s="17">
        <f t="shared" si="13"/>
        <v>40.090000000000003</v>
      </c>
      <c r="H125" s="17">
        <f t="shared" si="14"/>
        <v>0</v>
      </c>
      <c r="I125" s="17">
        <f t="shared" si="15"/>
        <v>0</v>
      </c>
      <c r="J125" s="18">
        <f t="shared" si="16"/>
        <v>0</v>
      </c>
      <c r="K125" s="18">
        <f t="shared" si="17"/>
        <v>0</v>
      </c>
      <c r="L125" s="18">
        <f t="shared" si="11"/>
        <v>40.090000000000003</v>
      </c>
      <c r="M125" s="18">
        <f t="shared" si="19"/>
        <v>15.794544364508395</v>
      </c>
      <c r="N125" s="18">
        <f t="shared" si="12"/>
        <v>55.8845443645084</v>
      </c>
      <c r="O125" s="8"/>
    </row>
    <row r="126" spans="1:15">
      <c r="A126" s="1" t="s">
        <v>116</v>
      </c>
      <c r="B126" s="11"/>
      <c r="C126" s="11">
        <v>4246000</v>
      </c>
      <c r="D126" s="11">
        <v>4249000</v>
      </c>
      <c r="E126" s="11">
        <v>0</v>
      </c>
      <c r="F126" s="11">
        <f t="shared" si="10"/>
        <v>3000</v>
      </c>
      <c r="G126" s="17">
        <f t="shared" si="13"/>
        <v>40.090000000000003</v>
      </c>
      <c r="H126" s="17">
        <f t="shared" si="14"/>
        <v>0</v>
      </c>
      <c r="I126" s="17">
        <f t="shared" si="15"/>
        <v>0</v>
      </c>
      <c r="J126" s="18">
        <f t="shared" si="16"/>
        <v>0</v>
      </c>
      <c r="K126" s="18">
        <f t="shared" si="17"/>
        <v>0</v>
      </c>
      <c r="L126" s="18">
        <f t="shared" si="11"/>
        <v>40.090000000000003</v>
      </c>
      <c r="M126" s="18">
        <f t="shared" si="19"/>
        <v>4.7383633093525184</v>
      </c>
      <c r="N126" s="18">
        <f t="shared" si="12"/>
        <v>44.828363309352525</v>
      </c>
      <c r="O126" s="8"/>
    </row>
    <row r="127" spans="1:15">
      <c r="A127" s="1" t="s">
        <v>117</v>
      </c>
      <c r="B127" s="11"/>
      <c r="C127" s="11">
        <v>1879000</v>
      </c>
      <c r="D127" s="11">
        <v>1882000</v>
      </c>
      <c r="E127" s="11">
        <v>0</v>
      </c>
      <c r="F127" s="11">
        <f t="shared" si="10"/>
        <v>3000</v>
      </c>
      <c r="G127" s="17">
        <f t="shared" si="13"/>
        <v>40.090000000000003</v>
      </c>
      <c r="H127" s="17">
        <f t="shared" si="14"/>
        <v>0</v>
      </c>
      <c r="I127" s="17">
        <f t="shared" si="15"/>
        <v>0</v>
      </c>
      <c r="J127" s="18">
        <f t="shared" si="16"/>
        <v>0</v>
      </c>
      <c r="K127" s="18">
        <f t="shared" si="17"/>
        <v>0</v>
      </c>
      <c r="L127" s="18">
        <f t="shared" si="11"/>
        <v>40.090000000000003</v>
      </c>
      <c r="M127" s="18">
        <f t="shared" si="19"/>
        <v>4.7383633093525184</v>
      </c>
      <c r="N127" s="18">
        <f t="shared" si="12"/>
        <v>44.828363309352525</v>
      </c>
      <c r="O127" s="8"/>
    </row>
    <row r="128" spans="1:15">
      <c r="A128" s="14" t="s">
        <v>118</v>
      </c>
      <c r="B128" s="15"/>
      <c r="C128" s="15">
        <v>1164000</v>
      </c>
      <c r="D128" s="15">
        <v>1172000</v>
      </c>
      <c r="E128" s="15">
        <v>0</v>
      </c>
      <c r="F128" s="15">
        <f t="shared" si="10"/>
        <v>8000</v>
      </c>
      <c r="G128" s="19">
        <f t="shared" si="13"/>
        <v>40.090000000000003</v>
      </c>
      <c r="H128" s="19">
        <f t="shared" si="14"/>
        <v>0</v>
      </c>
      <c r="I128" s="19">
        <f t="shared" si="15"/>
        <v>0</v>
      </c>
      <c r="J128" s="20">
        <f t="shared" si="16"/>
        <v>0</v>
      </c>
      <c r="K128" s="20">
        <f t="shared" si="17"/>
        <v>0</v>
      </c>
      <c r="L128" s="18">
        <f t="shared" si="11"/>
        <v>40.090000000000003</v>
      </c>
      <c r="M128" s="18">
        <f t="shared" si="19"/>
        <v>12.635635491606715</v>
      </c>
      <c r="N128" s="18">
        <f t="shared" si="12"/>
        <v>52.725635491606717</v>
      </c>
      <c r="O128" s="16" t="s">
        <v>153</v>
      </c>
    </row>
    <row r="129" spans="1:15">
      <c r="A129" s="1" t="s">
        <v>119</v>
      </c>
      <c r="B129" s="11"/>
      <c r="C129" s="11">
        <v>6817000</v>
      </c>
      <c r="D129" s="11">
        <v>6833000</v>
      </c>
      <c r="E129" s="11">
        <v>0</v>
      </c>
      <c r="F129" s="11">
        <f t="shared" si="10"/>
        <v>16000</v>
      </c>
      <c r="G129" s="17">
        <f t="shared" si="13"/>
        <v>40.090000000000003</v>
      </c>
      <c r="H129" s="17">
        <f t="shared" si="14"/>
        <v>13.080000000000002</v>
      </c>
      <c r="I129" s="17">
        <f t="shared" si="15"/>
        <v>0</v>
      </c>
      <c r="J129" s="18">
        <f t="shared" si="16"/>
        <v>0</v>
      </c>
      <c r="K129" s="18">
        <f t="shared" si="17"/>
        <v>0</v>
      </c>
      <c r="L129" s="18">
        <f t="shared" si="11"/>
        <v>53.17</v>
      </c>
      <c r="M129" s="18">
        <f t="shared" si="19"/>
        <v>25.27127098321343</v>
      </c>
      <c r="N129" s="18">
        <f t="shared" si="12"/>
        <v>78.441270983213428</v>
      </c>
      <c r="O129" s="8"/>
    </row>
    <row r="130" spans="1:15">
      <c r="A130" s="1" t="s">
        <v>120</v>
      </c>
      <c r="B130" s="11"/>
      <c r="C130" s="11">
        <v>3674000</v>
      </c>
      <c r="D130" s="11">
        <v>3687000</v>
      </c>
      <c r="E130" s="11">
        <v>0</v>
      </c>
      <c r="F130" s="11">
        <f t="shared" si="10"/>
        <v>13000</v>
      </c>
      <c r="G130" s="17">
        <f t="shared" si="13"/>
        <v>40.090000000000003</v>
      </c>
      <c r="H130" s="17">
        <f t="shared" si="14"/>
        <v>6.5400000000000009</v>
      </c>
      <c r="I130" s="17">
        <f t="shared" si="15"/>
        <v>0</v>
      </c>
      <c r="J130" s="18">
        <f t="shared" si="16"/>
        <v>0</v>
      </c>
      <c r="K130" s="18">
        <f t="shared" si="17"/>
        <v>0</v>
      </c>
      <c r="L130" s="18">
        <f t="shared" si="11"/>
        <v>46.63</v>
      </c>
      <c r="M130" s="18">
        <f t="shared" si="19"/>
        <v>20.532907673860912</v>
      </c>
      <c r="N130" s="18">
        <f t="shared" si="12"/>
        <v>67.162907673860914</v>
      </c>
      <c r="O130" s="8"/>
    </row>
    <row r="131" spans="1:15">
      <c r="A131" s="1" t="s">
        <v>121</v>
      </c>
      <c r="B131" s="11" t="s">
        <v>138</v>
      </c>
      <c r="C131" s="11">
        <v>0</v>
      </c>
      <c r="D131" s="11">
        <v>0</v>
      </c>
      <c r="E131" s="11">
        <v>0</v>
      </c>
      <c r="F131" s="11">
        <f t="shared" si="10"/>
        <v>0</v>
      </c>
      <c r="G131" s="17">
        <f t="shared" si="13"/>
        <v>11.79</v>
      </c>
      <c r="H131" s="17">
        <f t="shared" si="14"/>
        <v>0</v>
      </c>
      <c r="I131" s="17">
        <f t="shared" si="15"/>
        <v>0</v>
      </c>
      <c r="J131" s="18">
        <f t="shared" si="16"/>
        <v>0</v>
      </c>
      <c r="K131" s="18">
        <f t="shared" si="17"/>
        <v>0</v>
      </c>
      <c r="L131" s="18">
        <f t="shared" si="11"/>
        <v>11.79</v>
      </c>
      <c r="M131" s="18">
        <f t="shared" si="19"/>
        <v>0</v>
      </c>
      <c r="N131" s="18">
        <f t="shared" si="12"/>
        <v>11.79</v>
      </c>
      <c r="O131" s="8"/>
    </row>
    <row r="132" spans="1:15">
      <c r="A132" s="1" t="s">
        <v>122</v>
      </c>
      <c r="B132" s="11"/>
      <c r="C132" s="11">
        <v>1264000</v>
      </c>
      <c r="D132" s="11">
        <v>1276000</v>
      </c>
      <c r="E132" s="11">
        <v>0</v>
      </c>
      <c r="F132" s="11">
        <f t="shared" si="10"/>
        <v>12000</v>
      </c>
      <c r="G132" s="17">
        <f t="shared" si="13"/>
        <v>40.090000000000003</v>
      </c>
      <c r="H132" s="17">
        <f t="shared" si="14"/>
        <v>4.3600000000000003</v>
      </c>
      <c r="I132" s="17">
        <f t="shared" si="15"/>
        <v>0</v>
      </c>
      <c r="J132" s="18">
        <f t="shared" si="16"/>
        <v>0</v>
      </c>
      <c r="K132" s="18">
        <f t="shared" si="17"/>
        <v>0</v>
      </c>
      <c r="L132" s="18">
        <f t="shared" si="11"/>
        <v>44.45</v>
      </c>
      <c r="M132" s="18">
        <f t="shared" si="19"/>
        <v>18.953453237410073</v>
      </c>
      <c r="N132" s="18">
        <f t="shared" si="12"/>
        <v>63.403453237410076</v>
      </c>
      <c r="O132" s="8"/>
    </row>
    <row r="133" spans="1:15">
      <c r="A133" s="1" t="s">
        <v>123</v>
      </c>
      <c r="B133" s="11" t="s">
        <v>138</v>
      </c>
      <c r="C133" s="11">
        <v>0</v>
      </c>
      <c r="D133" s="11">
        <v>0</v>
      </c>
      <c r="E133" s="11">
        <v>0</v>
      </c>
      <c r="F133" s="11">
        <f t="shared" si="10"/>
        <v>0</v>
      </c>
      <c r="G133" s="17">
        <f t="shared" si="13"/>
        <v>11.79</v>
      </c>
      <c r="H133" s="17">
        <f t="shared" si="14"/>
        <v>0</v>
      </c>
      <c r="I133" s="17">
        <f t="shared" si="15"/>
        <v>0</v>
      </c>
      <c r="J133" s="18">
        <f t="shared" si="16"/>
        <v>0</v>
      </c>
      <c r="K133" s="18">
        <f t="shared" si="17"/>
        <v>0</v>
      </c>
      <c r="L133" s="18">
        <f t="shared" si="11"/>
        <v>11.79</v>
      </c>
      <c r="M133" s="18">
        <f t="shared" si="19"/>
        <v>0</v>
      </c>
      <c r="N133" s="18">
        <f t="shared" si="12"/>
        <v>11.79</v>
      </c>
      <c r="O133" s="8"/>
    </row>
    <row r="134" spans="1:15">
      <c r="A134" s="1" t="s">
        <v>124</v>
      </c>
      <c r="B134" s="11" t="s">
        <v>138</v>
      </c>
      <c r="C134" s="11">
        <v>0</v>
      </c>
      <c r="D134" s="11">
        <v>0</v>
      </c>
      <c r="E134" s="11">
        <v>0</v>
      </c>
      <c r="F134" s="11">
        <f t="shared" si="10"/>
        <v>0</v>
      </c>
      <c r="G134" s="17">
        <f t="shared" si="13"/>
        <v>11.79</v>
      </c>
      <c r="H134" s="17">
        <f t="shared" si="14"/>
        <v>0</v>
      </c>
      <c r="I134" s="17">
        <f t="shared" si="15"/>
        <v>0</v>
      </c>
      <c r="J134" s="18">
        <f t="shared" si="16"/>
        <v>0</v>
      </c>
      <c r="K134" s="18">
        <f t="shared" si="17"/>
        <v>0</v>
      </c>
      <c r="L134" s="18">
        <f t="shared" si="11"/>
        <v>11.79</v>
      </c>
      <c r="M134" s="18">
        <f t="shared" si="19"/>
        <v>0</v>
      </c>
      <c r="N134" s="18">
        <f t="shared" si="12"/>
        <v>11.79</v>
      </c>
      <c r="O134" s="8"/>
    </row>
    <row r="135" spans="1:15">
      <c r="A135" s="1" t="s">
        <v>125</v>
      </c>
      <c r="B135" s="11" t="s">
        <v>138</v>
      </c>
      <c r="C135" s="11">
        <v>0</v>
      </c>
      <c r="D135" s="11">
        <v>0</v>
      </c>
      <c r="E135" s="11">
        <v>0</v>
      </c>
      <c r="F135" s="11">
        <f t="shared" si="10"/>
        <v>0</v>
      </c>
      <c r="G135" s="17">
        <f t="shared" si="13"/>
        <v>11.79</v>
      </c>
      <c r="H135" s="17">
        <f t="shared" si="14"/>
        <v>0</v>
      </c>
      <c r="I135" s="17">
        <f t="shared" si="15"/>
        <v>0</v>
      </c>
      <c r="J135" s="18">
        <f t="shared" si="16"/>
        <v>0</v>
      </c>
      <c r="K135" s="18">
        <f t="shared" si="17"/>
        <v>0</v>
      </c>
      <c r="L135" s="18">
        <f t="shared" si="11"/>
        <v>11.79</v>
      </c>
      <c r="M135" s="18">
        <f t="shared" si="19"/>
        <v>0</v>
      </c>
      <c r="N135" s="18">
        <f t="shared" si="12"/>
        <v>11.79</v>
      </c>
      <c r="O135" s="8"/>
    </row>
    <row r="136" spans="1:15">
      <c r="A136" s="1" t="s">
        <v>126</v>
      </c>
      <c r="B136" s="11"/>
      <c r="C136" s="11">
        <v>970000</v>
      </c>
      <c r="D136" s="11">
        <v>981000</v>
      </c>
      <c r="E136" s="11">
        <v>0</v>
      </c>
      <c r="F136" s="11">
        <f t="shared" si="10"/>
        <v>11000</v>
      </c>
      <c r="G136" s="17">
        <f t="shared" si="13"/>
        <v>40.090000000000003</v>
      </c>
      <c r="H136" s="17">
        <f t="shared" si="14"/>
        <v>2.1800000000000002</v>
      </c>
      <c r="I136" s="17">
        <f t="shared" si="15"/>
        <v>0</v>
      </c>
      <c r="J136" s="18">
        <f t="shared" si="16"/>
        <v>0</v>
      </c>
      <c r="K136" s="18">
        <f t="shared" si="17"/>
        <v>0</v>
      </c>
      <c r="L136" s="18">
        <f t="shared" si="11"/>
        <v>42.27</v>
      </c>
      <c r="M136" s="18">
        <f t="shared" si="19"/>
        <v>17.373998800959232</v>
      </c>
      <c r="N136" s="18">
        <f t="shared" si="12"/>
        <v>59.643998800959238</v>
      </c>
      <c r="O136" s="8"/>
    </row>
    <row r="137" spans="1:15">
      <c r="B137" s="11"/>
      <c r="C137" s="11"/>
      <c r="D137" s="11"/>
      <c r="E137" s="11"/>
      <c r="F137" s="11"/>
      <c r="G137" s="17"/>
      <c r="H137" s="17"/>
      <c r="I137" s="17"/>
      <c r="J137" s="18"/>
      <c r="K137" s="18"/>
      <c r="L137" s="18"/>
      <c r="M137" s="18"/>
      <c r="N137" s="18"/>
      <c r="O137" s="8"/>
    </row>
    <row r="138" spans="1:15">
      <c r="J138" s="1" t="s">
        <v>136</v>
      </c>
      <c r="M138" s="27">
        <f>SUM(M11:M136)</f>
        <v>2634.53</v>
      </c>
      <c r="N138" s="5">
        <f>SUM(N11:N136)</f>
        <v>9367.9399999999987</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1668000</v>
      </c>
      <c r="G140" s="75">
        <f t="shared" si="20"/>
        <v>4196.7500000000045</v>
      </c>
      <c r="H140" s="75">
        <f t="shared" si="20"/>
        <v>673.49</v>
      </c>
      <c r="I140" s="75">
        <f t="shared" si="20"/>
        <v>328.90000000000003</v>
      </c>
      <c r="J140" s="75">
        <f t="shared" si="20"/>
        <v>179.95000000000002</v>
      </c>
      <c r="K140" s="75">
        <f t="shared" si="20"/>
        <v>1354.32</v>
      </c>
      <c r="L140" s="75">
        <f t="shared" si="20"/>
        <v>6733.410000000008</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1824.2698741007191</v>
      </c>
      <c r="G143" s="25">
        <f>SUM(G18:G130)-G145</f>
        <v>3287.3800000000028</v>
      </c>
      <c r="H143" s="80">
        <f>SUM(H18:H130)-H145</f>
        <v>529.74000000000024</v>
      </c>
      <c r="I143" s="25">
        <f>SUM(I18:I130)-I145</f>
        <v>227.70000000000002</v>
      </c>
      <c r="J143" s="25">
        <f>SUM(J18:J130)-J145</f>
        <v>61.949999999999996</v>
      </c>
      <c r="K143" s="25">
        <f>SUM(K18:K130)-K145</f>
        <v>690.84</v>
      </c>
      <c r="L143" s="25">
        <f>SUM(F143:K143)</f>
        <v>4797.6100000000033</v>
      </c>
      <c r="M143" s="1"/>
    </row>
    <row r="144" spans="1:15" customFormat="1">
      <c r="A144" t="s">
        <v>255</v>
      </c>
      <c r="D144">
        <v>8</v>
      </c>
      <c r="E144" s="25">
        <f>SUM(M11:M15)+M17+SUM(M131:M136)</f>
        <v>615.98723021582737</v>
      </c>
      <c r="G144" s="34">
        <f>SUM(G11:G15)+G17+G132+G136</f>
        <v>320.72000000000003</v>
      </c>
      <c r="H144" s="34">
        <f>SUM(H11:H15)+H17+H132+H136</f>
        <v>100.28000000000002</v>
      </c>
      <c r="I144" s="34">
        <f>SUM(I11:I15)+I17+I132+I136</f>
        <v>101.19999999999999</v>
      </c>
      <c r="J144" s="34">
        <f>SUM(J11:J15)+J17+J132+J136</f>
        <v>118</v>
      </c>
      <c r="K144" s="34">
        <f>SUM(K11:K15)+K17+K132+K136</f>
        <v>663.4799999999999</v>
      </c>
      <c r="L144" s="25">
        <f t="shared" ref="L144:L147" si="21">SUM(F144:K144)</f>
        <v>1303.6799999999998</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21"/>
        <v>47.16</v>
      </c>
      <c r="M146" s="1"/>
    </row>
    <row r="147" spans="1:13" customFormat="1">
      <c r="A147" t="s">
        <v>253</v>
      </c>
      <c r="D147">
        <v>1</v>
      </c>
      <c r="E147" s="25">
        <f>M16</f>
        <v>194.27289568345324</v>
      </c>
      <c r="G147" s="25">
        <f>G16</f>
        <v>176</v>
      </c>
      <c r="H147" s="25">
        <f>H16</f>
        <v>43.47</v>
      </c>
      <c r="I147" s="25">
        <f>I16</f>
        <v>0</v>
      </c>
      <c r="J147" s="25">
        <f>J16</f>
        <v>0</v>
      </c>
      <c r="K147" s="25">
        <f>K16</f>
        <v>0</v>
      </c>
      <c r="L147" s="25">
        <f t="shared" si="21"/>
        <v>219.47</v>
      </c>
      <c r="M147" s="1"/>
    </row>
    <row r="148" spans="1:13" customFormat="1" ht="15.75" thickBot="1">
      <c r="B148" t="s">
        <v>257</v>
      </c>
      <c r="D148" s="73">
        <f>SUM(D143:D147)</f>
        <v>126</v>
      </c>
      <c r="E148" s="74">
        <f>SUM(E143:E147)</f>
        <v>2634.5299999999993</v>
      </c>
      <c r="F148" s="73"/>
      <c r="G148" s="74">
        <f t="shared" ref="G148:L148" si="22">SUM(G143:G147)</f>
        <v>4196.7500000000036</v>
      </c>
      <c r="H148" s="74">
        <f t="shared" si="22"/>
        <v>673.49000000000024</v>
      </c>
      <c r="I148" s="74">
        <f t="shared" si="22"/>
        <v>328.9</v>
      </c>
      <c r="J148" s="74">
        <f t="shared" si="22"/>
        <v>179.95</v>
      </c>
      <c r="K148" s="74">
        <f t="shared" si="22"/>
        <v>1354.32</v>
      </c>
      <c r="L148" s="74">
        <f t="shared" si="22"/>
        <v>6733.4100000000026</v>
      </c>
      <c r="M148" s="1"/>
    </row>
    <row r="149" spans="1:13" customFormat="1" ht="16.5" thickTop="1" thickBot="1">
      <c r="D149" s="78"/>
      <c r="E149" s="78"/>
      <c r="F149" s="78"/>
      <c r="G149" s="79"/>
      <c r="H149" s="79"/>
      <c r="I149" s="79"/>
      <c r="J149" s="79"/>
      <c r="K149" s="79"/>
      <c r="L149" s="79"/>
      <c r="M149" s="1"/>
    </row>
    <row r="150" spans="1:13" customFormat="1">
      <c r="D150" s="188" t="s">
        <v>376</v>
      </c>
      <c r="E150" s="78"/>
      <c r="F150" s="78"/>
      <c r="G150" s="79"/>
      <c r="H150" s="79"/>
      <c r="I150" s="79"/>
      <c r="J150" s="79"/>
      <c r="K150" s="79"/>
      <c r="L150" s="79"/>
      <c r="M150" s="1"/>
    </row>
    <row r="151" spans="1:13" customFormat="1" ht="15.75" thickBot="1">
      <c r="D151" s="189" t="s">
        <v>375</v>
      </c>
      <c r="E151" s="78"/>
      <c r="F151" s="78"/>
      <c r="G151" s="79"/>
      <c r="H151" s="79"/>
      <c r="I151" s="79"/>
      <c r="J151" s="79"/>
      <c r="K151" s="79"/>
      <c r="L151" s="79"/>
      <c r="M151" s="1"/>
    </row>
    <row r="152" spans="1:13" customFormat="1">
      <c r="A152" t="s">
        <v>262</v>
      </c>
      <c r="D152" s="81">
        <f>COUNTIF(M18:M130,"&gt;0")</f>
        <v>81</v>
      </c>
      <c r="E152" s="81">
        <f>E143/E148*N7</f>
        <v>307446.04316546762</v>
      </c>
      <c r="F152" s="75"/>
      <c r="G152" s="81">
        <f>F140-G153-G154-(SUM(H155:K155))</f>
        <v>598999.99999999988</v>
      </c>
      <c r="H152" s="81">
        <f>H143/2.18*1000</f>
        <v>243000.00000000009</v>
      </c>
      <c r="I152" s="81">
        <f>I143/2.53*1000</f>
        <v>90000.000000000015</v>
      </c>
      <c r="J152" s="81">
        <f>J143/2.95*1000</f>
        <v>20999.999999999996</v>
      </c>
      <c r="K152" s="81">
        <f>K143/3.42*1000</f>
        <v>202000</v>
      </c>
      <c r="L152" s="81">
        <f>SUM(G152:K152)</f>
        <v>1155000</v>
      </c>
      <c r="M152" s="1"/>
    </row>
    <row r="153" spans="1:13" customFormat="1">
      <c r="A153" t="s">
        <v>263</v>
      </c>
      <c r="D153" s="81">
        <v>7</v>
      </c>
      <c r="E153" s="81">
        <f>E144/E148*N7</f>
        <v>103812.9496402878</v>
      </c>
      <c r="F153" s="75"/>
      <c r="G153" s="81">
        <f>(SUM(F11:F15)+F17+SUM(F131:F136)-H153-I153-J153-K153)</f>
        <v>70000.000000000029</v>
      </c>
      <c r="H153" s="81">
        <f>H144/2.18*1000</f>
        <v>46000.000000000007</v>
      </c>
      <c r="I153" s="81">
        <f>I144/2.53*1000</f>
        <v>40000</v>
      </c>
      <c r="J153" s="81">
        <f>J144/2.95*1000</f>
        <v>40000</v>
      </c>
      <c r="K153" s="81">
        <f>K144/3.42*1000</f>
        <v>193999.99999999997</v>
      </c>
      <c r="L153" s="81">
        <f>SUM(G153:K153)</f>
        <v>390000</v>
      </c>
      <c r="M153" s="1"/>
    </row>
    <row r="154" spans="1:13" customFormat="1">
      <c r="A154" t="s">
        <v>264</v>
      </c>
      <c r="D154" s="81">
        <v>0</v>
      </c>
      <c r="E154" s="81">
        <f>E147/E148*N7</f>
        <v>32741.007194244616</v>
      </c>
      <c r="F154" s="75"/>
      <c r="G154" s="81">
        <f>IF(F16&gt;100000,100000,F16)</f>
        <v>100000</v>
      </c>
      <c r="H154" s="81">
        <f>H147/1.89*1000</f>
        <v>23000</v>
      </c>
      <c r="I154" s="81" t="s">
        <v>259</v>
      </c>
      <c r="J154" s="81" t="s">
        <v>259</v>
      </c>
      <c r="K154" s="81" t="s">
        <v>259</v>
      </c>
      <c r="L154" s="81">
        <f>SUM(G154:K154)</f>
        <v>123000</v>
      </c>
      <c r="M154" s="1"/>
    </row>
    <row r="155" spans="1:13" customFormat="1" ht="15.75" thickBot="1">
      <c r="B155" t="s">
        <v>265</v>
      </c>
      <c r="D155" s="82"/>
      <c r="E155" s="82">
        <f>SUM(E152:E154)</f>
        <v>444000</v>
      </c>
      <c r="F155" s="77"/>
      <c r="G155" s="82">
        <f>G152+G153+G154</f>
        <v>768999.99999999988</v>
      </c>
      <c r="H155" s="82">
        <f>SUM(H152:H154)</f>
        <v>312000.00000000012</v>
      </c>
      <c r="I155" s="82">
        <f>SUM(I152:I154)</f>
        <v>130000.00000000001</v>
      </c>
      <c r="J155" s="82">
        <f>SUM(J152:J154)</f>
        <v>61000</v>
      </c>
      <c r="K155" s="82">
        <f>SUM(K152:K154)</f>
        <v>396000</v>
      </c>
      <c r="L155" s="82">
        <f>SUM(L152:L154)</f>
        <v>1668000</v>
      </c>
      <c r="M155" s="1"/>
    </row>
    <row r="156" spans="1:13" ht="15.75" thickTop="1">
      <c r="E156" s="1" t="s">
        <v>274</v>
      </c>
    </row>
    <row r="157" spans="1:13">
      <c r="E157" s="75" t="s">
        <v>275</v>
      </c>
    </row>
    <row r="158" spans="1:13">
      <c r="E158" s="75" t="s">
        <v>273</v>
      </c>
    </row>
    <row r="159" spans="1:13">
      <c r="E159"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O159"/>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36">
        <v>40787</v>
      </c>
      <c r="D4" s="1" t="s">
        <v>146</v>
      </c>
      <c r="G4" s="1" t="s">
        <v>156</v>
      </c>
      <c r="K4" s="1" t="s">
        <v>149</v>
      </c>
      <c r="N4" s="1">
        <f>SUM(F11:F136)</f>
        <v>3170500</v>
      </c>
    </row>
    <row r="5" spans="1:15">
      <c r="B5" s="4"/>
      <c r="D5" s="1" t="s">
        <v>144</v>
      </c>
      <c r="E5" s="1">
        <v>4773900</v>
      </c>
      <c r="G5" s="1" t="s">
        <v>155</v>
      </c>
      <c r="H5" s="1">
        <v>1</v>
      </c>
      <c r="K5" s="1" t="s">
        <v>154</v>
      </c>
      <c r="N5" s="1">
        <f>N4-F16</f>
        <v>3135500</v>
      </c>
    </row>
    <row r="6" spans="1:15">
      <c r="B6" s="4"/>
      <c r="D6" s="1" t="s">
        <v>145</v>
      </c>
      <c r="E6" s="1">
        <v>6031500</v>
      </c>
      <c r="G6" s="1" t="s">
        <v>158</v>
      </c>
      <c r="H6" s="1">
        <v>0</v>
      </c>
      <c r="K6" s="1" t="s">
        <v>160</v>
      </c>
      <c r="N6" s="1">
        <f>SUMIF(F11:F15,"&gt;" &amp; $H$6)+SUMIF(F17:F136,"&gt;" &amp; $H$6)+SUMIF(F16,"&gt;" &amp; $H$7)</f>
        <v>3170500</v>
      </c>
    </row>
    <row r="7" spans="1:15">
      <c r="B7" s="4"/>
      <c r="D7" s="1" t="s">
        <v>150</v>
      </c>
      <c r="E7" s="12">
        <f>E6-E5</f>
        <v>1257600</v>
      </c>
      <c r="G7" s="1" t="s">
        <v>159</v>
      </c>
      <c r="H7" s="12">
        <v>0</v>
      </c>
      <c r="K7" s="1" t="s">
        <v>161</v>
      </c>
      <c r="N7" s="1">
        <f>(SUMIF(F11:F15,"&gt;" &amp; $H$6)-(COUNTIF(F11:F15,"&gt;" &amp; $H$6)*$H$6))+(SUMIF(F17:F136,"&gt;" &amp; $H$6)-(COUNTIF(F17:F136,"&gt;" &amp; $H$6)*$H$6))+(SUMIF(F16,"&gt;" &amp; $H$7)-(COUNTIF(F16,"&gt;" &amp; $H$7)*$H$7))</f>
        <v>3170500</v>
      </c>
    </row>
    <row r="8" spans="1:15">
      <c r="D8" s="1" t="s">
        <v>147</v>
      </c>
      <c r="E8" s="6">
        <v>1925.81</v>
      </c>
      <c r="H8" s="6"/>
    </row>
    <row r="10" spans="1:15">
      <c r="A10" s="7" t="s">
        <v>0</v>
      </c>
      <c r="B10" s="10" t="s">
        <v>137</v>
      </c>
      <c r="C10" s="13" t="s">
        <v>151</v>
      </c>
      <c r="D10" s="13" t="s">
        <v>152</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7170000</v>
      </c>
      <c r="D11" s="11">
        <v>7445000</v>
      </c>
      <c r="E11" s="11">
        <v>0</v>
      </c>
      <c r="F11" s="11">
        <f>($D11-$C11)+$E11</f>
        <v>275000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803.69999999999993</v>
      </c>
      <c r="L11" s="18">
        <f>SUM(G11:K11)</f>
        <v>920.38999999999987</v>
      </c>
      <c r="M11" s="18">
        <f>IF(   $H$5=1,    IF((F11-$H$6)&gt;0,((F11-$H$6)/$N$7)*$E$8,0),   IF(F11&gt;0,(F11/$N$4)*$E$8,0)    )</f>
        <v>167.0391894023025</v>
      </c>
      <c r="N11" s="18">
        <f>SUM(L11:M11)</f>
        <v>1087.4291894023024</v>
      </c>
      <c r="O11" s="8"/>
    </row>
    <row r="12" spans="1:15">
      <c r="A12" s="1" t="s">
        <v>2</v>
      </c>
      <c r="B12" s="11"/>
      <c r="C12" s="11">
        <v>6364000</v>
      </c>
      <c r="D12" s="11">
        <v>6491000</v>
      </c>
      <c r="E12" s="11">
        <v>0</v>
      </c>
      <c r="F12" s="11">
        <f t="shared" ref="F12:F75" si="0">($D12-$C12)+$E12</f>
        <v>127000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297.54000000000002</v>
      </c>
      <c r="L12" s="18">
        <f t="shared" ref="L12:L75" si="1">SUM(G12:K12)</f>
        <v>414.23</v>
      </c>
      <c r="M12" s="18">
        <f>IF(   $H$5=1,    IF((F12-$H$6)&gt;0,((F12-$H$6)/$N$7)*$E$8,0),   IF(F12&gt;0,(F12/$N$4)*$E$8,0)    )</f>
        <v>77.141734742154227</v>
      </c>
      <c r="N12" s="18">
        <f t="shared" ref="N12:N75" si="2">SUM(L12:M12)</f>
        <v>491.37173474215422</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2988000</v>
      </c>
      <c r="D14" s="11">
        <v>3206000</v>
      </c>
      <c r="E14" s="11">
        <v>0</v>
      </c>
      <c r="F14" s="11">
        <f t="shared" si="0"/>
        <v>218000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608.76</v>
      </c>
      <c r="L14" s="18">
        <f t="shared" si="1"/>
        <v>725.45</v>
      </c>
      <c r="M14" s="18">
        <f>IF(   $H$5=1,    IF((F14-$H$6)&gt;0,((F14-$H$6)/$N$7)*$E$8,0),   IF(F14&gt;0,(F14/$N$4)*$E$8,0)    )</f>
        <v>132.41652105346159</v>
      </c>
      <c r="N14" s="18">
        <f t="shared" si="2"/>
        <v>857.86652105346161</v>
      </c>
      <c r="O14" s="8"/>
    </row>
    <row r="15" spans="1:15">
      <c r="A15" s="1" t="s">
        <v>5</v>
      </c>
      <c r="B15" s="11"/>
      <c r="C15" s="11">
        <v>2030000</v>
      </c>
      <c r="D15" s="11">
        <v>2132000</v>
      </c>
      <c r="E15" s="11">
        <v>0</v>
      </c>
      <c r="F15" s="11">
        <f t="shared" si="0"/>
        <v>102000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212.04</v>
      </c>
      <c r="L15" s="18">
        <f t="shared" si="1"/>
        <v>328.73</v>
      </c>
      <c r="M15" s="18">
        <f>IF(   $H$5=1,    IF((F15-$H$6)&gt;0,((F15-$H$6)/$N$7)*$E$8,0),   IF(F15&gt;0,(F15/$N$4)*$E$8,0)    )</f>
        <v>61.956353887399466</v>
      </c>
      <c r="N15" s="18">
        <f t="shared" si="2"/>
        <v>390.68635388739949</v>
      </c>
      <c r="O15" s="8"/>
    </row>
    <row r="16" spans="1:15">
      <c r="A16" s="1" t="s">
        <v>6</v>
      </c>
      <c r="B16" s="11"/>
      <c r="C16" s="11">
        <v>24443000</v>
      </c>
      <c r="D16" s="11">
        <v>24728000</v>
      </c>
      <c r="E16" s="11">
        <v>0</v>
      </c>
      <c r="F16" s="83">
        <v>35000</v>
      </c>
      <c r="G16" s="17">
        <v>176</v>
      </c>
      <c r="H16" s="17">
        <f>IF(($F16-100000)&gt;=0,($F16-100000)/1000*1.89,0)</f>
        <v>0</v>
      </c>
      <c r="I16" s="17"/>
      <c r="J16" s="18"/>
      <c r="K16" s="18"/>
      <c r="L16" s="18">
        <f t="shared" si="1"/>
        <v>176</v>
      </c>
      <c r="M16" s="18">
        <f>IF(   $H$5=1,     IF((F16-$H$7)&gt;0,((F16-$H$7)/$N$7)*$E$8,0),   IF(F16&gt;0,(F16/$N$4)*$E$8,0)    )</f>
        <v>21.25953319665668</v>
      </c>
      <c r="N16" s="18">
        <f t="shared" si="2"/>
        <v>197.25953319665669</v>
      </c>
      <c r="O16" s="8" t="s">
        <v>133</v>
      </c>
    </row>
    <row r="17" spans="1:15">
      <c r="A17" s="1" t="s">
        <v>7</v>
      </c>
      <c r="B17" s="11"/>
      <c r="C17" s="11">
        <v>493000</v>
      </c>
      <c r="D17" s="11">
        <v>509000</v>
      </c>
      <c r="E17" s="11">
        <v>0</v>
      </c>
      <c r="F17" s="11">
        <f t="shared" si="0"/>
        <v>16000</v>
      </c>
      <c r="G17" s="17">
        <f t="shared" ref="G17:G80" si="3">IF(OR($F17&gt;0,$B17=""),40.09,11.79)</f>
        <v>40.090000000000003</v>
      </c>
      <c r="H17" s="17">
        <f t="shared" ref="H17:H80" si="4">IF(AND((($F17-10000)&gt;=0),(($F17-10000)&lt;= 10000)),($F17-10000)/1000*2.18,IF(($F17-10000)&gt;=10000,2.18*10,0))</f>
        <v>13.080000000000002</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53.17</v>
      </c>
      <c r="M17" s="18">
        <f t="shared" ref="M17:M80" si="8">IF(   $H$5=1,    IF((F17-$H$6)&gt;0,((F17-$H$6)/$N$7)*$E$8,0),   IF(F17&gt;0,(F17/$N$4)*$E$8,0)    )</f>
        <v>9.7186437470430516</v>
      </c>
      <c r="N17" s="18">
        <f t="shared" si="2"/>
        <v>62.888643747043055</v>
      </c>
      <c r="O17" s="8"/>
    </row>
    <row r="18" spans="1:15">
      <c r="A18" s="1" t="s">
        <v>8</v>
      </c>
      <c r="B18" s="11"/>
      <c r="C18" s="11">
        <v>2173000</v>
      </c>
      <c r="D18" s="11">
        <v>2199000</v>
      </c>
      <c r="E18" s="11">
        <v>0</v>
      </c>
      <c r="F18" s="11">
        <f t="shared" si="0"/>
        <v>26000</v>
      </c>
      <c r="G18" s="17">
        <f t="shared" si="3"/>
        <v>40.090000000000003</v>
      </c>
      <c r="H18" s="17">
        <f t="shared" si="4"/>
        <v>21.8</v>
      </c>
      <c r="I18" s="17">
        <f t="shared" si="5"/>
        <v>15.18</v>
      </c>
      <c r="J18" s="18">
        <f t="shared" si="6"/>
        <v>0</v>
      </c>
      <c r="K18" s="18">
        <f t="shared" si="7"/>
        <v>0</v>
      </c>
      <c r="L18" s="18">
        <f t="shared" si="1"/>
        <v>77.069999999999993</v>
      </c>
      <c r="M18" s="18">
        <f t="shared" si="8"/>
        <v>15.792796088944961</v>
      </c>
      <c r="N18" s="18">
        <f t="shared" si="2"/>
        <v>92.862796088944947</v>
      </c>
      <c r="O18" s="8"/>
    </row>
    <row r="19" spans="1:15">
      <c r="A19" s="1" t="s">
        <v>9</v>
      </c>
      <c r="B19" s="11"/>
      <c r="C19" s="11">
        <v>121000</v>
      </c>
      <c r="D19" s="11">
        <v>158000</v>
      </c>
      <c r="E19" s="11">
        <v>0</v>
      </c>
      <c r="F19" s="11">
        <f t="shared" si="0"/>
        <v>37000</v>
      </c>
      <c r="G19" s="17">
        <f t="shared" si="3"/>
        <v>40.090000000000003</v>
      </c>
      <c r="H19" s="17">
        <f t="shared" si="4"/>
        <v>21.8</v>
      </c>
      <c r="I19" s="17">
        <f t="shared" si="5"/>
        <v>25.299999999999997</v>
      </c>
      <c r="J19" s="18">
        <f t="shared" si="6"/>
        <v>20.650000000000002</v>
      </c>
      <c r="K19" s="18">
        <f t="shared" si="7"/>
        <v>0</v>
      </c>
      <c r="L19" s="18">
        <f t="shared" si="1"/>
        <v>107.84</v>
      </c>
      <c r="M19" s="18">
        <f t="shared" si="8"/>
        <v>22.47436366503706</v>
      </c>
      <c r="N19" s="18">
        <f t="shared" si="2"/>
        <v>130.31436366503706</v>
      </c>
      <c r="O19" s="8"/>
    </row>
    <row r="20" spans="1:15">
      <c r="A20" s="1" t="s">
        <v>10</v>
      </c>
      <c r="B20" s="11"/>
      <c r="C20" s="11">
        <v>1475000</v>
      </c>
      <c r="D20" s="11">
        <v>1496000</v>
      </c>
      <c r="E20" s="11">
        <v>0</v>
      </c>
      <c r="F20" s="11">
        <f t="shared" si="0"/>
        <v>21000</v>
      </c>
      <c r="G20" s="17">
        <f t="shared" si="3"/>
        <v>40.090000000000003</v>
      </c>
      <c r="H20" s="17">
        <f t="shared" si="4"/>
        <v>21.8</v>
      </c>
      <c r="I20" s="17">
        <f t="shared" si="5"/>
        <v>2.5299999999999998</v>
      </c>
      <c r="J20" s="18">
        <f t="shared" si="6"/>
        <v>0</v>
      </c>
      <c r="K20" s="18">
        <f t="shared" si="7"/>
        <v>0</v>
      </c>
      <c r="L20" s="18">
        <f t="shared" si="1"/>
        <v>64.42</v>
      </c>
      <c r="M20" s="18">
        <f t="shared" si="8"/>
        <v>12.755719917994007</v>
      </c>
      <c r="N20" s="18">
        <f t="shared" si="2"/>
        <v>77.175719917994002</v>
      </c>
      <c r="O20" s="8"/>
    </row>
    <row r="21" spans="1:15">
      <c r="A21" s="1" t="s">
        <v>11</v>
      </c>
      <c r="B21" s="11"/>
      <c r="C21" s="11">
        <v>1935000</v>
      </c>
      <c r="D21" s="11">
        <v>1947000</v>
      </c>
      <c r="E21" s="11">
        <v>0</v>
      </c>
      <c r="F21" s="11">
        <f t="shared" si="0"/>
        <v>12000</v>
      </c>
      <c r="G21" s="17">
        <f t="shared" si="3"/>
        <v>40.090000000000003</v>
      </c>
      <c r="H21" s="17">
        <f t="shared" si="4"/>
        <v>4.3600000000000003</v>
      </c>
      <c r="I21" s="17">
        <f t="shared" si="5"/>
        <v>0</v>
      </c>
      <c r="J21" s="18">
        <f t="shared" si="6"/>
        <v>0</v>
      </c>
      <c r="K21" s="18">
        <f t="shared" si="7"/>
        <v>0</v>
      </c>
      <c r="L21" s="18">
        <f t="shared" si="1"/>
        <v>44.45</v>
      </c>
      <c r="M21" s="18">
        <f t="shared" si="8"/>
        <v>7.28898281028229</v>
      </c>
      <c r="N21" s="18">
        <f t="shared" si="2"/>
        <v>51.738982810282295</v>
      </c>
      <c r="O21" s="8"/>
    </row>
    <row r="22" spans="1:15">
      <c r="A22" s="1" t="s">
        <v>12</v>
      </c>
      <c r="B22" s="11"/>
      <c r="C22" s="11">
        <v>2135000</v>
      </c>
      <c r="D22" s="11">
        <v>2165000</v>
      </c>
      <c r="E22" s="11">
        <v>0</v>
      </c>
      <c r="F22" s="11">
        <f t="shared" si="0"/>
        <v>30000</v>
      </c>
      <c r="G22" s="17">
        <f t="shared" si="3"/>
        <v>40.090000000000003</v>
      </c>
      <c r="H22" s="17">
        <f t="shared" si="4"/>
        <v>21.8</v>
      </c>
      <c r="I22" s="17">
        <f t="shared" si="5"/>
        <v>25.299999999999997</v>
      </c>
      <c r="J22" s="18">
        <f t="shared" si="6"/>
        <v>0</v>
      </c>
      <c r="K22" s="18">
        <f t="shared" si="7"/>
        <v>0</v>
      </c>
      <c r="L22" s="18">
        <f t="shared" si="1"/>
        <v>87.19</v>
      </c>
      <c r="M22" s="18">
        <f t="shared" si="8"/>
        <v>18.222457025705726</v>
      </c>
      <c r="N22" s="18">
        <f t="shared" si="2"/>
        <v>105.41245702570572</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6306000</v>
      </c>
      <c r="D24" s="11">
        <v>6378000</v>
      </c>
      <c r="E24" s="11">
        <v>0</v>
      </c>
      <c r="F24" s="11">
        <f t="shared" si="0"/>
        <v>72000</v>
      </c>
      <c r="G24" s="17">
        <f t="shared" si="3"/>
        <v>40.090000000000003</v>
      </c>
      <c r="H24" s="17">
        <f t="shared" si="4"/>
        <v>21.8</v>
      </c>
      <c r="I24" s="17">
        <f t="shared" si="5"/>
        <v>25.299999999999997</v>
      </c>
      <c r="J24" s="18">
        <f t="shared" si="6"/>
        <v>29.5</v>
      </c>
      <c r="K24" s="18">
        <f t="shared" si="7"/>
        <v>109.44</v>
      </c>
      <c r="L24" s="18">
        <f t="shared" si="1"/>
        <v>226.13</v>
      </c>
      <c r="M24" s="18">
        <f t="shared" si="8"/>
        <v>43.733896861693736</v>
      </c>
      <c r="N24" s="18">
        <f t="shared" si="2"/>
        <v>269.86389686169372</v>
      </c>
      <c r="O24" s="8"/>
    </row>
    <row r="25" spans="1:15">
      <c r="A25" s="1" t="s">
        <v>15</v>
      </c>
      <c r="B25" s="11"/>
      <c r="C25" s="11">
        <v>2588000</v>
      </c>
      <c r="D25" s="11">
        <v>2630000</v>
      </c>
      <c r="E25" s="11">
        <v>0</v>
      </c>
      <c r="F25" s="11">
        <f t="shared" si="0"/>
        <v>42000</v>
      </c>
      <c r="G25" s="17">
        <f t="shared" si="3"/>
        <v>40.090000000000003</v>
      </c>
      <c r="H25" s="17">
        <f t="shared" si="4"/>
        <v>21.8</v>
      </c>
      <c r="I25" s="17">
        <f t="shared" si="5"/>
        <v>25.299999999999997</v>
      </c>
      <c r="J25" s="18">
        <f t="shared" si="6"/>
        <v>29.5</v>
      </c>
      <c r="K25" s="18">
        <f t="shared" si="7"/>
        <v>6.84</v>
      </c>
      <c r="L25" s="18">
        <f t="shared" si="1"/>
        <v>123.53</v>
      </c>
      <c r="M25" s="18">
        <f t="shared" si="8"/>
        <v>25.511439835988014</v>
      </c>
      <c r="N25" s="18">
        <f t="shared" si="2"/>
        <v>149.041439835988</v>
      </c>
      <c r="O25" s="8"/>
    </row>
    <row r="26" spans="1:15">
      <c r="A26" s="1" t="s">
        <v>16</v>
      </c>
      <c r="B26" s="11"/>
      <c r="C26" s="11">
        <v>1541000</v>
      </c>
      <c r="D26" s="11">
        <v>1566000</v>
      </c>
      <c r="E26" s="11">
        <v>0</v>
      </c>
      <c r="F26" s="11">
        <f t="shared" si="0"/>
        <v>25000</v>
      </c>
      <c r="G26" s="17">
        <f t="shared" si="3"/>
        <v>40.090000000000003</v>
      </c>
      <c r="H26" s="17">
        <f t="shared" si="4"/>
        <v>21.8</v>
      </c>
      <c r="I26" s="17">
        <f t="shared" si="5"/>
        <v>12.649999999999999</v>
      </c>
      <c r="J26" s="18">
        <f t="shared" si="6"/>
        <v>0</v>
      </c>
      <c r="K26" s="18">
        <f t="shared" si="7"/>
        <v>0</v>
      </c>
      <c r="L26" s="18">
        <f t="shared" si="1"/>
        <v>74.539999999999992</v>
      </c>
      <c r="M26" s="18">
        <f t="shared" si="8"/>
        <v>15.18538085475477</v>
      </c>
      <c r="N26" s="18">
        <f t="shared" si="2"/>
        <v>89.725380854754761</v>
      </c>
      <c r="O26" s="8"/>
    </row>
    <row r="27" spans="1:15">
      <c r="A27" s="1" t="s">
        <v>17</v>
      </c>
      <c r="B27" s="11"/>
      <c r="C27" s="11">
        <v>1147000</v>
      </c>
      <c r="D27" s="11">
        <v>1154000</v>
      </c>
      <c r="E27" s="11">
        <v>0</v>
      </c>
      <c r="F27" s="11">
        <f t="shared" si="0"/>
        <v>7000</v>
      </c>
      <c r="G27" s="17">
        <f t="shared" si="3"/>
        <v>40.090000000000003</v>
      </c>
      <c r="H27" s="17">
        <f t="shared" si="4"/>
        <v>0</v>
      </c>
      <c r="I27" s="17">
        <f t="shared" si="5"/>
        <v>0</v>
      </c>
      <c r="J27" s="18">
        <f t="shared" si="6"/>
        <v>0</v>
      </c>
      <c r="K27" s="18">
        <f t="shared" si="7"/>
        <v>0</v>
      </c>
      <c r="L27" s="18">
        <f t="shared" si="1"/>
        <v>40.090000000000003</v>
      </c>
      <c r="M27" s="18">
        <f t="shared" si="8"/>
        <v>4.2519066393313354</v>
      </c>
      <c r="N27" s="18">
        <f t="shared" si="2"/>
        <v>44.341906639331341</v>
      </c>
      <c r="O27" s="8"/>
    </row>
    <row r="28" spans="1:15">
      <c r="A28" s="1" t="s">
        <v>18</v>
      </c>
      <c r="B28" s="11"/>
      <c r="C28" s="11">
        <v>4007000</v>
      </c>
      <c r="D28" s="11">
        <v>4018000</v>
      </c>
      <c r="E28" s="11">
        <v>0</v>
      </c>
      <c r="F28" s="11">
        <f t="shared" si="0"/>
        <v>11000</v>
      </c>
      <c r="G28" s="17">
        <f t="shared" si="3"/>
        <v>40.090000000000003</v>
      </c>
      <c r="H28" s="17">
        <f t="shared" si="4"/>
        <v>2.1800000000000002</v>
      </c>
      <c r="I28" s="17">
        <f t="shared" si="5"/>
        <v>0</v>
      </c>
      <c r="J28" s="18">
        <f t="shared" si="6"/>
        <v>0</v>
      </c>
      <c r="K28" s="18">
        <f t="shared" si="7"/>
        <v>0</v>
      </c>
      <c r="L28" s="18">
        <f t="shared" si="1"/>
        <v>42.27</v>
      </c>
      <c r="M28" s="18">
        <f t="shared" si="8"/>
        <v>6.6815675760920987</v>
      </c>
      <c r="N28" s="18">
        <f t="shared" si="2"/>
        <v>48.951567576092103</v>
      </c>
      <c r="O28" s="8"/>
    </row>
    <row r="29" spans="1:15">
      <c r="A29" s="1" t="s">
        <v>19</v>
      </c>
      <c r="B29" s="11"/>
      <c r="C29" s="11">
        <v>1099000</v>
      </c>
      <c r="D29" s="11">
        <v>1148000</v>
      </c>
      <c r="E29" s="11">
        <v>0</v>
      </c>
      <c r="F29" s="11">
        <f t="shared" si="0"/>
        <v>49000</v>
      </c>
      <c r="G29" s="17">
        <f t="shared" si="3"/>
        <v>40.090000000000003</v>
      </c>
      <c r="H29" s="17">
        <f t="shared" si="4"/>
        <v>21.8</v>
      </c>
      <c r="I29" s="17">
        <f t="shared" si="5"/>
        <v>25.299999999999997</v>
      </c>
      <c r="J29" s="18">
        <f t="shared" si="6"/>
        <v>29.5</v>
      </c>
      <c r="K29" s="18">
        <f t="shared" si="7"/>
        <v>30.78</v>
      </c>
      <c r="L29" s="18">
        <f t="shared" si="1"/>
        <v>147.47</v>
      </c>
      <c r="M29" s="18">
        <f t="shared" si="8"/>
        <v>29.763346475319349</v>
      </c>
      <c r="N29" s="18">
        <f t="shared" si="2"/>
        <v>177.23334647531934</v>
      </c>
      <c r="O29" s="8"/>
    </row>
    <row r="30" spans="1:15">
      <c r="A30" s="1" t="s">
        <v>20</v>
      </c>
      <c r="B30" s="11"/>
      <c r="C30" s="11">
        <v>2175000</v>
      </c>
      <c r="D30" s="11">
        <v>2211000</v>
      </c>
      <c r="E30" s="11">
        <v>0</v>
      </c>
      <c r="F30" s="11">
        <f t="shared" si="0"/>
        <v>36000</v>
      </c>
      <c r="G30" s="17">
        <f t="shared" si="3"/>
        <v>40.090000000000003</v>
      </c>
      <c r="H30" s="17">
        <f t="shared" si="4"/>
        <v>21.8</v>
      </c>
      <c r="I30" s="17">
        <f t="shared" si="5"/>
        <v>25.299999999999997</v>
      </c>
      <c r="J30" s="18">
        <f t="shared" si="6"/>
        <v>17.700000000000003</v>
      </c>
      <c r="K30" s="18">
        <f t="shared" si="7"/>
        <v>0</v>
      </c>
      <c r="L30" s="18">
        <f t="shared" si="1"/>
        <v>104.89</v>
      </c>
      <c r="M30" s="18">
        <f t="shared" si="8"/>
        <v>21.866948430846868</v>
      </c>
      <c r="N30" s="18">
        <f t="shared" si="2"/>
        <v>126.75694843084688</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592000</v>
      </c>
      <c r="D32" s="11">
        <v>603000</v>
      </c>
      <c r="E32" s="11">
        <v>0</v>
      </c>
      <c r="F32" s="11">
        <f t="shared" si="0"/>
        <v>11000</v>
      </c>
      <c r="G32" s="17">
        <f t="shared" si="3"/>
        <v>40.090000000000003</v>
      </c>
      <c r="H32" s="17">
        <f t="shared" si="4"/>
        <v>2.1800000000000002</v>
      </c>
      <c r="I32" s="17">
        <f t="shared" si="5"/>
        <v>0</v>
      </c>
      <c r="J32" s="18">
        <f t="shared" si="6"/>
        <v>0</v>
      </c>
      <c r="K32" s="18">
        <f t="shared" si="7"/>
        <v>0</v>
      </c>
      <c r="L32" s="18">
        <f t="shared" si="1"/>
        <v>42.27</v>
      </c>
      <c r="M32" s="18">
        <f t="shared" si="8"/>
        <v>6.6815675760920987</v>
      </c>
      <c r="N32" s="18">
        <f t="shared" si="2"/>
        <v>48.951567576092103</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2290000</v>
      </c>
      <c r="D35" s="11">
        <v>2349000</v>
      </c>
      <c r="E35" s="11">
        <v>0</v>
      </c>
      <c r="F35" s="11">
        <f t="shared" si="0"/>
        <v>59000</v>
      </c>
      <c r="G35" s="17">
        <f t="shared" si="3"/>
        <v>40.090000000000003</v>
      </c>
      <c r="H35" s="17">
        <f t="shared" si="4"/>
        <v>21.8</v>
      </c>
      <c r="I35" s="17">
        <f t="shared" si="5"/>
        <v>25.299999999999997</v>
      </c>
      <c r="J35" s="18">
        <f t="shared" si="6"/>
        <v>29.5</v>
      </c>
      <c r="K35" s="18">
        <f t="shared" si="7"/>
        <v>64.98</v>
      </c>
      <c r="L35" s="18">
        <f t="shared" si="1"/>
        <v>181.67000000000002</v>
      </c>
      <c r="M35" s="18">
        <f t="shared" si="8"/>
        <v>35.83749881722126</v>
      </c>
      <c r="N35" s="18">
        <f t="shared" si="2"/>
        <v>217.50749881722129</v>
      </c>
      <c r="O35" s="8"/>
    </row>
    <row r="36" spans="1:15">
      <c r="A36" s="1" t="s">
        <v>26</v>
      </c>
      <c r="B36" s="11"/>
      <c r="C36" s="11">
        <v>321000</v>
      </c>
      <c r="D36" s="11">
        <v>343000</v>
      </c>
      <c r="E36" s="11">
        <v>0</v>
      </c>
      <c r="F36" s="11">
        <f t="shared" si="0"/>
        <v>22000</v>
      </c>
      <c r="G36" s="17">
        <f t="shared" si="3"/>
        <v>40.090000000000003</v>
      </c>
      <c r="H36" s="17">
        <f t="shared" si="4"/>
        <v>21.8</v>
      </c>
      <c r="I36" s="17">
        <f t="shared" si="5"/>
        <v>5.0599999999999996</v>
      </c>
      <c r="J36" s="18">
        <f t="shared" si="6"/>
        <v>0</v>
      </c>
      <c r="K36" s="18">
        <f t="shared" si="7"/>
        <v>0</v>
      </c>
      <c r="L36" s="18">
        <f t="shared" si="1"/>
        <v>66.95</v>
      </c>
      <c r="M36" s="18">
        <f t="shared" si="8"/>
        <v>13.363135152184197</v>
      </c>
      <c r="N36" s="18">
        <f t="shared" si="2"/>
        <v>80.313135152184202</v>
      </c>
      <c r="O36" s="8"/>
    </row>
    <row r="37" spans="1:15">
      <c r="A37" s="1" t="s">
        <v>27</v>
      </c>
      <c r="B37" s="11"/>
      <c r="C37" s="11">
        <v>2120000</v>
      </c>
      <c r="D37" s="11">
        <v>2123000</v>
      </c>
      <c r="E37" s="11">
        <v>0</v>
      </c>
      <c r="F37" s="11">
        <f t="shared" si="0"/>
        <v>3000</v>
      </c>
      <c r="G37" s="17">
        <f t="shared" si="3"/>
        <v>40.090000000000003</v>
      </c>
      <c r="H37" s="17">
        <f t="shared" si="4"/>
        <v>0</v>
      </c>
      <c r="I37" s="17">
        <f t="shared" si="5"/>
        <v>0</v>
      </c>
      <c r="J37" s="18">
        <f t="shared" si="6"/>
        <v>0</v>
      </c>
      <c r="K37" s="18">
        <f t="shared" si="7"/>
        <v>0</v>
      </c>
      <c r="L37" s="18">
        <f t="shared" si="1"/>
        <v>40.090000000000003</v>
      </c>
      <c r="M37" s="18">
        <f t="shared" si="8"/>
        <v>1.8222457025705725</v>
      </c>
      <c r="N37" s="18">
        <f t="shared" si="2"/>
        <v>41.912245702570573</v>
      </c>
      <c r="O37" s="8"/>
    </row>
    <row r="38" spans="1:15">
      <c r="A38" s="1" t="s">
        <v>28</v>
      </c>
      <c r="B38" s="11"/>
      <c r="C38" s="11">
        <v>1320000</v>
      </c>
      <c r="D38" s="11">
        <v>1332000</v>
      </c>
      <c r="E38" s="11">
        <v>0</v>
      </c>
      <c r="F38" s="11">
        <f t="shared" si="0"/>
        <v>12000</v>
      </c>
      <c r="G38" s="17">
        <f t="shared" si="3"/>
        <v>40.090000000000003</v>
      </c>
      <c r="H38" s="17">
        <f t="shared" si="4"/>
        <v>4.3600000000000003</v>
      </c>
      <c r="I38" s="17">
        <f t="shared" si="5"/>
        <v>0</v>
      </c>
      <c r="J38" s="18">
        <f t="shared" si="6"/>
        <v>0</v>
      </c>
      <c r="K38" s="18">
        <f t="shared" si="7"/>
        <v>0</v>
      </c>
      <c r="L38" s="18">
        <f t="shared" si="1"/>
        <v>44.45</v>
      </c>
      <c r="M38" s="18">
        <f t="shared" si="8"/>
        <v>7.28898281028229</v>
      </c>
      <c r="N38" s="18">
        <f t="shared" si="2"/>
        <v>51.738982810282295</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501000</v>
      </c>
      <c r="D41" s="11">
        <v>508000</v>
      </c>
      <c r="E41" s="11">
        <v>0</v>
      </c>
      <c r="F41" s="11">
        <f t="shared" si="0"/>
        <v>7000</v>
      </c>
      <c r="G41" s="17">
        <f t="shared" si="3"/>
        <v>40.090000000000003</v>
      </c>
      <c r="H41" s="17">
        <f t="shared" si="4"/>
        <v>0</v>
      </c>
      <c r="I41" s="17">
        <f t="shared" si="5"/>
        <v>0</v>
      </c>
      <c r="J41" s="18">
        <f t="shared" si="6"/>
        <v>0</v>
      </c>
      <c r="K41" s="18">
        <f t="shared" si="7"/>
        <v>0</v>
      </c>
      <c r="L41" s="18">
        <f t="shared" si="1"/>
        <v>40.090000000000003</v>
      </c>
      <c r="M41" s="18">
        <f t="shared" si="8"/>
        <v>4.2519066393313354</v>
      </c>
      <c r="N41" s="18">
        <f t="shared" si="2"/>
        <v>44.341906639331341</v>
      </c>
      <c r="O41" s="8"/>
    </row>
    <row r="42" spans="1:15">
      <c r="A42" s="1" t="s">
        <v>32</v>
      </c>
      <c r="B42" s="11"/>
      <c r="C42" s="11">
        <v>3855000</v>
      </c>
      <c r="D42" s="11">
        <v>3868000</v>
      </c>
      <c r="E42" s="11">
        <v>0</v>
      </c>
      <c r="F42" s="11">
        <f t="shared" si="0"/>
        <v>13000</v>
      </c>
      <c r="G42" s="17">
        <f t="shared" si="3"/>
        <v>40.090000000000003</v>
      </c>
      <c r="H42" s="17">
        <f t="shared" si="4"/>
        <v>6.5400000000000009</v>
      </c>
      <c r="I42" s="17">
        <f t="shared" si="5"/>
        <v>0</v>
      </c>
      <c r="J42" s="18">
        <f t="shared" si="6"/>
        <v>0</v>
      </c>
      <c r="K42" s="18">
        <f t="shared" si="7"/>
        <v>0</v>
      </c>
      <c r="L42" s="18">
        <f t="shared" si="1"/>
        <v>46.63</v>
      </c>
      <c r="M42" s="18">
        <f t="shared" si="8"/>
        <v>7.8963980444724804</v>
      </c>
      <c r="N42" s="18">
        <f t="shared" si="2"/>
        <v>54.526398044472487</v>
      </c>
      <c r="O42" s="8"/>
    </row>
    <row r="43" spans="1:15">
      <c r="A43" s="1" t="s">
        <v>33</v>
      </c>
      <c r="B43" s="11"/>
      <c r="C43" s="11">
        <v>1162000</v>
      </c>
      <c r="D43" s="11">
        <v>1172000</v>
      </c>
      <c r="E43" s="11">
        <v>0</v>
      </c>
      <c r="F43" s="11">
        <f t="shared" si="0"/>
        <v>10000</v>
      </c>
      <c r="G43" s="17">
        <f t="shared" si="3"/>
        <v>40.090000000000003</v>
      </c>
      <c r="H43" s="17">
        <f t="shared" si="4"/>
        <v>0</v>
      </c>
      <c r="I43" s="17">
        <f t="shared" si="5"/>
        <v>0</v>
      </c>
      <c r="J43" s="18">
        <f t="shared" si="6"/>
        <v>0</v>
      </c>
      <c r="K43" s="18">
        <f t="shared" si="7"/>
        <v>0</v>
      </c>
      <c r="L43" s="18">
        <f t="shared" si="1"/>
        <v>40.090000000000003</v>
      </c>
      <c r="M43" s="18">
        <f t="shared" si="8"/>
        <v>6.0741523419019074</v>
      </c>
      <c r="N43" s="18">
        <f t="shared" si="2"/>
        <v>46.164152341901911</v>
      </c>
      <c r="O43" s="8"/>
    </row>
    <row r="44" spans="1:15">
      <c r="A44" s="1" t="s">
        <v>34</v>
      </c>
      <c r="B44" s="11"/>
      <c r="C44" s="11">
        <v>122000</v>
      </c>
      <c r="D44" s="11">
        <v>175000</v>
      </c>
      <c r="E44" s="11"/>
      <c r="F44" s="11">
        <f t="shared" si="0"/>
        <v>53000</v>
      </c>
      <c r="G44" s="17">
        <f t="shared" si="3"/>
        <v>40.090000000000003</v>
      </c>
      <c r="H44" s="17">
        <f t="shared" si="4"/>
        <v>21.8</v>
      </c>
      <c r="I44" s="17">
        <f t="shared" si="5"/>
        <v>25.299999999999997</v>
      </c>
      <c r="J44" s="18">
        <f t="shared" si="6"/>
        <v>29.5</v>
      </c>
      <c r="K44" s="18">
        <f t="shared" si="7"/>
        <v>44.46</v>
      </c>
      <c r="L44" s="18">
        <f t="shared" si="1"/>
        <v>161.15</v>
      </c>
      <c r="M44" s="18">
        <f t="shared" si="8"/>
        <v>32.193007412080114</v>
      </c>
      <c r="N44" s="18">
        <f t="shared" si="2"/>
        <v>193.34300741208011</v>
      </c>
      <c r="O44" s="8"/>
    </row>
    <row r="45" spans="1:15">
      <c r="A45" s="1" t="s">
        <v>35</v>
      </c>
      <c r="B45" s="11"/>
      <c r="C45" s="11">
        <v>1413000</v>
      </c>
      <c r="D45" s="11">
        <v>1479000</v>
      </c>
      <c r="E45" s="11">
        <v>0</v>
      </c>
      <c r="F45" s="11">
        <f t="shared" si="0"/>
        <v>66000</v>
      </c>
      <c r="G45" s="17">
        <f t="shared" si="3"/>
        <v>40.090000000000003</v>
      </c>
      <c r="H45" s="17">
        <f t="shared" si="4"/>
        <v>21.8</v>
      </c>
      <c r="I45" s="17">
        <f t="shared" si="5"/>
        <v>25.299999999999997</v>
      </c>
      <c r="J45" s="18">
        <f t="shared" si="6"/>
        <v>29.5</v>
      </c>
      <c r="K45" s="18">
        <f t="shared" si="7"/>
        <v>88.92</v>
      </c>
      <c r="L45" s="18">
        <f t="shared" si="1"/>
        <v>205.61</v>
      </c>
      <c r="M45" s="18">
        <f t="shared" si="8"/>
        <v>40.089405456552591</v>
      </c>
      <c r="N45" s="18">
        <f t="shared" si="2"/>
        <v>245.6994054565526</v>
      </c>
      <c r="O45" s="8"/>
    </row>
    <row r="46" spans="1:15">
      <c r="A46" s="1" t="s">
        <v>36</v>
      </c>
      <c r="B46" s="11"/>
      <c r="C46" s="11">
        <v>1586000</v>
      </c>
      <c r="D46" s="11">
        <v>1589000</v>
      </c>
      <c r="E46" s="11">
        <v>0</v>
      </c>
      <c r="F46" s="11">
        <f t="shared" si="0"/>
        <v>3000</v>
      </c>
      <c r="G46" s="17">
        <f t="shared" si="3"/>
        <v>40.090000000000003</v>
      </c>
      <c r="H46" s="17">
        <f t="shared" si="4"/>
        <v>0</v>
      </c>
      <c r="I46" s="17">
        <f t="shared" si="5"/>
        <v>0</v>
      </c>
      <c r="J46" s="18">
        <f t="shared" si="6"/>
        <v>0</v>
      </c>
      <c r="K46" s="18">
        <f t="shared" si="7"/>
        <v>0</v>
      </c>
      <c r="L46" s="18">
        <f t="shared" si="1"/>
        <v>40.090000000000003</v>
      </c>
      <c r="M46" s="18">
        <f t="shared" si="8"/>
        <v>1.8222457025705725</v>
      </c>
      <c r="N46" s="18">
        <f t="shared" si="2"/>
        <v>41.912245702570573</v>
      </c>
      <c r="O46" s="8"/>
    </row>
    <row r="47" spans="1:15">
      <c r="A47" s="1" t="s">
        <v>37</v>
      </c>
      <c r="B47" s="11"/>
      <c r="C47" s="11">
        <v>1745000</v>
      </c>
      <c r="D47" s="11">
        <v>1839000</v>
      </c>
      <c r="E47" s="11">
        <v>0</v>
      </c>
      <c r="F47" s="11">
        <f t="shared" si="0"/>
        <v>94000</v>
      </c>
      <c r="G47" s="17">
        <f t="shared" si="3"/>
        <v>40.090000000000003</v>
      </c>
      <c r="H47" s="17">
        <f t="shared" si="4"/>
        <v>21.8</v>
      </c>
      <c r="I47" s="17">
        <f t="shared" si="5"/>
        <v>25.299999999999997</v>
      </c>
      <c r="J47" s="18">
        <f t="shared" si="6"/>
        <v>29.5</v>
      </c>
      <c r="K47" s="18">
        <f t="shared" si="7"/>
        <v>184.68</v>
      </c>
      <c r="L47" s="18">
        <f t="shared" si="1"/>
        <v>301.37</v>
      </c>
      <c r="M47" s="18">
        <f t="shared" si="8"/>
        <v>57.097032013877936</v>
      </c>
      <c r="N47" s="18">
        <f t="shared" si="2"/>
        <v>358.46703201387794</v>
      </c>
      <c r="O47" s="8"/>
    </row>
    <row r="48" spans="1:15">
      <c r="A48" s="1" t="s">
        <v>38</v>
      </c>
      <c r="B48" s="11"/>
      <c r="C48" s="11">
        <v>1525000</v>
      </c>
      <c r="D48" s="11">
        <v>1661000</v>
      </c>
      <c r="E48" s="11">
        <v>0</v>
      </c>
      <c r="F48" s="11">
        <f t="shared" si="0"/>
        <v>136000</v>
      </c>
      <c r="G48" s="17">
        <f t="shared" si="3"/>
        <v>40.090000000000003</v>
      </c>
      <c r="H48" s="17">
        <f t="shared" si="4"/>
        <v>21.8</v>
      </c>
      <c r="I48" s="17">
        <f t="shared" si="5"/>
        <v>25.299999999999997</v>
      </c>
      <c r="J48" s="18">
        <f t="shared" si="6"/>
        <v>29.5</v>
      </c>
      <c r="K48" s="18">
        <f t="shared" si="7"/>
        <v>328.32</v>
      </c>
      <c r="L48" s="18">
        <f t="shared" si="1"/>
        <v>445.01</v>
      </c>
      <c r="M48" s="18">
        <f t="shared" si="8"/>
        <v>82.60847184986595</v>
      </c>
      <c r="N48" s="18">
        <f t="shared" si="2"/>
        <v>527.61847184986595</v>
      </c>
      <c r="O48" s="8"/>
    </row>
    <row r="49" spans="1:15">
      <c r="A49" s="1" t="s">
        <v>39</v>
      </c>
      <c r="B49" s="11" t="s">
        <v>138</v>
      </c>
      <c r="C49" s="11">
        <v>0</v>
      </c>
      <c r="D49" s="11">
        <v>0</v>
      </c>
      <c r="E49" s="11">
        <v>0</v>
      </c>
      <c r="F49" s="11">
        <f t="shared" si="0"/>
        <v>0</v>
      </c>
      <c r="G49" s="17">
        <f t="shared" si="3"/>
        <v>11.79</v>
      </c>
      <c r="H49" s="17">
        <f t="shared" si="4"/>
        <v>0</v>
      </c>
      <c r="I49" s="17">
        <f t="shared" si="5"/>
        <v>0</v>
      </c>
      <c r="J49" s="18">
        <f t="shared" si="6"/>
        <v>0</v>
      </c>
      <c r="K49" s="18">
        <f t="shared" si="7"/>
        <v>0</v>
      </c>
      <c r="L49" s="18">
        <f t="shared" si="1"/>
        <v>11.79</v>
      </c>
      <c r="M49" s="18">
        <f t="shared" si="8"/>
        <v>0</v>
      </c>
      <c r="N49" s="18">
        <f t="shared" si="2"/>
        <v>11.79</v>
      </c>
      <c r="O49" s="8"/>
    </row>
    <row r="50" spans="1:15">
      <c r="A50" s="1" t="s">
        <v>40</v>
      </c>
      <c r="B50" s="11" t="s">
        <v>138</v>
      </c>
      <c r="C50" s="11">
        <v>0</v>
      </c>
      <c r="D50" s="11">
        <v>0</v>
      </c>
      <c r="E50" s="11">
        <v>0</v>
      </c>
      <c r="F50" s="11">
        <f t="shared" si="0"/>
        <v>0</v>
      </c>
      <c r="G50" s="17">
        <f t="shared" si="3"/>
        <v>11.79</v>
      </c>
      <c r="H50" s="17">
        <f t="shared" si="4"/>
        <v>0</v>
      </c>
      <c r="I50" s="17">
        <f t="shared" si="5"/>
        <v>0</v>
      </c>
      <c r="J50" s="18">
        <f t="shared" si="6"/>
        <v>0</v>
      </c>
      <c r="K50" s="18">
        <f t="shared" si="7"/>
        <v>0</v>
      </c>
      <c r="L50" s="18">
        <f t="shared" si="1"/>
        <v>11.79</v>
      </c>
      <c r="M50" s="18">
        <f t="shared" si="8"/>
        <v>0</v>
      </c>
      <c r="N50" s="18">
        <f t="shared" si="2"/>
        <v>11.79</v>
      </c>
      <c r="O50" s="8"/>
    </row>
    <row r="51" spans="1:15">
      <c r="A51" s="1" t="s">
        <v>41</v>
      </c>
      <c r="B51" s="11" t="s">
        <v>138</v>
      </c>
      <c r="C51" s="11">
        <v>0</v>
      </c>
      <c r="D51" s="11">
        <v>0</v>
      </c>
      <c r="E51" s="11">
        <v>0</v>
      </c>
      <c r="F51" s="11">
        <f t="shared" si="0"/>
        <v>0</v>
      </c>
      <c r="G51" s="17">
        <f t="shared" si="3"/>
        <v>11.79</v>
      </c>
      <c r="H51" s="17">
        <f t="shared" si="4"/>
        <v>0</v>
      </c>
      <c r="I51" s="17">
        <f t="shared" si="5"/>
        <v>0</v>
      </c>
      <c r="J51" s="18">
        <f t="shared" si="6"/>
        <v>0</v>
      </c>
      <c r="K51" s="18">
        <f t="shared" si="7"/>
        <v>0</v>
      </c>
      <c r="L51" s="18">
        <f t="shared" si="1"/>
        <v>11.79</v>
      </c>
      <c r="M51" s="18">
        <f t="shared" si="8"/>
        <v>0</v>
      </c>
      <c r="N51" s="18">
        <f t="shared" si="2"/>
        <v>11.79</v>
      </c>
      <c r="O51" s="8"/>
    </row>
    <row r="52" spans="1:15">
      <c r="A52" s="1" t="s">
        <v>42</v>
      </c>
      <c r="B52" s="11"/>
      <c r="C52" s="11">
        <v>3025000</v>
      </c>
      <c r="D52" s="11">
        <v>3052000</v>
      </c>
      <c r="E52" s="11">
        <v>0</v>
      </c>
      <c r="F52" s="11">
        <f t="shared" si="0"/>
        <v>27000</v>
      </c>
      <c r="G52" s="17">
        <f t="shared" si="3"/>
        <v>40.090000000000003</v>
      </c>
      <c r="H52" s="17">
        <f t="shared" si="4"/>
        <v>21.8</v>
      </c>
      <c r="I52" s="17">
        <f t="shared" si="5"/>
        <v>17.709999999999997</v>
      </c>
      <c r="J52" s="18">
        <f t="shared" si="6"/>
        <v>0</v>
      </c>
      <c r="K52" s="18">
        <f t="shared" si="7"/>
        <v>0</v>
      </c>
      <c r="L52" s="18">
        <f t="shared" si="1"/>
        <v>79.599999999999994</v>
      </c>
      <c r="M52" s="18">
        <f t="shared" si="8"/>
        <v>16.400211323135153</v>
      </c>
      <c r="N52" s="18">
        <f t="shared" si="2"/>
        <v>96.000211323135147</v>
      </c>
      <c r="O52" s="8"/>
    </row>
    <row r="53" spans="1:15">
      <c r="A53" s="1" t="s">
        <v>43</v>
      </c>
      <c r="B53" s="11"/>
      <c r="C53" s="11">
        <v>3193000</v>
      </c>
      <c r="D53" s="11">
        <v>3222000</v>
      </c>
      <c r="E53" s="11">
        <v>0</v>
      </c>
      <c r="F53" s="11">
        <f t="shared" si="0"/>
        <v>29000</v>
      </c>
      <c r="G53" s="17">
        <f t="shared" si="3"/>
        <v>40.090000000000003</v>
      </c>
      <c r="H53" s="17">
        <f t="shared" si="4"/>
        <v>21.8</v>
      </c>
      <c r="I53" s="17">
        <f t="shared" si="5"/>
        <v>22.77</v>
      </c>
      <c r="J53" s="18">
        <f t="shared" si="6"/>
        <v>0</v>
      </c>
      <c r="K53" s="18">
        <f t="shared" si="7"/>
        <v>0</v>
      </c>
      <c r="L53" s="18">
        <f t="shared" si="1"/>
        <v>84.66</v>
      </c>
      <c r="M53" s="18">
        <f t="shared" si="8"/>
        <v>17.615041791515534</v>
      </c>
      <c r="N53" s="18">
        <f t="shared" si="2"/>
        <v>102.27504179151553</v>
      </c>
      <c r="O53" s="8"/>
    </row>
    <row r="54" spans="1:15">
      <c r="A54" s="1" t="s">
        <v>44</v>
      </c>
      <c r="B54" s="11"/>
      <c r="C54" s="11">
        <v>3988000</v>
      </c>
      <c r="D54" s="11">
        <v>4017000</v>
      </c>
      <c r="E54" s="11">
        <v>0</v>
      </c>
      <c r="F54" s="11">
        <f t="shared" si="0"/>
        <v>29000</v>
      </c>
      <c r="G54" s="17">
        <f t="shared" si="3"/>
        <v>40.090000000000003</v>
      </c>
      <c r="H54" s="17">
        <f t="shared" si="4"/>
        <v>21.8</v>
      </c>
      <c r="I54" s="17">
        <f t="shared" si="5"/>
        <v>22.77</v>
      </c>
      <c r="J54" s="18">
        <f t="shared" si="6"/>
        <v>0</v>
      </c>
      <c r="K54" s="18">
        <f t="shared" si="7"/>
        <v>0</v>
      </c>
      <c r="L54" s="18">
        <f t="shared" si="1"/>
        <v>84.66</v>
      </c>
      <c r="M54" s="18">
        <f t="shared" si="8"/>
        <v>17.615041791515534</v>
      </c>
      <c r="N54" s="18">
        <f t="shared" si="2"/>
        <v>102.27504179151553</v>
      </c>
      <c r="O54" s="8"/>
    </row>
    <row r="55" spans="1:15">
      <c r="A55" s="1" t="s">
        <v>45</v>
      </c>
      <c r="B55" s="11" t="s">
        <v>138</v>
      </c>
      <c r="C55" s="11">
        <v>0</v>
      </c>
      <c r="D55" s="11">
        <v>0</v>
      </c>
      <c r="E55" s="11">
        <v>0</v>
      </c>
      <c r="F55" s="11">
        <f t="shared" si="0"/>
        <v>0</v>
      </c>
      <c r="G55" s="17">
        <f t="shared" si="3"/>
        <v>11.79</v>
      </c>
      <c r="H55" s="17">
        <f t="shared" si="4"/>
        <v>0</v>
      </c>
      <c r="I55" s="17">
        <f t="shared" si="5"/>
        <v>0</v>
      </c>
      <c r="J55" s="18">
        <f t="shared" si="6"/>
        <v>0</v>
      </c>
      <c r="K55" s="18">
        <f t="shared" si="7"/>
        <v>0</v>
      </c>
      <c r="L55" s="18">
        <f t="shared" si="1"/>
        <v>11.79</v>
      </c>
      <c r="M55" s="18">
        <f t="shared" si="8"/>
        <v>0</v>
      </c>
      <c r="N55" s="18">
        <f t="shared" si="2"/>
        <v>11.79</v>
      </c>
      <c r="O55" s="8"/>
    </row>
    <row r="56" spans="1:15">
      <c r="A56" s="1" t="s">
        <v>46</v>
      </c>
      <c r="B56" s="11" t="s">
        <v>138</v>
      </c>
      <c r="C56" s="11">
        <v>0</v>
      </c>
      <c r="D56" s="11">
        <v>0</v>
      </c>
      <c r="E56" s="11">
        <v>0</v>
      </c>
      <c r="F56" s="11">
        <f t="shared" si="0"/>
        <v>0</v>
      </c>
      <c r="G56" s="17">
        <f t="shared" si="3"/>
        <v>11.79</v>
      </c>
      <c r="H56" s="17">
        <f t="shared" si="4"/>
        <v>0</v>
      </c>
      <c r="I56" s="17">
        <f t="shared" si="5"/>
        <v>0</v>
      </c>
      <c r="J56" s="18">
        <f t="shared" si="6"/>
        <v>0</v>
      </c>
      <c r="K56" s="18">
        <f t="shared" si="7"/>
        <v>0</v>
      </c>
      <c r="L56" s="18">
        <f t="shared" si="1"/>
        <v>11.79</v>
      </c>
      <c r="M56" s="18">
        <f t="shared" si="8"/>
        <v>0</v>
      </c>
      <c r="N56" s="18">
        <f t="shared" si="2"/>
        <v>11.79</v>
      </c>
      <c r="O56" s="8"/>
    </row>
    <row r="57" spans="1:15">
      <c r="A57" s="1" t="s">
        <v>47</v>
      </c>
      <c r="B57" s="11" t="s">
        <v>138</v>
      </c>
      <c r="C57" s="11">
        <v>0</v>
      </c>
      <c r="D57" s="11">
        <v>0</v>
      </c>
      <c r="E57" s="11">
        <v>0</v>
      </c>
      <c r="F57" s="11">
        <f t="shared" si="0"/>
        <v>0</v>
      </c>
      <c r="G57" s="17">
        <f t="shared" si="3"/>
        <v>11.79</v>
      </c>
      <c r="H57" s="17">
        <f t="shared" si="4"/>
        <v>0</v>
      </c>
      <c r="I57" s="17">
        <f t="shared" si="5"/>
        <v>0</v>
      </c>
      <c r="J57" s="18">
        <f t="shared" si="6"/>
        <v>0</v>
      </c>
      <c r="K57" s="18">
        <f t="shared" si="7"/>
        <v>0</v>
      </c>
      <c r="L57" s="18">
        <f t="shared" si="1"/>
        <v>11.79</v>
      </c>
      <c r="M57" s="18">
        <f t="shared" si="8"/>
        <v>0</v>
      </c>
      <c r="N57" s="18">
        <f t="shared" si="2"/>
        <v>11.79</v>
      </c>
      <c r="O57" s="8"/>
    </row>
    <row r="58" spans="1:15">
      <c r="A58" s="1" t="s">
        <v>48</v>
      </c>
      <c r="B58" s="11"/>
      <c r="C58" s="11">
        <v>1113000</v>
      </c>
      <c r="D58" s="11">
        <v>1115000</v>
      </c>
      <c r="E58" s="11">
        <v>0</v>
      </c>
      <c r="F58" s="11">
        <f t="shared" si="0"/>
        <v>2000</v>
      </c>
      <c r="G58" s="17">
        <f t="shared" si="3"/>
        <v>40.090000000000003</v>
      </c>
      <c r="H58" s="17">
        <f t="shared" si="4"/>
        <v>0</v>
      </c>
      <c r="I58" s="17">
        <f t="shared" si="5"/>
        <v>0</v>
      </c>
      <c r="J58" s="18">
        <f t="shared" si="6"/>
        <v>0</v>
      </c>
      <c r="K58" s="18">
        <f t="shared" si="7"/>
        <v>0</v>
      </c>
      <c r="L58" s="18">
        <f t="shared" si="1"/>
        <v>40.090000000000003</v>
      </c>
      <c r="M58" s="18">
        <f t="shared" si="8"/>
        <v>1.2148304683803814</v>
      </c>
      <c r="N58" s="18">
        <f t="shared" si="2"/>
        <v>41.304830468380388</v>
      </c>
      <c r="O58" s="8"/>
    </row>
    <row r="59" spans="1:15">
      <c r="A59" s="1" t="s">
        <v>49</v>
      </c>
      <c r="B59" s="11"/>
      <c r="C59" s="11">
        <v>864000</v>
      </c>
      <c r="D59" s="11">
        <v>879000</v>
      </c>
      <c r="E59" s="11">
        <v>0</v>
      </c>
      <c r="F59" s="11">
        <f t="shared" si="0"/>
        <v>15000</v>
      </c>
      <c r="G59" s="17">
        <f t="shared" si="3"/>
        <v>40.090000000000003</v>
      </c>
      <c r="H59" s="17">
        <f t="shared" si="4"/>
        <v>10.9</v>
      </c>
      <c r="I59" s="17">
        <f t="shared" si="5"/>
        <v>0</v>
      </c>
      <c r="J59" s="18">
        <f t="shared" si="6"/>
        <v>0</v>
      </c>
      <c r="K59" s="18">
        <f t="shared" si="7"/>
        <v>0</v>
      </c>
      <c r="L59" s="18">
        <f t="shared" si="1"/>
        <v>50.99</v>
      </c>
      <c r="M59" s="18">
        <f t="shared" si="8"/>
        <v>9.1112285128528629</v>
      </c>
      <c r="N59" s="18">
        <f t="shared" si="2"/>
        <v>60.101228512852863</v>
      </c>
      <c r="O59" s="8"/>
    </row>
    <row r="60" spans="1:15">
      <c r="A60" s="1" t="s">
        <v>50</v>
      </c>
      <c r="B60" s="11"/>
      <c r="C60" s="11">
        <v>3459000</v>
      </c>
      <c r="D60" s="11">
        <v>3482000</v>
      </c>
      <c r="E60" s="11">
        <v>0</v>
      </c>
      <c r="F60" s="11">
        <f t="shared" si="0"/>
        <v>23000</v>
      </c>
      <c r="G60" s="17">
        <f t="shared" si="3"/>
        <v>40.090000000000003</v>
      </c>
      <c r="H60" s="17">
        <f t="shared" si="4"/>
        <v>21.8</v>
      </c>
      <c r="I60" s="17">
        <f t="shared" si="5"/>
        <v>7.59</v>
      </c>
      <c r="J60" s="18">
        <f t="shared" si="6"/>
        <v>0</v>
      </c>
      <c r="K60" s="18">
        <f t="shared" si="7"/>
        <v>0</v>
      </c>
      <c r="L60" s="18">
        <f t="shared" si="1"/>
        <v>69.48</v>
      </c>
      <c r="M60" s="18">
        <f t="shared" si="8"/>
        <v>13.970550386374388</v>
      </c>
      <c r="N60" s="18">
        <f t="shared" si="2"/>
        <v>83.450550386374388</v>
      </c>
      <c r="O60" s="8"/>
    </row>
    <row r="61" spans="1:15">
      <c r="A61" s="1" t="s">
        <v>51</v>
      </c>
      <c r="B61" s="11" t="s">
        <v>138</v>
      </c>
      <c r="C61" s="11">
        <v>0</v>
      </c>
      <c r="D61" s="11">
        <v>0</v>
      </c>
      <c r="E61" s="11">
        <v>0</v>
      </c>
      <c r="F61" s="11">
        <f t="shared" si="0"/>
        <v>0</v>
      </c>
      <c r="G61" s="17">
        <f t="shared" si="3"/>
        <v>11.79</v>
      </c>
      <c r="H61" s="17">
        <f t="shared" si="4"/>
        <v>0</v>
      </c>
      <c r="I61" s="17">
        <f t="shared" si="5"/>
        <v>0</v>
      </c>
      <c r="J61" s="18">
        <f t="shared" si="6"/>
        <v>0</v>
      </c>
      <c r="K61" s="18">
        <f t="shared" si="7"/>
        <v>0</v>
      </c>
      <c r="L61" s="18">
        <f t="shared" si="1"/>
        <v>11.79</v>
      </c>
      <c r="M61" s="18">
        <f t="shared" si="8"/>
        <v>0</v>
      </c>
      <c r="N61" s="18">
        <f t="shared" si="2"/>
        <v>11.79</v>
      </c>
      <c r="O61" s="8"/>
    </row>
    <row r="62" spans="1:15">
      <c r="A62" s="1" t="s">
        <v>52</v>
      </c>
      <c r="B62" s="11"/>
      <c r="C62" s="11">
        <v>1696000</v>
      </c>
      <c r="D62" s="11">
        <v>1701000</v>
      </c>
      <c r="E62" s="11">
        <v>0</v>
      </c>
      <c r="F62" s="11">
        <f t="shared" si="0"/>
        <v>5000</v>
      </c>
      <c r="G62" s="17">
        <f t="shared" si="3"/>
        <v>40.090000000000003</v>
      </c>
      <c r="H62" s="17">
        <f t="shared" si="4"/>
        <v>0</v>
      </c>
      <c r="I62" s="17">
        <f t="shared" si="5"/>
        <v>0</v>
      </c>
      <c r="J62" s="18">
        <f t="shared" si="6"/>
        <v>0</v>
      </c>
      <c r="K62" s="18">
        <f t="shared" si="7"/>
        <v>0</v>
      </c>
      <c r="L62" s="18">
        <f t="shared" si="1"/>
        <v>40.090000000000003</v>
      </c>
      <c r="M62" s="18">
        <f t="shared" si="8"/>
        <v>3.0370761709509537</v>
      </c>
      <c r="N62" s="18">
        <f t="shared" si="2"/>
        <v>43.127076170950957</v>
      </c>
      <c r="O62" s="8"/>
    </row>
    <row r="63" spans="1:15">
      <c r="A63" s="1" t="s">
        <v>53</v>
      </c>
      <c r="B63" s="11"/>
      <c r="C63" s="11">
        <v>2281000</v>
      </c>
      <c r="D63" s="11">
        <v>2304000</v>
      </c>
      <c r="E63" s="11">
        <v>0</v>
      </c>
      <c r="F63" s="11">
        <f t="shared" si="0"/>
        <v>23000</v>
      </c>
      <c r="G63" s="17">
        <f t="shared" si="3"/>
        <v>40.090000000000003</v>
      </c>
      <c r="H63" s="17">
        <f t="shared" si="4"/>
        <v>21.8</v>
      </c>
      <c r="I63" s="17">
        <f t="shared" si="5"/>
        <v>7.59</v>
      </c>
      <c r="J63" s="18">
        <f t="shared" si="6"/>
        <v>0</v>
      </c>
      <c r="K63" s="18">
        <f t="shared" si="7"/>
        <v>0</v>
      </c>
      <c r="L63" s="18">
        <f t="shared" si="1"/>
        <v>69.48</v>
      </c>
      <c r="M63" s="18">
        <f t="shared" si="8"/>
        <v>13.970550386374388</v>
      </c>
      <c r="N63" s="18">
        <f t="shared" si="2"/>
        <v>83.450550386374388</v>
      </c>
      <c r="O63" s="8"/>
    </row>
    <row r="64" spans="1:15">
      <c r="A64" s="1" t="s">
        <v>54</v>
      </c>
      <c r="B64" s="11"/>
      <c r="C64" s="11">
        <v>2939000</v>
      </c>
      <c r="D64" s="11">
        <v>3090000</v>
      </c>
      <c r="E64" s="11">
        <v>0</v>
      </c>
      <c r="F64" s="11">
        <f t="shared" si="0"/>
        <v>151000</v>
      </c>
      <c r="G64" s="17">
        <f t="shared" si="3"/>
        <v>40.090000000000003</v>
      </c>
      <c r="H64" s="17">
        <f t="shared" si="4"/>
        <v>21.8</v>
      </c>
      <c r="I64" s="17">
        <f t="shared" si="5"/>
        <v>25.299999999999997</v>
      </c>
      <c r="J64" s="18">
        <f t="shared" si="6"/>
        <v>29.5</v>
      </c>
      <c r="K64" s="18">
        <f t="shared" si="7"/>
        <v>379.62</v>
      </c>
      <c r="L64" s="18">
        <f t="shared" si="1"/>
        <v>496.31</v>
      </c>
      <c r="M64" s="18">
        <f t="shared" si="8"/>
        <v>91.719700362718811</v>
      </c>
      <c r="N64" s="18">
        <f t="shared" si="2"/>
        <v>588.02970036271881</v>
      </c>
      <c r="O64" s="8"/>
    </row>
    <row r="65" spans="1:15">
      <c r="A65" s="1" t="s">
        <v>55</v>
      </c>
      <c r="B65" s="11" t="s">
        <v>138</v>
      </c>
      <c r="C65" s="11">
        <v>0</v>
      </c>
      <c r="D65" s="11">
        <v>0</v>
      </c>
      <c r="E65" s="11">
        <v>0</v>
      </c>
      <c r="F65" s="11">
        <f t="shared" si="0"/>
        <v>0</v>
      </c>
      <c r="G65" s="17">
        <f t="shared" si="3"/>
        <v>11.79</v>
      </c>
      <c r="H65" s="17">
        <f t="shared" si="4"/>
        <v>0</v>
      </c>
      <c r="I65" s="17">
        <f t="shared" si="5"/>
        <v>0</v>
      </c>
      <c r="J65" s="18">
        <f t="shared" si="6"/>
        <v>0</v>
      </c>
      <c r="K65" s="18">
        <f t="shared" si="7"/>
        <v>0</v>
      </c>
      <c r="L65" s="18">
        <f t="shared" si="1"/>
        <v>11.79</v>
      </c>
      <c r="M65" s="18">
        <f t="shared" si="8"/>
        <v>0</v>
      </c>
      <c r="N65" s="18">
        <f t="shared" si="2"/>
        <v>11.79</v>
      </c>
      <c r="O65" s="8"/>
    </row>
    <row r="66" spans="1:15">
      <c r="A66" s="1" t="s">
        <v>56</v>
      </c>
      <c r="B66" s="11"/>
      <c r="C66" s="11">
        <v>1440000</v>
      </c>
      <c r="D66" s="11">
        <v>1495000</v>
      </c>
      <c r="E66" s="11">
        <v>0</v>
      </c>
      <c r="F66" s="11">
        <f t="shared" si="0"/>
        <v>55000</v>
      </c>
      <c r="G66" s="17">
        <f t="shared" si="3"/>
        <v>40.090000000000003</v>
      </c>
      <c r="H66" s="17">
        <f t="shared" si="4"/>
        <v>21.8</v>
      </c>
      <c r="I66" s="17">
        <f t="shared" si="5"/>
        <v>25.299999999999997</v>
      </c>
      <c r="J66" s="18">
        <f t="shared" si="6"/>
        <v>29.5</v>
      </c>
      <c r="K66" s="18">
        <f t="shared" si="7"/>
        <v>51.3</v>
      </c>
      <c r="L66" s="18">
        <f t="shared" si="1"/>
        <v>167.99</v>
      </c>
      <c r="M66" s="18">
        <f t="shared" si="8"/>
        <v>33.407837880460491</v>
      </c>
      <c r="N66" s="18">
        <f t="shared" si="2"/>
        <v>201.39783788046049</v>
      </c>
      <c r="O66" s="8"/>
    </row>
    <row r="67" spans="1:15">
      <c r="A67" s="1" t="s">
        <v>57</v>
      </c>
      <c r="B67" s="11"/>
      <c r="C67" s="11">
        <v>1609000</v>
      </c>
      <c r="D67" s="11">
        <v>1610000</v>
      </c>
      <c r="E67" s="11">
        <v>0</v>
      </c>
      <c r="F67" s="11">
        <f t="shared" si="0"/>
        <v>1000</v>
      </c>
      <c r="G67" s="17">
        <f t="shared" si="3"/>
        <v>40.090000000000003</v>
      </c>
      <c r="H67" s="17">
        <f t="shared" si="4"/>
        <v>0</v>
      </c>
      <c r="I67" s="17">
        <f t="shared" si="5"/>
        <v>0</v>
      </c>
      <c r="J67" s="18">
        <f t="shared" si="6"/>
        <v>0</v>
      </c>
      <c r="K67" s="18">
        <f t="shared" si="7"/>
        <v>0</v>
      </c>
      <c r="L67" s="18">
        <f t="shared" si="1"/>
        <v>40.090000000000003</v>
      </c>
      <c r="M67" s="18">
        <f t="shared" si="8"/>
        <v>0.60741523419019072</v>
      </c>
      <c r="N67" s="18">
        <f t="shared" si="2"/>
        <v>40.697415234190196</v>
      </c>
      <c r="O67" s="8"/>
    </row>
    <row r="68" spans="1:15">
      <c r="A68" s="1" t="s">
        <v>58</v>
      </c>
      <c r="B68" s="11" t="s">
        <v>138</v>
      </c>
      <c r="C68" s="11">
        <v>0</v>
      </c>
      <c r="D68" s="11">
        <v>0</v>
      </c>
      <c r="E68" s="11">
        <v>0</v>
      </c>
      <c r="F68" s="11">
        <f t="shared" si="0"/>
        <v>0</v>
      </c>
      <c r="G68" s="17">
        <f t="shared" si="3"/>
        <v>11.79</v>
      </c>
      <c r="H68" s="17">
        <f t="shared" si="4"/>
        <v>0</v>
      </c>
      <c r="I68" s="17">
        <f t="shared" si="5"/>
        <v>0</v>
      </c>
      <c r="J68" s="18">
        <f t="shared" si="6"/>
        <v>0</v>
      </c>
      <c r="K68" s="18">
        <f t="shared" si="7"/>
        <v>0</v>
      </c>
      <c r="L68" s="18">
        <f t="shared" si="1"/>
        <v>11.79</v>
      </c>
      <c r="M68" s="18">
        <f t="shared" si="8"/>
        <v>0</v>
      </c>
      <c r="N68" s="18">
        <f t="shared" si="2"/>
        <v>11.79</v>
      </c>
      <c r="O68" s="8"/>
    </row>
    <row r="69" spans="1:15">
      <c r="A69" s="1" t="s">
        <v>59</v>
      </c>
      <c r="B69" s="11" t="s">
        <v>138</v>
      </c>
      <c r="C69" s="11">
        <v>0</v>
      </c>
      <c r="D69" s="11">
        <v>0</v>
      </c>
      <c r="E69" s="11">
        <v>0</v>
      </c>
      <c r="F69" s="11">
        <f t="shared" si="0"/>
        <v>0</v>
      </c>
      <c r="G69" s="17">
        <f t="shared" si="3"/>
        <v>11.79</v>
      </c>
      <c r="H69" s="17">
        <f t="shared" si="4"/>
        <v>0</v>
      </c>
      <c r="I69" s="17">
        <f t="shared" si="5"/>
        <v>0</v>
      </c>
      <c r="J69" s="18">
        <f t="shared" si="6"/>
        <v>0</v>
      </c>
      <c r="K69" s="18">
        <f t="shared" si="7"/>
        <v>0</v>
      </c>
      <c r="L69" s="18">
        <f t="shared" si="1"/>
        <v>11.79</v>
      </c>
      <c r="M69" s="18">
        <f t="shared" si="8"/>
        <v>0</v>
      </c>
      <c r="N69" s="18">
        <f t="shared" si="2"/>
        <v>11.79</v>
      </c>
      <c r="O69" s="8"/>
    </row>
    <row r="70" spans="1:15">
      <c r="A70" s="1" t="s">
        <v>60</v>
      </c>
      <c r="B70" s="11" t="s">
        <v>138</v>
      </c>
      <c r="C70" s="11">
        <v>0</v>
      </c>
      <c r="D70" s="11">
        <v>0</v>
      </c>
      <c r="E70" s="11">
        <v>0</v>
      </c>
      <c r="F70" s="11">
        <f t="shared" si="0"/>
        <v>0</v>
      </c>
      <c r="G70" s="17">
        <f t="shared" si="3"/>
        <v>11.79</v>
      </c>
      <c r="H70" s="17">
        <f t="shared" si="4"/>
        <v>0</v>
      </c>
      <c r="I70" s="17">
        <f t="shared" si="5"/>
        <v>0</v>
      </c>
      <c r="J70" s="18">
        <f t="shared" si="6"/>
        <v>0</v>
      </c>
      <c r="K70" s="18">
        <f t="shared" si="7"/>
        <v>0</v>
      </c>
      <c r="L70" s="18">
        <f t="shared" si="1"/>
        <v>11.79</v>
      </c>
      <c r="M70" s="18">
        <f t="shared" si="8"/>
        <v>0</v>
      </c>
      <c r="N70" s="18">
        <f t="shared" si="2"/>
        <v>11.79</v>
      </c>
      <c r="O70" s="8"/>
    </row>
    <row r="71" spans="1:15">
      <c r="A71" s="1" t="s">
        <v>61</v>
      </c>
      <c r="B71" s="11"/>
      <c r="C71" s="11">
        <v>1327000</v>
      </c>
      <c r="D71" s="11">
        <v>1333000</v>
      </c>
      <c r="E71" s="11">
        <v>0</v>
      </c>
      <c r="F71" s="11">
        <f t="shared" si="0"/>
        <v>6000</v>
      </c>
      <c r="G71" s="17">
        <f t="shared" si="3"/>
        <v>40.090000000000003</v>
      </c>
      <c r="H71" s="17">
        <f t="shared" si="4"/>
        <v>0</v>
      </c>
      <c r="I71" s="17">
        <f t="shared" si="5"/>
        <v>0</v>
      </c>
      <c r="J71" s="18">
        <f t="shared" si="6"/>
        <v>0</v>
      </c>
      <c r="K71" s="18">
        <f t="shared" si="7"/>
        <v>0</v>
      </c>
      <c r="L71" s="18">
        <f t="shared" si="1"/>
        <v>40.090000000000003</v>
      </c>
      <c r="M71" s="18">
        <f t="shared" si="8"/>
        <v>3.644491405141145</v>
      </c>
      <c r="N71" s="18">
        <f t="shared" si="2"/>
        <v>43.734491405141149</v>
      </c>
      <c r="O71" s="8"/>
    </row>
    <row r="72" spans="1:15">
      <c r="A72" s="1" t="s">
        <v>62</v>
      </c>
      <c r="B72" s="11"/>
      <c r="C72" s="11">
        <v>1882000</v>
      </c>
      <c r="D72" s="11">
        <v>1890000</v>
      </c>
      <c r="E72" s="11">
        <v>0</v>
      </c>
      <c r="F72" s="11">
        <f t="shared" si="0"/>
        <v>8000</v>
      </c>
      <c r="G72" s="17">
        <f t="shared" si="3"/>
        <v>40.090000000000003</v>
      </c>
      <c r="H72" s="17">
        <f t="shared" si="4"/>
        <v>0</v>
      </c>
      <c r="I72" s="17">
        <f t="shared" si="5"/>
        <v>0</v>
      </c>
      <c r="J72" s="18">
        <f t="shared" si="6"/>
        <v>0</v>
      </c>
      <c r="K72" s="18">
        <f t="shared" si="7"/>
        <v>0</v>
      </c>
      <c r="L72" s="18">
        <f t="shared" si="1"/>
        <v>40.090000000000003</v>
      </c>
      <c r="M72" s="18">
        <f t="shared" si="8"/>
        <v>4.8593218735215258</v>
      </c>
      <c r="N72" s="18">
        <f t="shared" si="2"/>
        <v>44.949321873521527</v>
      </c>
      <c r="O72" s="8"/>
    </row>
    <row r="73" spans="1:15">
      <c r="A73" s="1" t="s">
        <v>63</v>
      </c>
      <c r="B73" s="11" t="s">
        <v>138</v>
      </c>
      <c r="C73" s="11">
        <v>0</v>
      </c>
      <c r="D73" s="11">
        <v>0</v>
      </c>
      <c r="E73" s="11">
        <v>0</v>
      </c>
      <c r="F73" s="11">
        <f t="shared" si="0"/>
        <v>0</v>
      </c>
      <c r="G73" s="17">
        <f t="shared" si="3"/>
        <v>11.79</v>
      </c>
      <c r="H73" s="17">
        <f t="shared" si="4"/>
        <v>0</v>
      </c>
      <c r="I73" s="17">
        <f t="shared" si="5"/>
        <v>0</v>
      </c>
      <c r="J73" s="18">
        <f t="shared" si="6"/>
        <v>0</v>
      </c>
      <c r="K73" s="18">
        <f t="shared" si="7"/>
        <v>0</v>
      </c>
      <c r="L73" s="18">
        <f t="shared" si="1"/>
        <v>11.79</v>
      </c>
      <c r="M73" s="18">
        <f t="shared" si="8"/>
        <v>0</v>
      </c>
      <c r="N73" s="18">
        <f t="shared" si="2"/>
        <v>11.79</v>
      </c>
      <c r="O73" s="8"/>
    </row>
    <row r="74" spans="1:15">
      <c r="A74" s="1" t="s">
        <v>64</v>
      </c>
      <c r="B74" s="11"/>
      <c r="C74" s="11">
        <v>4859000</v>
      </c>
      <c r="D74" s="11">
        <v>4896000</v>
      </c>
      <c r="E74" s="11">
        <v>0</v>
      </c>
      <c r="F74" s="11">
        <f t="shared" si="0"/>
        <v>37000</v>
      </c>
      <c r="G74" s="17">
        <f t="shared" si="3"/>
        <v>40.090000000000003</v>
      </c>
      <c r="H74" s="17">
        <f t="shared" si="4"/>
        <v>21.8</v>
      </c>
      <c r="I74" s="17">
        <f t="shared" si="5"/>
        <v>25.299999999999997</v>
      </c>
      <c r="J74" s="18">
        <f t="shared" si="6"/>
        <v>20.650000000000002</v>
      </c>
      <c r="K74" s="18">
        <f t="shared" si="7"/>
        <v>0</v>
      </c>
      <c r="L74" s="18">
        <f t="shared" si="1"/>
        <v>107.84</v>
      </c>
      <c r="M74" s="18">
        <f t="shared" si="8"/>
        <v>22.47436366503706</v>
      </c>
      <c r="N74" s="18">
        <f t="shared" si="2"/>
        <v>130.31436366503706</v>
      </c>
      <c r="O74" s="8"/>
    </row>
    <row r="75" spans="1:15">
      <c r="A75" s="1" t="s">
        <v>65</v>
      </c>
      <c r="B75" s="11"/>
      <c r="C75" s="11">
        <v>6555000</v>
      </c>
      <c r="D75" s="11">
        <v>6623000</v>
      </c>
      <c r="E75" s="11">
        <v>0</v>
      </c>
      <c r="F75" s="11">
        <f t="shared" si="0"/>
        <v>68000</v>
      </c>
      <c r="G75" s="17">
        <f t="shared" si="3"/>
        <v>40.090000000000003</v>
      </c>
      <c r="H75" s="17">
        <f t="shared" si="4"/>
        <v>21.8</v>
      </c>
      <c r="I75" s="17">
        <f t="shared" si="5"/>
        <v>25.299999999999997</v>
      </c>
      <c r="J75" s="18">
        <f t="shared" si="6"/>
        <v>29.5</v>
      </c>
      <c r="K75" s="18">
        <f t="shared" si="7"/>
        <v>95.759999999999991</v>
      </c>
      <c r="L75" s="18">
        <f t="shared" si="1"/>
        <v>212.45</v>
      </c>
      <c r="M75" s="18">
        <f t="shared" si="8"/>
        <v>41.304235924932975</v>
      </c>
      <c r="N75" s="18">
        <f t="shared" si="2"/>
        <v>253.75423592493297</v>
      </c>
      <c r="O75" s="8"/>
    </row>
    <row r="76" spans="1:15">
      <c r="A76" s="1" t="s">
        <v>66</v>
      </c>
      <c r="B76" s="11"/>
      <c r="C76" s="11">
        <v>9190000</v>
      </c>
      <c r="D76" s="11">
        <v>9207000</v>
      </c>
      <c r="E76" s="11">
        <v>0</v>
      </c>
      <c r="F76" s="11">
        <f t="shared" ref="F76:F136" si="9">($D76-$C76)+$E76</f>
        <v>17000</v>
      </c>
      <c r="G76" s="17">
        <f t="shared" si="3"/>
        <v>40.090000000000003</v>
      </c>
      <c r="H76" s="17">
        <f t="shared" si="4"/>
        <v>15.260000000000002</v>
      </c>
      <c r="I76" s="17">
        <f t="shared" si="5"/>
        <v>0</v>
      </c>
      <c r="J76" s="18">
        <f t="shared" si="6"/>
        <v>0</v>
      </c>
      <c r="K76" s="18">
        <f t="shared" si="7"/>
        <v>0</v>
      </c>
      <c r="L76" s="18">
        <f t="shared" ref="L76:L136" si="10">SUM(G76:K76)</f>
        <v>55.350000000000009</v>
      </c>
      <c r="M76" s="18">
        <f t="shared" si="8"/>
        <v>10.326058981233244</v>
      </c>
      <c r="N76" s="18">
        <f t="shared" ref="N76:N136" si="11">SUM(L76:M76)</f>
        <v>65.676058981233254</v>
      </c>
      <c r="O76" s="8"/>
    </row>
    <row r="77" spans="1:15">
      <c r="A77" s="1" t="s">
        <v>67</v>
      </c>
      <c r="B77" s="11" t="s">
        <v>138</v>
      </c>
      <c r="C77" s="11">
        <v>0</v>
      </c>
      <c r="D77" s="11">
        <v>0</v>
      </c>
      <c r="E77" s="11">
        <v>0</v>
      </c>
      <c r="F77" s="11">
        <f t="shared" si="9"/>
        <v>0</v>
      </c>
      <c r="G77" s="17">
        <f t="shared" si="3"/>
        <v>11.79</v>
      </c>
      <c r="H77" s="17">
        <f t="shared" si="4"/>
        <v>0</v>
      </c>
      <c r="I77" s="17">
        <f t="shared" si="5"/>
        <v>0</v>
      </c>
      <c r="J77" s="18">
        <f t="shared" si="6"/>
        <v>0</v>
      </c>
      <c r="K77" s="18">
        <f t="shared" si="7"/>
        <v>0</v>
      </c>
      <c r="L77" s="18">
        <f t="shared" si="10"/>
        <v>11.79</v>
      </c>
      <c r="M77" s="18">
        <f t="shared" si="8"/>
        <v>0</v>
      </c>
      <c r="N77" s="18">
        <f t="shared" si="11"/>
        <v>11.79</v>
      </c>
      <c r="O77" s="8"/>
    </row>
    <row r="78" spans="1:15">
      <c r="A78" s="1" t="s">
        <v>68</v>
      </c>
      <c r="B78" s="11"/>
      <c r="C78" s="11">
        <v>3521000</v>
      </c>
      <c r="D78" s="11">
        <v>3559000</v>
      </c>
      <c r="E78" s="11">
        <v>0</v>
      </c>
      <c r="F78" s="11">
        <f t="shared" si="9"/>
        <v>38000</v>
      </c>
      <c r="G78" s="17">
        <f t="shared" si="3"/>
        <v>40.090000000000003</v>
      </c>
      <c r="H78" s="17">
        <f t="shared" si="4"/>
        <v>21.8</v>
      </c>
      <c r="I78" s="17">
        <f t="shared" si="5"/>
        <v>25.299999999999997</v>
      </c>
      <c r="J78" s="18">
        <f t="shared" si="6"/>
        <v>23.6</v>
      </c>
      <c r="K78" s="18">
        <f t="shared" si="7"/>
        <v>0</v>
      </c>
      <c r="L78" s="18">
        <f t="shared" si="10"/>
        <v>110.78999999999999</v>
      </c>
      <c r="M78" s="18">
        <f t="shared" si="8"/>
        <v>23.081778899227253</v>
      </c>
      <c r="N78" s="18">
        <f t="shared" si="11"/>
        <v>133.87177889922725</v>
      </c>
      <c r="O78" s="8"/>
    </row>
    <row r="79" spans="1:15">
      <c r="A79" s="1" t="s">
        <v>69</v>
      </c>
      <c r="B79" s="11"/>
      <c r="C79" s="11">
        <v>2253000</v>
      </c>
      <c r="D79" s="11">
        <v>2280000</v>
      </c>
      <c r="E79" s="11">
        <v>0</v>
      </c>
      <c r="F79" s="11">
        <f t="shared" si="9"/>
        <v>27000</v>
      </c>
      <c r="G79" s="17">
        <f t="shared" si="3"/>
        <v>40.090000000000003</v>
      </c>
      <c r="H79" s="17">
        <f t="shared" si="4"/>
        <v>21.8</v>
      </c>
      <c r="I79" s="17">
        <f t="shared" si="5"/>
        <v>17.709999999999997</v>
      </c>
      <c r="J79" s="18">
        <f t="shared" si="6"/>
        <v>0</v>
      </c>
      <c r="K79" s="18">
        <f t="shared" si="7"/>
        <v>0</v>
      </c>
      <c r="L79" s="18">
        <f t="shared" si="10"/>
        <v>79.599999999999994</v>
      </c>
      <c r="M79" s="18">
        <f t="shared" si="8"/>
        <v>16.400211323135153</v>
      </c>
      <c r="N79" s="18">
        <f t="shared" si="11"/>
        <v>96.000211323135147</v>
      </c>
      <c r="O79" s="8"/>
    </row>
    <row r="80" spans="1:15">
      <c r="A80" s="1" t="s">
        <v>70</v>
      </c>
      <c r="B80" s="11"/>
      <c r="C80" s="11">
        <v>1358000</v>
      </c>
      <c r="D80" s="11">
        <v>1366000</v>
      </c>
      <c r="E80" s="11">
        <v>0</v>
      </c>
      <c r="F80" s="11">
        <f t="shared" si="9"/>
        <v>8000</v>
      </c>
      <c r="G80" s="17">
        <f t="shared" si="3"/>
        <v>40.090000000000003</v>
      </c>
      <c r="H80" s="17">
        <f t="shared" si="4"/>
        <v>0</v>
      </c>
      <c r="I80" s="17">
        <f t="shared" si="5"/>
        <v>0</v>
      </c>
      <c r="J80" s="18">
        <f t="shared" si="6"/>
        <v>0</v>
      </c>
      <c r="K80" s="18">
        <f t="shared" si="7"/>
        <v>0</v>
      </c>
      <c r="L80" s="18">
        <f t="shared" si="10"/>
        <v>40.090000000000003</v>
      </c>
      <c r="M80" s="18">
        <f t="shared" si="8"/>
        <v>4.8593218735215258</v>
      </c>
      <c r="N80" s="18">
        <f t="shared" si="11"/>
        <v>44.949321873521527</v>
      </c>
      <c r="O80" s="8"/>
    </row>
    <row r="81" spans="1:15">
      <c r="A81" s="1" t="s">
        <v>71</v>
      </c>
      <c r="B81" s="11" t="s">
        <v>138</v>
      </c>
      <c r="C81" s="11">
        <v>0</v>
      </c>
      <c r="D81" s="11">
        <v>0</v>
      </c>
      <c r="E81" s="11">
        <v>0</v>
      </c>
      <c r="F81" s="11">
        <f t="shared" si="9"/>
        <v>0</v>
      </c>
      <c r="G81" s="17">
        <f t="shared" ref="G81:G136" si="12">IF(OR($F81&gt;0,$B81=""),40.09,11.79)</f>
        <v>11.79</v>
      </c>
      <c r="H81" s="17">
        <f t="shared" ref="H81:H136" si="13">IF(AND((($F81-10000)&gt;=0),(($F81-10000)&lt;= 10000)),($F81-10000)/1000*2.18,IF(($F81-10000)&gt;=10000,2.18*10,0))</f>
        <v>0</v>
      </c>
      <c r="I81" s="17">
        <f t="shared" ref="I81:I136" si="14">IF(AND((($F81-20000)&gt;=0),(($F81-20000)&lt;=10000)),($F81-20000)/1000*2.53,IF(($F81-20000)&gt;=10000,2.53*10,0))</f>
        <v>0</v>
      </c>
      <c r="J81" s="18">
        <f t="shared" ref="J81:J136" si="15">IF(AND((($F81-30000)&gt;=0),(($F81-30000)&lt;=10000)),($F81-30000)/1000*2.95,IF(($F81-30000)&gt;=10000,2.95*10,0))</f>
        <v>0</v>
      </c>
      <c r="K81" s="18">
        <f t="shared" ref="K81:K136" si="16">IF((($F81-40000)&gt;=0),($F81-40000)/1000*3.42,0)</f>
        <v>0</v>
      </c>
      <c r="L81" s="18">
        <f t="shared" si="10"/>
        <v>11.79</v>
      </c>
      <c r="M81" s="18">
        <f t="shared" ref="M81:M136" si="17">IF(   $H$5=1,    IF((F81-$H$6)&gt;0,((F81-$H$6)/$N$7)*$E$8,0),   IF(F81&gt;0,(F81/$N$4)*$E$8,0)    )</f>
        <v>0</v>
      </c>
      <c r="N81" s="18">
        <f t="shared" si="11"/>
        <v>11.79</v>
      </c>
      <c r="O81" s="8"/>
    </row>
    <row r="82" spans="1:15">
      <c r="A82" s="1" t="s">
        <v>72</v>
      </c>
      <c r="B82" s="11"/>
      <c r="C82" s="11">
        <v>67000</v>
      </c>
      <c r="D82" s="11">
        <v>96000</v>
      </c>
      <c r="E82" s="11">
        <v>0</v>
      </c>
      <c r="F82" s="11">
        <f t="shared" si="9"/>
        <v>29000</v>
      </c>
      <c r="G82" s="17">
        <f t="shared" si="12"/>
        <v>40.090000000000003</v>
      </c>
      <c r="H82" s="17">
        <f t="shared" si="13"/>
        <v>21.8</v>
      </c>
      <c r="I82" s="17">
        <f t="shared" si="14"/>
        <v>22.77</v>
      </c>
      <c r="J82" s="18">
        <f t="shared" si="15"/>
        <v>0</v>
      </c>
      <c r="K82" s="18">
        <f t="shared" si="16"/>
        <v>0</v>
      </c>
      <c r="L82" s="18">
        <f t="shared" si="10"/>
        <v>84.66</v>
      </c>
      <c r="M82" s="18">
        <f t="shared" si="17"/>
        <v>17.615041791515534</v>
      </c>
      <c r="N82" s="18">
        <f t="shared" si="11"/>
        <v>102.27504179151553</v>
      </c>
      <c r="O82" s="8" t="s">
        <v>139</v>
      </c>
    </row>
    <row r="83" spans="1:15">
      <c r="A83" s="1" t="s">
        <v>73</v>
      </c>
      <c r="B83" s="11"/>
      <c r="C83" s="11">
        <v>1900000</v>
      </c>
      <c r="D83" s="11">
        <v>1918000</v>
      </c>
      <c r="E83" s="11">
        <v>0</v>
      </c>
      <c r="F83" s="11">
        <f t="shared" si="9"/>
        <v>18000</v>
      </c>
      <c r="G83" s="17">
        <f t="shared" si="12"/>
        <v>40.090000000000003</v>
      </c>
      <c r="H83" s="17">
        <f t="shared" si="13"/>
        <v>17.440000000000001</v>
      </c>
      <c r="I83" s="17">
        <f t="shared" si="14"/>
        <v>0</v>
      </c>
      <c r="J83" s="18">
        <f t="shared" si="15"/>
        <v>0</v>
      </c>
      <c r="K83" s="18">
        <f t="shared" si="16"/>
        <v>0</v>
      </c>
      <c r="L83" s="18">
        <f t="shared" si="10"/>
        <v>57.53</v>
      </c>
      <c r="M83" s="18">
        <f t="shared" si="17"/>
        <v>10.933474215423434</v>
      </c>
      <c r="N83" s="18">
        <f t="shared" si="11"/>
        <v>68.463474215423432</v>
      </c>
      <c r="O83" s="8"/>
    </row>
    <row r="84" spans="1:15">
      <c r="A84" s="1" t="s">
        <v>74</v>
      </c>
      <c r="B84" s="11" t="s">
        <v>138</v>
      </c>
      <c r="C84" s="11">
        <v>0</v>
      </c>
      <c r="D84" s="11">
        <v>0</v>
      </c>
      <c r="E84" s="11">
        <v>0</v>
      </c>
      <c r="F84" s="11">
        <f t="shared" si="9"/>
        <v>0</v>
      </c>
      <c r="G84" s="17">
        <f t="shared" si="12"/>
        <v>11.79</v>
      </c>
      <c r="H84" s="17">
        <f t="shared" si="13"/>
        <v>0</v>
      </c>
      <c r="I84" s="17">
        <f t="shared" si="14"/>
        <v>0</v>
      </c>
      <c r="J84" s="18">
        <f t="shared" si="15"/>
        <v>0</v>
      </c>
      <c r="K84" s="18">
        <f t="shared" si="16"/>
        <v>0</v>
      </c>
      <c r="L84" s="18">
        <f t="shared" si="10"/>
        <v>11.79</v>
      </c>
      <c r="M84" s="18">
        <f t="shared" si="17"/>
        <v>0</v>
      </c>
      <c r="N84" s="18">
        <f t="shared" si="11"/>
        <v>11.79</v>
      </c>
      <c r="O84" s="8"/>
    </row>
    <row r="85" spans="1:15">
      <c r="A85" s="1" t="s">
        <v>75</v>
      </c>
      <c r="B85" s="11"/>
      <c r="C85" s="11">
        <v>716000</v>
      </c>
      <c r="D85" s="11">
        <v>719000</v>
      </c>
      <c r="E85" s="11">
        <v>0</v>
      </c>
      <c r="F85" s="11">
        <f t="shared" si="9"/>
        <v>3000</v>
      </c>
      <c r="G85" s="17">
        <f t="shared" si="12"/>
        <v>40.090000000000003</v>
      </c>
      <c r="H85" s="17">
        <f t="shared" si="13"/>
        <v>0</v>
      </c>
      <c r="I85" s="17">
        <f t="shared" si="14"/>
        <v>0</v>
      </c>
      <c r="J85" s="18">
        <f t="shared" si="15"/>
        <v>0</v>
      </c>
      <c r="K85" s="18">
        <f t="shared" si="16"/>
        <v>0</v>
      </c>
      <c r="L85" s="18">
        <f t="shared" si="10"/>
        <v>40.090000000000003</v>
      </c>
      <c r="M85" s="18">
        <f t="shared" si="17"/>
        <v>1.8222457025705725</v>
      </c>
      <c r="N85" s="18">
        <f t="shared" si="11"/>
        <v>41.912245702570573</v>
      </c>
      <c r="O85" s="8"/>
    </row>
    <row r="86" spans="1:15">
      <c r="A86" s="1" t="s">
        <v>76</v>
      </c>
      <c r="B86" s="11"/>
      <c r="C86" s="11">
        <v>83000</v>
      </c>
      <c r="D86" s="11">
        <v>111000</v>
      </c>
      <c r="E86" s="11">
        <v>0</v>
      </c>
      <c r="F86" s="11">
        <f t="shared" si="9"/>
        <v>28000</v>
      </c>
      <c r="G86" s="17">
        <f t="shared" si="12"/>
        <v>40.090000000000003</v>
      </c>
      <c r="H86" s="17">
        <f t="shared" si="13"/>
        <v>21.8</v>
      </c>
      <c r="I86" s="17">
        <f t="shared" si="14"/>
        <v>20.239999999999998</v>
      </c>
      <c r="J86" s="18">
        <f t="shared" si="15"/>
        <v>0</v>
      </c>
      <c r="K86" s="18">
        <f t="shared" si="16"/>
        <v>0</v>
      </c>
      <c r="L86" s="18">
        <f t="shared" si="10"/>
        <v>82.13</v>
      </c>
      <c r="M86" s="18">
        <f t="shared" si="17"/>
        <v>17.007626557325342</v>
      </c>
      <c r="N86" s="18">
        <f t="shared" si="11"/>
        <v>99.137626557325333</v>
      </c>
      <c r="O86" s="8" t="s">
        <v>139</v>
      </c>
    </row>
    <row r="87" spans="1:15">
      <c r="A87" s="1" t="s">
        <v>77</v>
      </c>
      <c r="B87" s="11"/>
      <c r="C87" s="11">
        <v>76000</v>
      </c>
      <c r="D87" s="11">
        <v>86000</v>
      </c>
      <c r="E87" s="11">
        <v>0</v>
      </c>
      <c r="F87" s="11">
        <f t="shared" si="9"/>
        <v>10000</v>
      </c>
      <c r="G87" s="17">
        <f t="shared" si="12"/>
        <v>40.090000000000003</v>
      </c>
      <c r="H87" s="17">
        <f t="shared" si="13"/>
        <v>0</v>
      </c>
      <c r="I87" s="17">
        <f t="shared" si="14"/>
        <v>0</v>
      </c>
      <c r="J87" s="18">
        <f t="shared" si="15"/>
        <v>0</v>
      </c>
      <c r="K87" s="18">
        <f t="shared" si="16"/>
        <v>0</v>
      </c>
      <c r="L87" s="18">
        <f t="shared" si="10"/>
        <v>40.090000000000003</v>
      </c>
      <c r="M87" s="18">
        <f t="shared" si="17"/>
        <v>6.0741523419019074</v>
      </c>
      <c r="N87" s="18">
        <f t="shared" si="11"/>
        <v>46.164152341901911</v>
      </c>
      <c r="O87" s="8"/>
    </row>
    <row r="88" spans="1:15">
      <c r="A88" s="1" t="s">
        <v>78</v>
      </c>
      <c r="B88" s="11"/>
      <c r="C88" s="11">
        <v>1176000</v>
      </c>
      <c r="D88" s="11">
        <v>1225000</v>
      </c>
      <c r="E88" s="11">
        <v>0</v>
      </c>
      <c r="F88" s="11">
        <f t="shared" si="9"/>
        <v>49000</v>
      </c>
      <c r="G88" s="17">
        <f t="shared" si="12"/>
        <v>40.090000000000003</v>
      </c>
      <c r="H88" s="17">
        <f t="shared" si="13"/>
        <v>21.8</v>
      </c>
      <c r="I88" s="17">
        <f t="shared" si="14"/>
        <v>25.299999999999997</v>
      </c>
      <c r="J88" s="18">
        <f t="shared" si="15"/>
        <v>29.5</v>
      </c>
      <c r="K88" s="18">
        <f t="shared" si="16"/>
        <v>30.78</v>
      </c>
      <c r="L88" s="18">
        <f t="shared" si="10"/>
        <v>147.47</v>
      </c>
      <c r="M88" s="18">
        <f t="shared" si="17"/>
        <v>29.763346475319349</v>
      </c>
      <c r="N88" s="18">
        <f t="shared" si="11"/>
        <v>177.23334647531934</v>
      </c>
      <c r="O88" s="8"/>
    </row>
    <row r="89" spans="1:15">
      <c r="A89" s="1" t="s">
        <v>79</v>
      </c>
      <c r="B89" s="11"/>
      <c r="C89" s="11">
        <v>3412000</v>
      </c>
      <c r="D89" s="11">
        <v>3422000</v>
      </c>
      <c r="E89" s="11">
        <v>0</v>
      </c>
      <c r="F89" s="11">
        <f t="shared" si="9"/>
        <v>10000</v>
      </c>
      <c r="G89" s="17">
        <f t="shared" si="12"/>
        <v>40.090000000000003</v>
      </c>
      <c r="H89" s="17">
        <f t="shared" si="13"/>
        <v>0</v>
      </c>
      <c r="I89" s="17">
        <f t="shared" si="14"/>
        <v>0</v>
      </c>
      <c r="J89" s="18">
        <f t="shared" si="15"/>
        <v>0</v>
      </c>
      <c r="K89" s="18">
        <f t="shared" si="16"/>
        <v>0</v>
      </c>
      <c r="L89" s="18">
        <f t="shared" si="10"/>
        <v>40.090000000000003</v>
      </c>
      <c r="M89" s="18">
        <f t="shared" si="17"/>
        <v>6.0741523419019074</v>
      </c>
      <c r="N89" s="18">
        <f t="shared" si="11"/>
        <v>46.164152341901911</v>
      </c>
      <c r="O89" s="8"/>
    </row>
    <row r="90" spans="1:15">
      <c r="A90" s="1" t="s">
        <v>80</v>
      </c>
      <c r="B90" s="11"/>
      <c r="C90" s="11">
        <v>3008000</v>
      </c>
      <c r="D90" s="11">
        <v>3011000</v>
      </c>
      <c r="E90" s="11">
        <v>0</v>
      </c>
      <c r="F90" s="11">
        <f t="shared" si="9"/>
        <v>3000</v>
      </c>
      <c r="G90" s="17">
        <f t="shared" si="12"/>
        <v>40.090000000000003</v>
      </c>
      <c r="H90" s="17">
        <f t="shared" si="13"/>
        <v>0</v>
      </c>
      <c r="I90" s="17">
        <f t="shared" si="14"/>
        <v>0</v>
      </c>
      <c r="J90" s="18">
        <f t="shared" si="15"/>
        <v>0</v>
      </c>
      <c r="K90" s="18">
        <f t="shared" si="16"/>
        <v>0</v>
      </c>
      <c r="L90" s="18">
        <f t="shared" si="10"/>
        <v>40.090000000000003</v>
      </c>
      <c r="M90" s="18">
        <f t="shared" si="17"/>
        <v>1.8222457025705725</v>
      </c>
      <c r="N90" s="18">
        <f t="shared" si="11"/>
        <v>41.912245702570573</v>
      </c>
      <c r="O90" s="8"/>
    </row>
    <row r="91" spans="1:15">
      <c r="A91" s="1" t="s">
        <v>81</v>
      </c>
      <c r="B91" s="11" t="s">
        <v>138</v>
      </c>
      <c r="C91" s="11">
        <v>0</v>
      </c>
      <c r="D91" s="11">
        <v>0</v>
      </c>
      <c r="E91" s="11">
        <v>0</v>
      </c>
      <c r="F91" s="11">
        <f t="shared" si="9"/>
        <v>0</v>
      </c>
      <c r="G91" s="17">
        <f t="shared" si="12"/>
        <v>11.79</v>
      </c>
      <c r="H91" s="17">
        <f t="shared" si="13"/>
        <v>0</v>
      </c>
      <c r="I91" s="17">
        <f t="shared" si="14"/>
        <v>0</v>
      </c>
      <c r="J91" s="18">
        <f t="shared" si="15"/>
        <v>0</v>
      </c>
      <c r="K91" s="18">
        <f t="shared" si="16"/>
        <v>0</v>
      </c>
      <c r="L91" s="18">
        <f t="shared" si="10"/>
        <v>11.79</v>
      </c>
      <c r="M91" s="18">
        <f t="shared" si="17"/>
        <v>0</v>
      </c>
      <c r="N91" s="18">
        <f t="shared" si="11"/>
        <v>11.79</v>
      </c>
      <c r="O91" s="8"/>
    </row>
    <row r="92" spans="1:15">
      <c r="A92" s="1" t="s">
        <v>82</v>
      </c>
      <c r="B92" s="11"/>
      <c r="C92" s="11">
        <v>3138000</v>
      </c>
      <c r="D92" s="11">
        <v>3212000</v>
      </c>
      <c r="E92" s="11">
        <v>0</v>
      </c>
      <c r="F92" s="11">
        <f t="shared" si="9"/>
        <v>74000</v>
      </c>
      <c r="G92" s="17">
        <f t="shared" si="12"/>
        <v>40.090000000000003</v>
      </c>
      <c r="H92" s="17">
        <f t="shared" si="13"/>
        <v>21.8</v>
      </c>
      <c r="I92" s="17">
        <f t="shared" si="14"/>
        <v>25.299999999999997</v>
      </c>
      <c r="J92" s="18">
        <f t="shared" si="15"/>
        <v>29.5</v>
      </c>
      <c r="K92" s="18">
        <f t="shared" si="16"/>
        <v>116.28</v>
      </c>
      <c r="L92" s="18">
        <f t="shared" si="10"/>
        <v>232.97</v>
      </c>
      <c r="M92" s="18">
        <f t="shared" si="17"/>
        <v>44.948727330074121</v>
      </c>
      <c r="N92" s="18">
        <f t="shared" si="11"/>
        <v>277.91872733007415</v>
      </c>
      <c r="O92" s="8"/>
    </row>
    <row r="93" spans="1:15">
      <c r="A93" s="1" t="s">
        <v>83</v>
      </c>
      <c r="B93" s="11"/>
      <c r="C93" s="11">
        <v>7481000</v>
      </c>
      <c r="D93" s="11">
        <v>7540000</v>
      </c>
      <c r="E93" s="11">
        <v>0</v>
      </c>
      <c r="F93" s="11">
        <f t="shared" si="9"/>
        <v>59000</v>
      </c>
      <c r="G93" s="17">
        <f t="shared" si="12"/>
        <v>40.090000000000003</v>
      </c>
      <c r="H93" s="17">
        <f t="shared" si="13"/>
        <v>21.8</v>
      </c>
      <c r="I93" s="17">
        <f t="shared" si="14"/>
        <v>25.299999999999997</v>
      </c>
      <c r="J93" s="18">
        <f t="shared" si="15"/>
        <v>29.5</v>
      </c>
      <c r="K93" s="18">
        <f t="shared" si="16"/>
        <v>64.98</v>
      </c>
      <c r="L93" s="18">
        <f t="shared" si="10"/>
        <v>181.67000000000002</v>
      </c>
      <c r="M93" s="18">
        <f t="shared" si="17"/>
        <v>35.83749881722126</v>
      </c>
      <c r="N93" s="18">
        <f t="shared" si="11"/>
        <v>217.50749881722129</v>
      </c>
      <c r="O93" s="8"/>
    </row>
    <row r="94" spans="1:15">
      <c r="A94" s="1" t="s">
        <v>84</v>
      </c>
      <c r="B94" s="11"/>
      <c r="C94" s="11">
        <v>2971000</v>
      </c>
      <c r="D94" s="11">
        <v>3007000</v>
      </c>
      <c r="E94" s="11">
        <v>0</v>
      </c>
      <c r="F94" s="11">
        <f t="shared" si="9"/>
        <v>36000</v>
      </c>
      <c r="G94" s="17">
        <f t="shared" si="12"/>
        <v>40.090000000000003</v>
      </c>
      <c r="H94" s="17">
        <f t="shared" si="13"/>
        <v>21.8</v>
      </c>
      <c r="I94" s="17">
        <f t="shared" si="14"/>
        <v>25.299999999999997</v>
      </c>
      <c r="J94" s="18">
        <f t="shared" si="15"/>
        <v>17.700000000000003</v>
      </c>
      <c r="K94" s="18">
        <f t="shared" si="16"/>
        <v>0</v>
      </c>
      <c r="L94" s="18">
        <f t="shared" si="10"/>
        <v>104.89</v>
      </c>
      <c r="M94" s="18">
        <f t="shared" si="17"/>
        <v>21.866948430846868</v>
      </c>
      <c r="N94" s="18">
        <f t="shared" si="11"/>
        <v>126.75694843084688</v>
      </c>
      <c r="O94" s="8"/>
    </row>
    <row r="95" spans="1:15">
      <c r="A95" s="1" t="s">
        <v>85</v>
      </c>
      <c r="B95" s="11"/>
      <c r="C95" s="11">
        <v>1972000</v>
      </c>
      <c r="D95" s="11">
        <v>2005000</v>
      </c>
      <c r="E95" s="11">
        <v>0</v>
      </c>
      <c r="F95" s="11">
        <f t="shared" si="9"/>
        <v>33000</v>
      </c>
      <c r="G95" s="17">
        <f t="shared" si="12"/>
        <v>40.090000000000003</v>
      </c>
      <c r="H95" s="17">
        <f t="shared" si="13"/>
        <v>21.8</v>
      </c>
      <c r="I95" s="17">
        <f t="shared" si="14"/>
        <v>25.299999999999997</v>
      </c>
      <c r="J95" s="18">
        <f t="shared" si="15"/>
        <v>8.8500000000000014</v>
      </c>
      <c r="K95" s="18">
        <f t="shared" si="16"/>
        <v>0</v>
      </c>
      <c r="L95" s="18">
        <f t="shared" si="10"/>
        <v>96.039999999999992</v>
      </c>
      <c r="M95" s="18">
        <f t="shared" si="17"/>
        <v>20.044702728276295</v>
      </c>
      <c r="N95" s="18">
        <f t="shared" si="11"/>
        <v>116.08470272827628</v>
      </c>
      <c r="O95" s="8"/>
    </row>
    <row r="96" spans="1:15">
      <c r="A96" s="1" t="s">
        <v>86</v>
      </c>
      <c r="B96" s="11"/>
      <c r="C96" s="11">
        <v>1824000</v>
      </c>
      <c r="D96" s="11">
        <v>1831000</v>
      </c>
      <c r="E96" s="11">
        <v>0</v>
      </c>
      <c r="F96" s="11">
        <f t="shared" si="9"/>
        <v>7000</v>
      </c>
      <c r="G96" s="17">
        <f t="shared" si="12"/>
        <v>40.090000000000003</v>
      </c>
      <c r="H96" s="17">
        <f t="shared" si="13"/>
        <v>0</v>
      </c>
      <c r="I96" s="17">
        <f t="shared" si="14"/>
        <v>0</v>
      </c>
      <c r="J96" s="18">
        <f t="shared" si="15"/>
        <v>0</v>
      </c>
      <c r="K96" s="18">
        <f t="shared" si="16"/>
        <v>0</v>
      </c>
      <c r="L96" s="18">
        <f t="shared" si="10"/>
        <v>40.090000000000003</v>
      </c>
      <c r="M96" s="18">
        <f t="shared" si="17"/>
        <v>4.2519066393313354</v>
      </c>
      <c r="N96" s="18">
        <f t="shared" si="11"/>
        <v>44.341906639331341</v>
      </c>
      <c r="O96" s="8"/>
    </row>
    <row r="97" spans="1:15">
      <c r="A97" s="1" t="s">
        <v>87</v>
      </c>
      <c r="B97" s="11" t="s">
        <v>138</v>
      </c>
      <c r="C97" s="11">
        <v>0</v>
      </c>
      <c r="D97" s="11">
        <v>0</v>
      </c>
      <c r="E97" s="11">
        <v>0</v>
      </c>
      <c r="F97" s="11">
        <f t="shared" si="9"/>
        <v>0</v>
      </c>
      <c r="G97" s="17">
        <f t="shared" si="12"/>
        <v>11.79</v>
      </c>
      <c r="H97" s="17">
        <f t="shared" si="13"/>
        <v>0</v>
      </c>
      <c r="I97" s="17">
        <f t="shared" si="14"/>
        <v>0</v>
      </c>
      <c r="J97" s="18">
        <f t="shared" si="15"/>
        <v>0</v>
      </c>
      <c r="K97" s="18">
        <f t="shared" si="16"/>
        <v>0</v>
      </c>
      <c r="L97" s="18">
        <f t="shared" si="10"/>
        <v>11.79</v>
      </c>
      <c r="M97" s="18">
        <f t="shared" si="17"/>
        <v>0</v>
      </c>
      <c r="N97" s="18">
        <f t="shared" si="11"/>
        <v>11.79</v>
      </c>
      <c r="O97" s="8"/>
    </row>
    <row r="98" spans="1:15">
      <c r="A98" s="1" t="s">
        <v>88</v>
      </c>
      <c r="B98" s="11"/>
      <c r="C98" s="11">
        <v>1221000</v>
      </c>
      <c r="D98" s="11">
        <v>1229000</v>
      </c>
      <c r="E98" s="11">
        <v>0</v>
      </c>
      <c r="F98" s="11">
        <f t="shared" si="9"/>
        <v>8000</v>
      </c>
      <c r="G98" s="17">
        <f t="shared" si="12"/>
        <v>40.090000000000003</v>
      </c>
      <c r="H98" s="17">
        <f t="shared" si="13"/>
        <v>0</v>
      </c>
      <c r="I98" s="17">
        <f t="shared" si="14"/>
        <v>0</v>
      </c>
      <c r="J98" s="18">
        <f t="shared" si="15"/>
        <v>0</v>
      </c>
      <c r="K98" s="18">
        <f t="shared" si="16"/>
        <v>0</v>
      </c>
      <c r="L98" s="18">
        <f t="shared" si="10"/>
        <v>40.090000000000003</v>
      </c>
      <c r="M98" s="18">
        <f t="shared" si="17"/>
        <v>4.8593218735215258</v>
      </c>
      <c r="N98" s="18">
        <f t="shared" si="11"/>
        <v>44.949321873521527</v>
      </c>
      <c r="O98" s="8"/>
    </row>
    <row r="99" spans="1:15">
      <c r="A99" s="1" t="s">
        <v>89</v>
      </c>
      <c r="B99" s="11"/>
      <c r="C99" s="11">
        <v>2178000</v>
      </c>
      <c r="D99" s="11">
        <v>2228000</v>
      </c>
      <c r="E99" s="11">
        <v>0</v>
      </c>
      <c r="F99" s="11">
        <f t="shared" si="9"/>
        <v>50000</v>
      </c>
      <c r="G99" s="17">
        <f t="shared" si="12"/>
        <v>40.090000000000003</v>
      </c>
      <c r="H99" s="17">
        <f t="shared" si="13"/>
        <v>21.8</v>
      </c>
      <c r="I99" s="17">
        <f t="shared" si="14"/>
        <v>25.299999999999997</v>
      </c>
      <c r="J99" s="18">
        <f t="shared" si="15"/>
        <v>29.5</v>
      </c>
      <c r="K99" s="18">
        <f t="shared" si="16"/>
        <v>34.200000000000003</v>
      </c>
      <c r="L99" s="18">
        <f t="shared" si="10"/>
        <v>150.88999999999999</v>
      </c>
      <c r="M99" s="18">
        <f t="shared" si="17"/>
        <v>30.370761709509541</v>
      </c>
      <c r="N99" s="18">
        <f t="shared" si="11"/>
        <v>181.26076170950952</v>
      </c>
      <c r="O99" s="8"/>
    </row>
    <row r="100" spans="1:15">
      <c r="A100" s="1" t="s">
        <v>90</v>
      </c>
      <c r="B100" s="11"/>
      <c r="C100" s="11">
        <v>1220000</v>
      </c>
      <c r="D100" s="11">
        <v>1226000</v>
      </c>
      <c r="E100" s="11">
        <v>0</v>
      </c>
      <c r="F100" s="11">
        <f t="shared" si="9"/>
        <v>6000</v>
      </c>
      <c r="G100" s="17">
        <f t="shared" si="12"/>
        <v>40.090000000000003</v>
      </c>
      <c r="H100" s="17">
        <f t="shared" si="13"/>
        <v>0</v>
      </c>
      <c r="I100" s="17">
        <f t="shared" si="14"/>
        <v>0</v>
      </c>
      <c r="J100" s="18">
        <f t="shared" si="15"/>
        <v>0</v>
      </c>
      <c r="K100" s="18">
        <f t="shared" si="16"/>
        <v>0</v>
      </c>
      <c r="L100" s="18">
        <f t="shared" si="10"/>
        <v>40.090000000000003</v>
      </c>
      <c r="M100" s="18">
        <f t="shared" si="17"/>
        <v>3.644491405141145</v>
      </c>
      <c r="N100" s="18">
        <f t="shared" si="11"/>
        <v>43.734491405141149</v>
      </c>
      <c r="O100" s="8"/>
    </row>
    <row r="101" spans="1:15">
      <c r="A101" s="1" t="s">
        <v>91</v>
      </c>
      <c r="B101" s="11"/>
      <c r="C101" s="11">
        <v>230700</v>
      </c>
      <c r="D101" s="11">
        <v>238200</v>
      </c>
      <c r="E101" s="11">
        <v>0</v>
      </c>
      <c r="F101" s="11">
        <f t="shared" si="9"/>
        <v>7500</v>
      </c>
      <c r="G101" s="17">
        <f t="shared" si="12"/>
        <v>40.090000000000003</v>
      </c>
      <c r="H101" s="17">
        <f t="shared" si="13"/>
        <v>0</v>
      </c>
      <c r="I101" s="17">
        <f t="shared" si="14"/>
        <v>0</v>
      </c>
      <c r="J101" s="18">
        <f t="shared" si="15"/>
        <v>0</v>
      </c>
      <c r="K101" s="18">
        <f t="shared" si="16"/>
        <v>0</v>
      </c>
      <c r="L101" s="18">
        <f t="shared" si="10"/>
        <v>40.090000000000003</v>
      </c>
      <c r="M101" s="18">
        <f t="shared" si="17"/>
        <v>4.5556142564264315</v>
      </c>
      <c r="N101" s="18">
        <f t="shared" si="11"/>
        <v>44.645614256426434</v>
      </c>
      <c r="O101" s="8"/>
    </row>
    <row r="102" spans="1:15">
      <c r="A102" s="1" t="s">
        <v>92</v>
      </c>
      <c r="B102" s="11"/>
      <c r="C102" s="11">
        <v>2502000</v>
      </c>
      <c r="D102" s="11">
        <v>2507000</v>
      </c>
      <c r="E102" s="11">
        <v>0</v>
      </c>
      <c r="F102" s="11">
        <f t="shared" si="9"/>
        <v>5000</v>
      </c>
      <c r="G102" s="17">
        <f t="shared" si="12"/>
        <v>40.090000000000003</v>
      </c>
      <c r="H102" s="17">
        <f t="shared" si="13"/>
        <v>0</v>
      </c>
      <c r="I102" s="17">
        <f t="shared" si="14"/>
        <v>0</v>
      </c>
      <c r="J102" s="18">
        <f t="shared" si="15"/>
        <v>0</v>
      </c>
      <c r="K102" s="18">
        <f t="shared" si="16"/>
        <v>0</v>
      </c>
      <c r="L102" s="18">
        <f t="shared" si="10"/>
        <v>40.090000000000003</v>
      </c>
      <c r="M102" s="18">
        <f t="shared" si="17"/>
        <v>3.0370761709509537</v>
      </c>
      <c r="N102" s="18">
        <f t="shared" si="11"/>
        <v>43.127076170950957</v>
      </c>
      <c r="O102" s="8"/>
    </row>
    <row r="103" spans="1:15">
      <c r="A103" s="1" t="s">
        <v>93</v>
      </c>
      <c r="B103" s="11" t="s">
        <v>138</v>
      </c>
      <c r="C103" s="11">
        <v>0</v>
      </c>
      <c r="D103" s="11">
        <v>0</v>
      </c>
      <c r="E103" s="11">
        <v>0</v>
      </c>
      <c r="F103" s="11">
        <f t="shared" si="9"/>
        <v>0</v>
      </c>
      <c r="G103" s="17">
        <f t="shared" si="12"/>
        <v>11.79</v>
      </c>
      <c r="H103" s="17">
        <f t="shared" si="13"/>
        <v>0</v>
      </c>
      <c r="I103" s="17">
        <f t="shared" si="14"/>
        <v>0</v>
      </c>
      <c r="J103" s="18">
        <f t="shared" si="15"/>
        <v>0</v>
      </c>
      <c r="K103" s="18">
        <f t="shared" si="16"/>
        <v>0</v>
      </c>
      <c r="L103" s="18">
        <f t="shared" si="10"/>
        <v>11.79</v>
      </c>
      <c r="M103" s="18">
        <f t="shared" si="17"/>
        <v>0</v>
      </c>
      <c r="N103" s="18">
        <f t="shared" si="11"/>
        <v>11.79</v>
      </c>
      <c r="O103" s="8"/>
    </row>
    <row r="104" spans="1:15">
      <c r="A104" s="1" t="s">
        <v>94</v>
      </c>
      <c r="B104" s="11" t="s">
        <v>138</v>
      </c>
      <c r="C104" s="11">
        <v>0</v>
      </c>
      <c r="D104" s="11">
        <v>0</v>
      </c>
      <c r="E104" s="11">
        <v>0</v>
      </c>
      <c r="F104" s="11">
        <f t="shared" si="9"/>
        <v>0</v>
      </c>
      <c r="G104" s="17">
        <f t="shared" si="12"/>
        <v>11.79</v>
      </c>
      <c r="H104" s="17">
        <f t="shared" si="13"/>
        <v>0</v>
      </c>
      <c r="I104" s="17">
        <f t="shared" si="14"/>
        <v>0</v>
      </c>
      <c r="J104" s="18">
        <f t="shared" si="15"/>
        <v>0</v>
      </c>
      <c r="K104" s="18">
        <f t="shared" si="16"/>
        <v>0</v>
      </c>
      <c r="L104" s="18">
        <f t="shared" si="10"/>
        <v>11.79</v>
      </c>
      <c r="M104" s="18">
        <f t="shared" si="17"/>
        <v>0</v>
      </c>
      <c r="N104" s="18">
        <f t="shared" si="11"/>
        <v>11.79</v>
      </c>
      <c r="O104" s="8"/>
    </row>
    <row r="105" spans="1:15">
      <c r="A105" s="1" t="s">
        <v>95</v>
      </c>
      <c r="B105" s="11" t="s">
        <v>138</v>
      </c>
      <c r="C105" s="11">
        <v>0</v>
      </c>
      <c r="D105" s="11">
        <v>0</v>
      </c>
      <c r="E105" s="11">
        <v>0</v>
      </c>
      <c r="F105" s="11">
        <f t="shared" si="9"/>
        <v>0</v>
      </c>
      <c r="G105" s="17">
        <f t="shared" si="12"/>
        <v>11.79</v>
      </c>
      <c r="H105" s="17">
        <f t="shared" si="13"/>
        <v>0</v>
      </c>
      <c r="I105" s="17">
        <f t="shared" si="14"/>
        <v>0</v>
      </c>
      <c r="J105" s="18">
        <f t="shared" si="15"/>
        <v>0</v>
      </c>
      <c r="K105" s="18">
        <f t="shared" si="16"/>
        <v>0</v>
      </c>
      <c r="L105" s="18">
        <f t="shared" si="10"/>
        <v>11.79</v>
      </c>
      <c r="M105" s="18">
        <f t="shared" si="17"/>
        <v>0</v>
      </c>
      <c r="N105" s="18">
        <f t="shared" si="11"/>
        <v>11.79</v>
      </c>
      <c r="O105" s="8"/>
    </row>
    <row r="106" spans="1:15">
      <c r="A106" s="1" t="s">
        <v>96</v>
      </c>
      <c r="B106" s="11"/>
      <c r="C106" s="11">
        <v>1808000</v>
      </c>
      <c r="D106" s="11">
        <v>1824000</v>
      </c>
      <c r="E106" s="11">
        <v>0</v>
      </c>
      <c r="F106" s="11">
        <f t="shared" si="9"/>
        <v>16000</v>
      </c>
      <c r="G106" s="17">
        <f t="shared" si="12"/>
        <v>40.090000000000003</v>
      </c>
      <c r="H106" s="17">
        <f t="shared" si="13"/>
        <v>13.080000000000002</v>
      </c>
      <c r="I106" s="17">
        <f t="shared" si="14"/>
        <v>0</v>
      </c>
      <c r="J106" s="18">
        <f t="shared" si="15"/>
        <v>0</v>
      </c>
      <c r="K106" s="18">
        <f t="shared" si="16"/>
        <v>0</v>
      </c>
      <c r="L106" s="18">
        <f t="shared" si="10"/>
        <v>53.17</v>
      </c>
      <c r="M106" s="18">
        <f t="shared" si="17"/>
        <v>9.7186437470430516</v>
      </c>
      <c r="N106" s="18">
        <f t="shared" si="11"/>
        <v>62.888643747043055</v>
      </c>
      <c r="O106" s="8"/>
    </row>
    <row r="107" spans="1:15">
      <c r="A107" s="1" t="s">
        <v>97</v>
      </c>
      <c r="B107" s="11" t="s">
        <v>138</v>
      </c>
      <c r="C107" s="11">
        <v>0</v>
      </c>
      <c r="D107" s="11">
        <v>0</v>
      </c>
      <c r="E107" s="11">
        <v>0</v>
      </c>
      <c r="F107" s="11">
        <f t="shared" si="9"/>
        <v>0</v>
      </c>
      <c r="G107" s="17">
        <f t="shared" si="12"/>
        <v>11.79</v>
      </c>
      <c r="H107" s="17">
        <f t="shared" si="13"/>
        <v>0</v>
      </c>
      <c r="I107" s="17">
        <f t="shared" si="14"/>
        <v>0</v>
      </c>
      <c r="J107" s="18">
        <f t="shared" si="15"/>
        <v>0</v>
      </c>
      <c r="K107" s="18">
        <f t="shared" si="16"/>
        <v>0</v>
      </c>
      <c r="L107" s="18">
        <f t="shared" si="10"/>
        <v>11.79</v>
      </c>
      <c r="M107" s="18">
        <f t="shared" si="17"/>
        <v>0</v>
      </c>
      <c r="N107" s="18">
        <f t="shared" si="11"/>
        <v>11.79</v>
      </c>
      <c r="O107" s="8"/>
    </row>
    <row r="108" spans="1:15">
      <c r="A108" s="1" t="s">
        <v>98</v>
      </c>
      <c r="B108" s="11" t="s">
        <v>138</v>
      </c>
      <c r="C108" s="11">
        <v>0</v>
      </c>
      <c r="D108" s="11">
        <v>0</v>
      </c>
      <c r="E108" s="11">
        <v>0</v>
      </c>
      <c r="F108" s="11">
        <f t="shared" si="9"/>
        <v>0</v>
      </c>
      <c r="G108" s="17">
        <f t="shared" si="12"/>
        <v>11.79</v>
      </c>
      <c r="H108" s="17">
        <f t="shared" si="13"/>
        <v>0</v>
      </c>
      <c r="I108" s="17">
        <f t="shared" si="14"/>
        <v>0</v>
      </c>
      <c r="J108" s="18">
        <f t="shared" si="15"/>
        <v>0</v>
      </c>
      <c r="K108" s="18">
        <f t="shared" si="16"/>
        <v>0</v>
      </c>
      <c r="L108" s="18">
        <f t="shared" si="10"/>
        <v>11.79</v>
      </c>
      <c r="M108" s="18">
        <f t="shared" si="17"/>
        <v>0</v>
      </c>
      <c r="N108" s="18">
        <f t="shared" si="11"/>
        <v>11.79</v>
      </c>
      <c r="O108" s="8"/>
    </row>
    <row r="109" spans="1:15">
      <c r="A109" s="1" t="s">
        <v>99</v>
      </c>
      <c r="B109" s="11"/>
      <c r="C109" s="11">
        <v>1648000</v>
      </c>
      <c r="D109" s="11">
        <v>1655000</v>
      </c>
      <c r="E109" s="11">
        <v>0</v>
      </c>
      <c r="F109" s="11">
        <f t="shared" si="9"/>
        <v>7000</v>
      </c>
      <c r="G109" s="17">
        <f t="shared" si="12"/>
        <v>40.090000000000003</v>
      </c>
      <c r="H109" s="17">
        <f t="shared" si="13"/>
        <v>0</v>
      </c>
      <c r="I109" s="17">
        <f t="shared" si="14"/>
        <v>0</v>
      </c>
      <c r="J109" s="18">
        <f t="shared" si="15"/>
        <v>0</v>
      </c>
      <c r="K109" s="18">
        <f t="shared" si="16"/>
        <v>0</v>
      </c>
      <c r="L109" s="18">
        <f t="shared" si="10"/>
        <v>40.090000000000003</v>
      </c>
      <c r="M109" s="18">
        <f t="shared" si="17"/>
        <v>4.2519066393313354</v>
      </c>
      <c r="N109" s="18">
        <f t="shared" si="11"/>
        <v>44.341906639331341</v>
      </c>
      <c r="O109" s="8"/>
    </row>
    <row r="110" spans="1:15">
      <c r="A110" s="1" t="s">
        <v>100</v>
      </c>
      <c r="B110" s="11"/>
      <c r="C110" s="11">
        <v>497000</v>
      </c>
      <c r="D110" s="11">
        <v>502000</v>
      </c>
      <c r="E110" s="11">
        <v>0</v>
      </c>
      <c r="F110" s="11">
        <f t="shared" si="9"/>
        <v>5000</v>
      </c>
      <c r="G110" s="17">
        <f t="shared" si="12"/>
        <v>40.090000000000003</v>
      </c>
      <c r="H110" s="17">
        <f t="shared" si="13"/>
        <v>0</v>
      </c>
      <c r="I110" s="17">
        <f t="shared" si="14"/>
        <v>0</v>
      </c>
      <c r="J110" s="18">
        <f t="shared" si="15"/>
        <v>0</v>
      </c>
      <c r="K110" s="18">
        <f t="shared" si="16"/>
        <v>0</v>
      </c>
      <c r="L110" s="18">
        <f t="shared" si="10"/>
        <v>40.090000000000003</v>
      </c>
      <c r="M110" s="18">
        <f t="shared" si="17"/>
        <v>3.0370761709509537</v>
      </c>
      <c r="N110" s="18">
        <f t="shared" si="11"/>
        <v>43.127076170950957</v>
      </c>
      <c r="O110" s="8"/>
    </row>
    <row r="111" spans="1:15">
      <c r="A111" s="1" t="s">
        <v>101</v>
      </c>
      <c r="B111" s="11"/>
      <c r="C111" s="11">
        <v>4504000</v>
      </c>
      <c r="D111" s="11">
        <v>4532000</v>
      </c>
      <c r="E111" s="11">
        <v>0</v>
      </c>
      <c r="F111" s="11">
        <f t="shared" si="9"/>
        <v>28000</v>
      </c>
      <c r="G111" s="17">
        <f t="shared" si="12"/>
        <v>40.090000000000003</v>
      </c>
      <c r="H111" s="17">
        <f t="shared" si="13"/>
        <v>21.8</v>
      </c>
      <c r="I111" s="17">
        <f t="shared" si="14"/>
        <v>20.239999999999998</v>
      </c>
      <c r="J111" s="18">
        <f t="shared" si="15"/>
        <v>0</v>
      </c>
      <c r="K111" s="18">
        <f t="shared" si="16"/>
        <v>0</v>
      </c>
      <c r="L111" s="18">
        <f t="shared" si="10"/>
        <v>82.13</v>
      </c>
      <c r="M111" s="18">
        <f t="shared" si="17"/>
        <v>17.007626557325342</v>
      </c>
      <c r="N111" s="18">
        <f t="shared" si="11"/>
        <v>99.137626557325333</v>
      </c>
      <c r="O111" s="8"/>
    </row>
    <row r="112" spans="1:15">
      <c r="A112" s="1" t="s">
        <v>102</v>
      </c>
      <c r="B112" s="11" t="s">
        <v>138</v>
      </c>
      <c r="C112" s="11">
        <v>0</v>
      </c>
      <c r="D112" s="11">
        <v>0</v>
      </c>
      <c r="E112" s="11">
        <v>0</v>
      </c>
      <c r="F112" s="11">
        <f t="shared" si="9"/>
        <v>0</v>
      </c>
      <c r="G112" s="17">
        <f t="shared" si="12"/>
        <v>11.79</v>
      </c>
      <c r="H112" s="17">
        <f t="shared" si="13"/>
        <v>0</v>
      </c>
      <c r="I112" s="17">
        <f t="shared" si="14"/>
        <v>0</v>
      </c>
      <c r="J112" s="18">
        <f t="shared" si="15"/>
        <v>0</v>
      </c>
      <c r="K112" s="18">
        <f t="shared" si="16"/>
        <v>0</v>
      </c>
      <c r="L112" s="18">
        <f t="shared" si="10"/>
        <v>11.79</v>
      </c>
      <c r="M112" s="18">
        <f t="shared" si="17"/>
        <v>0</v>
      </c>
      <c r="N112" s="18">
        <f t="shared" si="11"/>
        <v>11.79</v>
      </c>
      <c r="O112" s="8"/>
    </row>
    <row r="113" spans="1:15">
      <c r="A113" s="1" t="s">
        <v>103</v>
      </c>
      <c r="B113" s="11"/>
      <c r="C113" s="11">
        <v>1137000</v>
      </c>
      <c r="D113" s="11">
        <v>1176000</v>
      </c>
      <c r="E113" s="11">
        <v>0</v>
      </c>
      <c r="F113" s="11">
        <f t="shared" si="9"/>
        <v>39000</v>
      </c>
      <c r="G113" s="17">
        <f t="shared" si="12"/>
        <v>40.090000000000003</v>
      </c>
      <c r="H113" s="17">
        <f t="shared" si="13"/>
        <v>21.8</v>
      </c>
      <c r="I113" s="17">
        <f t="shared" si="14"/>
        <v>25.299999999999997</v>
      </c>
      <c r="J113" s="18">
        <f t="shared" si="15"/>
        <v>26.55</v>
      </c>
      <c r="K113" s="18">
        <f t="shared" si="16"/>
        <v>0</v>
      </c>
      <c r="L113" s="18">
        <f t="shared" si="10"/>
        <v>113.74</v>
      </c>
      <c r="M113" s="18">
        <f t="shared" si="17"/>
        <v>23.689194133417441</v>
      </c>
      <c r="N113" s="18">
        <f t="shared" si="11"/>
        <v>137.42919413341744</v>
      </c>
      <c r="O113" s="8"/>
    </row>
    <row r="114" spans="1:15">
      <c r="A114" s="1" t="s">
        <v>104</v>
      </c>
      <c r="B114" s="11" t="s">
        <v>138</v>
      </c>
      <c r="C114" s="11">
        <v>0</v>
      </c>
      <c r="D114" s="11">
        <v>0</v>
      </c>
      <c r="E114" s="11">
        <v>0</v>
      </c>
      <c r="F114" s="11">
        <f t="shared" si="9"/>
        <v>0</v>
      </c>
      <c r="G114" s="17">
        <f t="shared" si="12"/>
        <v>11.79</v>
      </c>
      <c r="H114" s="17">
        <f t="shared" si="13"/>
        <v>0</v>
      </c>
      <c r="I114" s="17">
        <f t="shared" si="14"/>
        <v>0</v>
      </c>
      <c r="J114" s="18">
        <f t="shared" si="15"/>
        <v>0</v>
      </c>
      <c r="K114" s="18">
        <f t="shared" si="16"/>
        <v>0</v>
      </c>
      <c r="L114" s="18">
        <f t="shared" si="10"/>
        <v>11.79</v>
      </c>
      <c r="M114" s="18">
        <f t="shared" si="17"/>
        <v>0</v>
      </c>
      <c r="N114" s="18">
        <f t="shared" si="11"/>
        <v>11.79</v>
      </c>
      <c r="O114" s="8"/>
    </row>
    <row r="115" spans="1:15">
      <c r="A115" s="1" t="s">
        <v>105</v>
      </c>
      <c r="B115" s="11"/>
      <c r="C115" s="11">
        <v>1387000</v>
      </c>
      <c r="D115" s="11">
        <v>1437000</v>
      </c>
      <c r="E115" s="11">
        <v>0</v>
      </c>
      <c r="F115" s="11">
        <f t="shared" si="9"/>
        <v>50000</v>
      </c>
      <c r="G115" s="17">
        <f t="shared" si="12"/>
        <v>40.090000000000003</v>
      </c>
      <c r="H115" s="17">
        <f t="shared" si="13"/>
        <v>21.8</v>
      </c>
      <c r="I115" s="17">
        <f t="shared" si="14"/>
        <v>25.299999999999997</v>
      </c>
      <c r="J115" s="18">
        <f t="shared" si="15"/>
        <v>29.5</v>
      </c>
      <c r="K115" s="18">
        <f t="shared" si="16"/>
        <v>34.200000000000003</v>
      </c>
      <c r="L115" s="18">
        <f t="shared" si="10"/>
        <v>150.88999999999999</v>
      </c>
      <c r="M115" s="18">
        <f t="shared" si="17"/>
        <v>30.370761709509541</v>
      </c>
      <c r="N115" s="18">
        <f t="shared" si="11"/>
        <v>181.26076170950952</v>
      </c>
      <c r="O115" s="8"/>
    </row>
    <row r="116" spans="1:15">
      <c r="A116" s="1" t="s">
        <v>106</v>
      </c>
      <c r="B116" s="11"/>
      <c r="C116" s="11">
        <v>1785000</v>
      </c>
      <c r="D116" s="11">
        <v>1787000</v>
      </c>
      <c r="E116" s="11">
        <v>0</v>
      </c>
      <c r="F116" s="11">
        <f t="shared" si="9"/>
        <v>2000</v>
      </c>
      <c r="G116" s="17">
        <f t="shared" si="12"/>
        <v>40.090000000000003</v>
      </c>
      <c r="H116" s="17">
        <f t="shared" si="13"/>
        <v>0</v>
      </c>
      <c r="I116" s="17">
        <f t="shared" si="14"/>
        <v>0</v>
      </c>
      <c r="J116" s="18">
        <f t="shared" si="15"/>
        <v>0</v>
      </c>
      <c r="K116" s="18">
        <f t="shared" si="16"/>
        <v>0</v>
      </c>
      <c r="L116" s="18">
        <f t="shared" si="10"/>
        <v>40.090000000000003</v>
      </c>
      <c r="M116" s="18">
        <f t="shared" si="17"/>
        <v>1.2148304683803814</v>
      </c>
      <c r="N116" s="18">
        <f t="shared" si="11"/>
        <v>41.304830468380388</v>
      </c>
      <c r="O116" s="8"/>
    </row>
    <row r="117" spans="1:15">
      <c r="A117" s="1" t="s">
        <v>107</v>
      </c>
      <c r="B117" s="11"/>
      <c r="C117" s="11">
        <v>314000</v>
      </c>
      <c r="D117" s="11">
        <v>316000</v>
      </c>
      <c r="E117" s="11">
        <v>0</v>
      </c>
      <c r="F117" s="11">
        <f t="shared" si="9"/>
        <v>2000</v>
      </c>
      <c r="G117" s="17">
        <f t="shared" si="12"/>
        <v>40.090000000000003</v>
      </c>
      <c r="H117" s="17">
        <f t="shared" si="13"/>
        <v>0</v>
      </c>
      <c r="I117" s="17">
        <f t="shared" si="14"/>
        <v>0</v>
      </c>
      <c r="J117" s="18">
        <f t="shared" si="15"/>
        <v>0</v>
      </c>
      <c r="K117" s="18">
        <f t="shared" si="16"/>
        <v>0</v>
      </c>
      <c r="L117" s="18">
        <f t="shared" si="10"/>
        <v>40.090000000000003</v>
      </c>
      <c r="M117" s="18">
        <f t="shared" si="17"/>
        <v>1.2148304683803814</v>
      </c>
      <c r="N117" s="18">
        <f t="shared" si="11"/>
        <v>41.304830468380388</v>
      </c>
      <c r="O117" s="8"/>
    </row>
    <row r="118" spans="1:15">
      <c r="A118" s="1" t="s">
        <v>108</v>
      </c>
      <c r="B118" s="11"/>
      <c r="C118" s="11">
        <v>2540000</v>
      </c>
      <c r="D118" s="11">
        <v>2563000</v>
      </c>
      <c r="E118" s="11">
        <v>0</v>
      </c>
      <c r="F118" s="11">
        <f t="shared" si="9"/>
        <v>23000</v>
      </c>
      <c r="G118" s="17">
        <f t="shared" si="12"/>
        <v>40.090000000000003</v>
      </c>
      <c r="H118" s="17">
        <f t="shared" si="13"/>
        <v>21.8</v>
      </c>
      <c r="I118" s="17">
        <f t="shared" si="14"/>
        <v>7.59</v>
      </c>
      <c r="J118" s="18">
        <f t="shared" si="15"/>
        <v>0</v>
      </c>
      <c r="K118" s="18">
        <f t="shared" si="16"/>
        <v>0</v>
      </c>
      <c r="L118" s="18">
        <f t="shared" si="10"/>
        <v>69.48</v>
      </c>
      <c r="M118" s="18">
        <f t="shared" si="17"/>
        <v>13.970550386374388</v>
      </c>
      <c r="N118" s="18">
        <f t="shared" si="11"/>
        <v>83.450550386374388</v>
      </c>
      <c r="O118" s="8"/>
    </row>
    <row r="119" spans="1:15">
      <c r="A119" s="1" t="s">
        <v>109</v>
      </c>
      <c r="B119" s="11" t="s">
        <v>138</v>
      </c>
      <c r="C119" s="11">
        <v>0</v>
      </c>
      <c r="D119" s="11">
        <v>0</v>
      </c>
      <c r="E119" s="11">
        <v>0</v>
      </c>
      <c r="F119" s="11">
        <f t="shared" si="9"/>
        <v>0</v>
      </c>
      <c r="G119" s="17">
        <f t="shared" si="12"/>
        <v>11.79</v>
      </c>
      <c r="H119" s="17">
        <f t="shared" si="13"/>
        <v>0</v>
      </c>
      <c r="I119" s="17">
        <f t="shared" si="14"/>
        <v>0</v>
      </c>
      <c r="J119" s="18">
        <f t="shared" si="15"/>
        <v>0</v>
      </c>
      <c r="K119" s="18">
        <f t="shared" si="16"/>
        <v>0</v>
      </c>
      <c r="L119" s="18">
        <f t="shared" si="10"/>
        <v>11.79</v>
      </c>
      <c r="M119" s="18">
        <f t="shared" si="17"/>
        <v>0</v>
      </c>
      <c r="N119" s="18">
        <f t="shared" si="11"/>
        <v>11.79</v>
      </c>
      <c r="O119" s="8"/>
    </row>
    <row r="120" spans="1:15">
      <c r="A120" s="1" t="s">
        <v>110</v>
      </c>
      <c r="B120" s="11"/>
      <c r="C120" s="11">
        <v>3764000</v>
      </c>
      <c r="D120" s="11">
        <v>3772000</v>
      </c>
      <c r="E120" s="11">
        <v>0</v>
      </c>
      <c r="F120" s="11">
        <f t="shared" si="9"/>
        <v>8000</v>
      </c>
      <c r="G120" s="17">
        <f t="shared" si="12"/>
        <v>40.090000000000003</v>
      </c>
      <c r="H120" s="17">
        <f t="shared" si="13"/>
        <v>0</v>
      </c>
      <c r="I120" s="17">
        <f t="shared" si="14"/>
        <v>0</v>
      </c>
      <c r="J120" s="18">
        <f t="shared" si="15"/>
        <v>0</v>
      </c>
      <c r="K120" s="18">
        <f t="shared" si="16"/>
        <v>0</v>
      </c>
      <c r="L120" s="18">
        <f t="shared" si="10"/>
        <v>40.090000000000003</v>
      </c>
      <c r="M120" s="18">
        <f t="shared" si="17"/>
        <v>4.8593218735215258</v>
      </c>
      <c r="N120" s="18">
        <f t="shared" si="11"/>
        <v>44.949321873521527</v>
      </c>
      <c r="O120" s="8"/>
    </row>
    <row r="121" spans="1:15">
      <c r="A121" s="1" t="s">
        <v>111</v>
      </c>
      <c r="B121" s="11"/>
      <c r="C121" s="11">
        <v>3430000</v>
      </c>
      <c r="D121" s="11">
        <v>3488000</v>
      </c>
      <c r="E121" s="11">
        <v>0</v>
      </c>
      <c r="F121" s="11">
        <f t="shared" si="9"/>
        <v>58000</v>
      </c>
      <c r="G121" s="17">
        <f t="shared" si="12"/>
        <v>40.090000000000003</v>
      </c>
      <c r="H121" s="17">
        <f t="shared" si="13"/>
        <v>21.8</v>
      </c>
      <c r="I121" s="17">
        <f t="shared" si="14"/>
        <v>25.299999999999997</v>
      </c>
      <c r="J121" s="18">
        <f t="shared" si="15"/>
        <v>29.5</v>
      </c>
      <c r="K121" s="18">
        <f t="shared" si="16"/>
        <v>61.56</v>
      </c>
      <c r="L121" s="18">
        <f t="shared" si="10"/>
        <v>178.25</v>
      </c>
      <c r="M121" s="18">
        <f t="shared" si="17"/>
        <v>35.230083583031067</v>
      </c>
      <c r="N121" s="18">
        <f t="shared" si="11"/>
        <v>213.48008358303107</v>
      </c>
      <c r="O121" s="8"/>
    </row>
    <row r="122" spans="1:15">
      <c r="A122" s="1" t="s">
        <v>112</v>
      </c>
      <c r="B122" s="11"/>
      <c r="C122" s="11">
        <v>335000</v>
      </c>
      <c r="D122" s="11">
        <v>336000</v>
      </c>
      <c r="E122" s="11">
        <v>0</v>
      </c>
      <c r="F122" s="11">
        <f t="shared" si="9"/>
        <v>1000</v>
      </c>
      <c r="G122" s="17">
        <f t="shared" si="12"/>
        <v>40.090000000000003</v>
      </c>
      <c r="H122" s="17">
        <f t="shared" si="13"/>
        <v>0</v>
      </c>
      <c r="I122" s="17">
        <f t="shared" si="14"/>
        <v>0</v>
      </c>
      <c r="J122" s="18">
        <f t="shared" si="15"/>
        <v>0</v>
      </c>
      <c r="K122" s="18">
        <f t="shared" si="16"/>
        <v>0</v>
      </c>
      <c r="L122" s="18">
        <f t="shared" si="10"/>
        <v>40.090000000000003</v>
      </c>
      <c r="M122" s="18">
        <f t="shared" si="17"/>
        <v>0.60741523419019072</v>
      </c>
      <c r="N122" s="18">
        <f t="shared" si="11"/>
        <v>40.697415234190196</v>
      </c>
      <c r="O122" s="8"/>
    </row>
    <row r="123" spans="1:15">
      <c r="A123" s="1" t="s">
        <v>113</v>
      </c>
      <c r="B123" s="11"/>
      <c r="C123" s="11">
        <v>1391000</v>
      </c>
      <c r="D123" s="11">
        <v>1419000</v>
      </c>
      <c r="E123" s="11">
        <v>0</v>
      </c>
      <c r="F123" s="11">
        <f t="shared" si="9"/>
        <v>28000</v>
      </c>
      <c r="G123" s="17">
        <f t="shared" si="12"/>
        <v>40.090000000000003</v>
      </c>
      <c r="H123" s="17">
        <f t="shared" si="13"/>
        <v>21.8</v>
      </c>
      <c r="I123" s="17">
        <f t="shared" si="14"/>
        <v>20.239999999999998</v>
      </c>
      <c r="J123" s="18">
        <f t="shared" si="15"/>
        <v>0</v>
      </c>
      <c r="K123" s="18">
        <f t="shared" si="16"/>
        <v>0</v>
      </c>
      <c r="L123" s="18">
        <f t="shared" si="10"/>
        <v>82.13</v>
      </c>
      <c r="M123" s="18">
        <f t="shared" si="17"/>
        <v>17.007626557325342</v>
      </c>
      <c r="N123" s="18">
        <f t="shared" si="11"/>
        <v>99.137626557325333</v>
      </c>
      <c r="O123" s="8"/>
    </row>
    <row r="124" spans="1:15">
      <c r="A124" s="1" t="s">
        <v>114</v>
      </c>
      <c r="B124" s="11"/>
      <c r="C124" s="11">
        <v>2558000</v>
      </c>
      <c r="D124" s="11">
        <v>2570000</v>
      </c>
      <c r="E124" s="11">
        <v>0</v>
      </c>
      <c r="F124" s="11">
        <f t="shared" si="9"/>
        <v>12000</v>
      </c>
      <c r="G124" s="17">
        <f t="shared" si="12"/>
        <v>40.090000000000003</v>
      </c>
      <c r="H124" s="17">
        <f t="shared" si="13"/>
        <v>4.3600000000000003</v>
      </c>
      <c r="I124" s="17">
        <f t="shared" si="14"/>
        <v>0</v>
      </c>
      <c r="J124" s="18">
        <f t="shared" si="15"/>
        <v>0</v>
      </c>
      <c r="K124" s="18">
        <f t="shared" si="16"/>
        <v>0</v>
      </c>
      <c r="L124" s="18">
        <f t="shared" si="10"/>
        <v>44.45</v>
      </c>
      <c r="M124" s="18">
        <f t="shared" si="17"/>
        <v>7.28898281028229</v>
      </c>
      <c r="N124" s="18">
        <f t="shared" si="11"/>
        <v>51.738982810282295</v>
      </c>
      <c r="O124" s="8"/>
    </row>
    <row r="125" spans="1:15">
      <c r="A125" s="1" t="s">
        <v>115</v>
      </c>
      <c r="B125" s="11"/>
      <c r="C125" s="11">
        <v>2410000</v>
      </c>
      <c r="D125" s="11">
        <v>2432000</v>
      </c>
      <c r="E125" s="11">
        <v>0</v>
      </c>
      <c r="F125" s="11">
        <f t="shared" si="9"/>
        <v>22000</v>
      </c>
      <c r="G125" s="17">
        <f t="shared" si="12"/>
        <v>40.090000000000003</v>
      </c>
      <c r="H125" s="17">
        <f t="shared" si="13"/>
        <v>21.8</v>
      </c>
      <c r="I125" s="17">
        <f t="shared" si="14"/>
        <v>5.0599999999999996</v>
      </c>
      <c r="J125" s="18">
        <f t="shared" si="15"/>
        <v>0</v>
      </c>
      <c r="K125" s="18">
        <f t="shared" si="16"/>
        <v>0</v>
      </c>
      <c r="L125" s="18">
        <f t="shared" si="10"/>
        <v>66.95</v>
      </c>
      <c r="M125" s="18">
        <f t="shared" si="17"/>
        <v>13.363135152184197</v>
      </c>
      <c r="N125" s="18">
        <f t="shared" si="11"/>
        <v>80.313135152184202</v>
      </c>
      <c r="O125" s="8"/>
    </row>
    <row r="126" spans="1:15">
      <c r="A126" s="1" t="s">
        <v>116</v>
      </c>
      <c r="B126" s="11"/>
      <c r="C126" s="11">
        <v>4242000</v>
      </c>
      <c r="D126" s="11">
        <v>4246000</v>
      </c>
      <c r="E126" s="11">
        <v>0</v>
      </c>
      <c r="F126" s="11">
        <f t="shared" si="9"/>
        <v>4000</v>
      </c>
      <c r="G126" s="17">
        <f t="shared" si="12"/>
        <v>40.090000000000003</v>
      </c>
      <c r="H126" s="17">
        <f t="shared" si="13"/>
        <v>0</v>
      </c>
      <c r="I126" s="17">
        <f t="shared" si="14"/>
        <v>0</v>
      </c>
      <c r="J126" s="18">
        <f t="shared" si="15"/>
        <v>0</v>
      </c>
      <c r="K126" s="18">
        <f t="shared" si="16"/>
        <v>0</v>
      </c>
      <c r="L126" s="18">
        <f t="shared" si="10"/>
        <v>40.090000000000003</v>
      </c>
      <c r="M126" s="18">
        <f t="shared" si="17"/>
        <v>2.4296609367607629</v>
      </c>
      <c r="N126" s="18">
        <f t="shared" si="11"/>
        <v>42.519660936760765</v>
      </c>
      <c r="O126" s="8"/>
    </row>
    <row r="127" spans="1:15">
      <c r="A127" s="1" t="s">
        <v>117</v>
      </c>
      <c r="B127" s="11"/>
      <c r="C127" s="11">
        <v>1871000</v>
      </c>
      <c r="D127" s="11">
        <v>1879000</v>
      </c>
      <c r="E127" s="11">
        <v>0</v>
      </c>
      <c r="F127" s="11">
        <f t="shared" si="9"/>
        <v>8000</v>
      </c>
      <c r="G127" s="17">
        <f t="shared" si="12"/>
        <v>40.090000000000003</v>
      </c>
      <c r="H127" s="17">
        <f t="shared" si="13"/>
        <v>0</v>
      </c>
      <c r="I127" s="17">
        <f t="shared" si="14"/>
        <v>0</v>
      </c>
      <c r="J127" s="18">
        <f t="shared" si="15"/>
        <v>0</v>
      </c>
      <c r="K127" s="18">
        <f t="shared" si="16"/>
        <v>0</v>
      </c>
      <c r="L127" s="18">
        <f t="shared" si="10"/>
        <v>40.090000000000003</v>
      </c>
      <c r="M127" s="18">
        <f t="shared" si="17"/>
        <v>4.8593218735215258</v>
      </c>
      <c r="N127" s="18">
        <f t="shared" si="11"/>
        <v>44.949321873521527</v>
      </c>
      <c r="O127" s="8"/>
    </row>
    <row r="128" spans="1:15">
      <c r="A128" s="14" t="s">
        <v>118</v>
      </c>
      <c r="B128" s="15"/>
      <c r="C128" s="15">
        <v>1153000</v>
      </c>
      <c r="D128" s="15">
        <v>1164000</v>
      </c>
      <c r="E128" s="15">
        <v>0</v>
      </c>
      <c r="F128" s="15">
        <f t="shared" si="9"/>
        <v>11000</v>
      </c>
      <c r="G128" s="19">
        <f t="shared" si="12"/>
        <v>40.090000000000003</v>
      </c>
      <c r="H128" s="19">
        <f t="shared" si="13"/>
        <v>2.1800000000000002</v>
      </c>
      <c r="I128" s="19">
        <f t="shared" si="14"/>
        <v>0</v>
      </c>
      <c r="J128" s="20">
        <f t="shared" si="15"/>
        <v>0</v>
      </c>
      <c r="K128" s="20">
        <f t="shared" si="16"/>
        <v>0</v>
      </c>
      <c r="L128" s="18">
        <f t="shared" si="10"/>
        <v>42.27</v>
      </c>
      <c r="M128" s="18">
        <f t="shared" si="17"/>
        <v>6.6815675760920987</v>
      </c>
      <c r="N128" s="18">
        <f t="shared" si="11"/>
        <v>48.951567576092103</v>
      </c>
      <c r="O128" s="16" t="s">
        <v>153</v>
      </c>
    </row>
    <row r="129" spans="1:15">
      <c r="A129" s="1" t="s">
        <v>119</v>
      </c>
      <c r="B129" s="11"/>
      <c r="C129" s="11">
        <v>6661000</v>
      </c>
      <c r="D129" s="11">
        <v>6817000</v>
      </c>
      <c r="E129" s="11">
        <v>0</v>
      </c>
      <c r="F129" s="11">
        <f t="shared" si="9"/>
        <v>156000</v>
      </c>
      <c r="G129" s="17">
        <f t="shared" si="12"/>
        <v>40.090000000000003</v>
      </c>
      <c r="H129" s="17">
        <f t="shared" si="13"/>
        <v>21.8</v>
      </c>
      <c r="I129" s="17">
        <f t="shared" si="14"/>
        <v>25.299999999999997</v>
      </c>
      <c r="J129" s="18">
        <f t="shared" si="15"/>
        <v>29.5</v>
      </c>
      <c r="K129" s="18">
        <f t="shared" si="16"/>
        <v>396.71999999999997</v>
      </c>
      <c r="L129" s="18">
        <f t="shared" si="10"/>
        <v>513.41</v>
      </c>
      <c r="M129" s="18">
        <f t="shared" si="17"/>
        <v>94.756776533669765</v>
      </c>
      <c r="N129" s="18">
        <f t="shared" si="11"/>
        <v>608.16677653366969</v>
      </c>
      <c r="O129" s="8"/>
    </row>
    <row r="130" spans="1:15">
      <c r="A130" s="1" t="s">
        <v>120</v>
      </c>
      <c r="B130" s="11"/>
      <c r="C130" s="11">
        <v>3659000</v>
      </c>
      <c r="D130" s="11">
        <v>3674000</v>
      </c>
      <c r="E130" s="11">
        <v>0</v>
      </c>
      <c r="F130" s="11">
        <f t="shared" si="9"/>
        <v>15000</v>
      </c>
      <c r="G130" s="17">
        <f t="shared" si="12"/>
        <v>40.090000000000003</v>
      </c>
      <c r="H130" s="17">
        <f t="shared" si="13"/>
        <v>10.9</v>
      </c>
      <c r="I130" s="17">
        <f t="shared" si="14"/>
        <v>0</v>
      </c>
      <c r="J130" s="18">
        <f t="shared" si="15"/>
        <v>0</v>
      </c>
      <c r="K130" s="18">
        <f t="shared" si="16"/>
        <v>0</v>
      </c>
      <c r="L130" s="18">
        <f t="shared" si="10"/>
        <v>50.99</v>
      </c>
      <c r="M130" s="18">
        <f t="shared" si="17"/>
        <v>9.1112285128528629</v>
      </c>
      <c r="N130" s="18">
        <f t="shared" si="11"/>
        <v>60.101228512852863</v>
      </c>
      <c r="O130" s="8"/>
    </row>
    <row r="131" spans="1:15">
      <c r="A131" s="1" t="s">
        <v>121</v>
      </c>
      <c r="B131" s="11" t="s">
        <v>138</v>
      </c>
      <c r="C131" s="11">
        <v>0</v>
      </c>
      <c r="D131" s="11">
        <v>0</v>
      </c>
      <c r="E131" s="11">
        <v>0</v>
      </c>
      <c r="F131" s="11">
        <f t="shared" si="9"/>
        <v>0</v>
      </c>
      <c r="G131" s="17">
        <f t="shared" si="12"/>
        <v>11.79</v>
      </c>
      <c r="H131" s="17">
        <f t="shared" si="13"/>
        <v>0</v>
      </c>
      <c r="I131" s="17">
        <f t="shared" si="14"/>
        <v>0</v>
      </c>
      <c r="J131" s="18">
        <f t="shared" si="15"/>
        <v>0</v>
      </c>
      <c r="K131" s="18">
        <f t="shared" si="16"/>
        <v>0</v>
      </c>
      <c r="L131" s="18">
        <f t="shared" si="10"/>
        <v>11.79</v>
      </c>
      <c r="M131" s="18">
        <f t="shared" si="17"/>
        <v>0</v>
      </c>
      <c r="N131" s="18">
        <f t="shared" si="11"/>
        <v>11.79</v>
      </c>
      <c r="O131" s="8"/>
    </row>
    <row r="132" spans="1:15">
      <c r="A132" s="1" t="s">
        <v>122</v>
      </c>
      <c r="B132" s="11"/>
      <c r="C132" s="11">
        <v>1247000</v>
      </c>
      <c r="D132" s="11">
        <v>1264000</v>
      </c>
      <c r="E132" s="11">
        <v>0</v>
      </c>
      <c r="F132" s="11">
        <f t="shared" si="9"/>
        <v>17000</v>
      </c>
      <c r="G132" s="17">
        <f t="shared" si="12"/>
        <v>40.090000000000003</v>
      </c>
      <c r="H132" s="17">
        <f t="shared" si="13"/>
        <v>15.260000000000002</v>
      </c>
      <c r="I132" s="17">
        <f t="shared" si="14"/>
        <v>0</v>
      </c>
      <c r="J132" s="18">
        <f t="shared" si="15"/>
        <v>0</v>
      </c>
      <c r="K132" s="18">
        <f t="shared" si="16"/>
        <v>0</v>
      </c>
      <c r="L132" s="18">
        <f t="shared" si="10"/>
        <v>55.350000000000009</v>
      </c>
      <c r="M132" s="18">
        <f t="shared" si="17"/>
        <v>10.326058981233244</v>
      </c>
      <c r="N132" s="18">
        <f t="shared" si="11"/>
        <v>65.676058981233254</v>
      </c>
      <c r="O132" s="8"/>
    </row>
    <row r="133" spans="1:15">
      <c r="A133" s="1" t="s">
        <v>123</v>
      </c>
      <c r="B133" s="11" t="s">
        <v>138</v>
      </c>
      <c r="C133" s="11">
        <v>0</v>
      </c>
      <c r="D133" s="11">
        <v>0</v>
      </c>
      <c r="E133" s="11">
        <v>0</v>
      </c>
      <c r="F133" s="11">
        <f t="shared" si="9"/>
        <v>0</v>
      </c>
      <c r="G133" s="17">
        <f t="shared" si="12"/>
        <v>11.79</v>
      </c>
      <c r="H133" s="17">
        <f t="shared" si="13"/>
        <v>0</v>
      </c>
      <c r="I133" s="17">
        <f t="shared" si="14"/>
        <v>0</v>
      </c>
      <c r="J133" s="18">
        <f t="shared" si="15"/>
        <v>0</v>
      </c>
      <c r="K133" s="18">
        <f t="shared" si="16"/>
        <v>0</v>
      </c>
      <c r="L133" s="18">
        <f t="shared" si="10"/>
        <v>11.79</v>
      </c>
      <c r="M133" s="18">
        <f t="shared" si="17"/>
        <v>0</v>
      </c>
      <c r="N133" s="18">
        <f t="shared" si="11"/>
        <v>11.79</v>
      </c>
      <c r="O133" s="8"/>
    </row>
    <row r="134" spans="1:15">
      <c r="A134" s="1" t="s">
        <v>124</v>
      </c>
      <c r="B134" s="11" t="s">
        <v>138</v>
      </c>
      <c r="C134" s="11">
        <v>0</v>
      </c>
      <c r="D134" s="11">
        <v>0</v>
      </c>
      <c r="E134" s="11">
        <v>0</v>
      </c>
      <c r="F134" s="11">
        <f t="shared" si="9"/>
        <v>0</v>
      </c>
      <c r="G134" s="17">
        <f t="shared" si="12"/>
        <v>11.79</v>
      </c>
      <c r="H134" s="17">
        <f t="shared" si="13"/>
        <v>0</v>
      </c>
      <c r="I134" s="17">
        <f t="shared" si="14"/>
        <v>0</v>
      </c>
      <c r="J134" s="18">
        <f t="shared" si="15"/>
        <v>0</v>
      </c>
      <c r="K134" s="18">
        <f t="shared" si="16"/>
        <v>0</v>
      </c>
      <c r="L134" s="18">
        <f t="shared" si="10"/>
        <v>11.79</v>
      </c>
      <c r="M134" s="18">
        <f t="shared" si="17"/>
        <v>0</v>
      </c>
      <c r="N134" s="18">
        <f t="shared" si="11"/>
        <v>11.79</v>
      </c>
      <c r="O134" s="8"/>
    </row>
    <row r="135" spans="1:15">
      <c r="A135" s="1" t="s">
        <v>125</v>
      </c>
      <c r="B135" s="11" t="s">
        <v>138</v>
      </c>
      <c r="C135" s="11">
        <v>0</v>
      </c>
      <c r="D135" s="11">
        <v>0</v>
      </c>
      <c r="E135" s="11">
        <v>0</v>
      </c>
      <c r="F135" s="11">
        <f t="shared" si="9"/>
        <v>0</v>
      </c>
      <c r="G135" s="17">
        <f t="shared" si="12"/>
        <v>11.79</v>
      </c>
      <c r="H135" s="17">
        <f t="shared" si="13"/>
        <v>0</v>
      </c>
      <c r="I135" s="17">
        <f t="shared" si="14"/>
        <v>0</v>
      </c>
      <c r="J135" s="18">
        <f t="shared" si="15"/>
        <v>0</v>
      </c>
      <c r="K135" s="18">
        <f t="shared" si="16"/>
        <v>0</v>
      </c>
      <c r="L135" s="18">
        <f t="shared" si="10"/>
        <v>11.79</v>
      </c>
      <c r="M135" s="18">
        <f t="shared" si="17"/>
        <v>0</v>
      </c>
      <c r="N135" s="18">
        <f t="shared" si="11"/>
        <v>11.79</v>
      </c>
      <c r="O135" s="8"/>
    </row>
    <row r="136" spans="1:15">
      <c r="A136" s="1" t="s">
        <v>126</v>
      </c>
      <c r="B136" s="11"/>
      <c r="C136" s="11">
        <v>946000</v>
      </c>
      <c r="D136" s="11">
        <v>970000</v>
      </c>
      <c r="E136" s="11">
        <v>0</v>
      </c>
      <c r="F136" s="11">
        <f t="shared" si="9"/>
        <v>24000</v>
      </c>
      <c r="G136" s="17">
        <f t="shared" si="12"/>
        <v>40.090000000000003</v>
      </c>
      <c r="H136" s="17">
        <f t="shared" si="13"/>
        <v>21.8</v>
      </c>
      <c r="I136" s="17">
        <f t="shared" si="14"/>
        <v>10.119999999999999</v>
      </c>
      <c r="J136" s="18">
        <f t="shared" si="15"/>
        <v>0</v>
      </c>
      <c r="K136" s="18">
        <f t="shared" si="16"/>
        <v>0</v>
      </c>
      <c r="L136" s="18">
        <f t="shared" si="10"/>
        <v>72.010000000000005</v>
      </c>
      <c r="M136" s="18">
        <f t="shared" si="17"/>
        <v>14.57796562056458</v>
      </c>
      <c r="N136" s="18">
        <f t="shared" si="11"/>
        <v>86.587965620564589</v>
      </c>
      <c r="O136" s="8"/>
    </row>
    <row r="137" spans="1:15">
      <c r="B137" s="11"/>
      <c r="C137" s="11"/>
      <c r="D137" s="11"/>
      <c r="E137" s="11"/>
      <c r="F137" s="11"/>
      <c r="G137" s="17"/>
      <c r="H137" s="17"/>
      <c r="I137" s="17"/>
      <c r="J137" s="18"/>
      <c r="K137" s="18"/>
      <c r="L137" s="18"/>
      <c r="M137" s="18"/>
      <c r="N137" s="18"/>
      <c r="O137" s="8"/>
    </row>
    <row r="138" spans="1:15">
      <c r="J138" s="1" t="s">
        <v>136</v>
      </c>
      <c r="M138" s="27">
        <f>SUM(M11:M136)</f>
        <v>1925.8100000000004</v>
      </c>
      <c r="N138" s="5">
        <f>SUM(N11:N136)</f>
        <v>13096.620000000017</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18">SUM(F11:F136)</f>
        <v>3170500</v>
      </c>
      <c r="G140" s="75">
        <f t="shared" si="18"/>
        <v>4196.7500000000045</v>
      </c>
      <c r="H140" s="75">
        <f t="shared" si="18"/>
        <v>1146.6799999999992</v>
      </c>
      <c r="I140" s="75">
        <f t="shared" si="18"/>
        <v>996.81999999999937</v>
      </c>
      <c r="J140" s="75">
        <f t="shared" si="18"/>
        <v>784.7</v>
      </c>
      <c r="K140" s="75">
        <f t="shared" si="18"/>
        <v>4045.86</v>
      </c>
      <c r="L140" s="75">
        <f t="shared" si="18"/>
        <v>11170.810000000012</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1431.3739993691847</v>
      </c>
      <c r="G143" s="25">
        <f>SUM(G18:G130)-G145</f>
        <v>3287.3800000000028</v>
      </c>
      <c r="H143" s="80">
        <f>SUM(H18:H130)-H145</f>
        <v>1009.3399999999993</v>
      </c>
      <c r="I143" s="25">
        <f>SUM(I18:I130)-I145</f>
        <v>885.49999999999955</v>
      </c>
      <c r="J143" s="25">
        <f>SUM(J18:J130)-J145</f>
        <v>666.7</v>
      </c>
      <c r="K143" s="25">
        <f>SUM(K18:K130)-K145</f>
        <v>2123.8199999999997</v>
      </c>
      <c r="L143" s="25">
        <f>SUM(F143:K143)</f>
        <v>7972.7400000000007</v>
      </c>
      <c r="M143" s="1"/>
    </row>
    <row r="144" spans="1:15" customFormat="1">
      <c r="A144" t="s">
        <v>255</v>
      </c>
      <c r="D144">
        <v>8</v>
      </c>
      <c r="E144" s="25">
        <f>SUM(M11:M15)+M17+SUM(M131:M136)</f>
        <v>473.17646743415867</v>
      </c>
      <c r="G144" s="34">
        <f>SUM(G11:G15)+G17+G132+G136</f>
        <v>320.72000000000003</v>
      </c>
      <c r="H144" s="34">
        <f>SUM(H11:H15)+H17+H132+H136</f>
        <v>137.34</v>
      </c>
      <c r="I144" s="34">
        <f>SUM(I11:I15)+I17+I132+I136</f>
        <v>111.32</v>
      </c>
      <c r="J144" s="34">
        <f>SUM(J11:J15)+J17+J132+J136</f>
        <v>118</v>
      </c>
      <c r="K144" s="34">
        <f>SUM(K11:K15)+K17+K132+K136</f>
        <v>1922.04</v>
      </c>
      <c r="L144" s="25">
        <f t="shared" ref="L144:L147" si="19">SUM(F144:K144)</f>
        <v>2609.42</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19"/>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19"/>
        <v>47.16</v>
      </c>
      <c r="M146" s="1"/>
    </row>
    <row r="147" spans="1:13" customFormat="1">
      <c r="A147" t="s">
        <v>253</v>
      </c>
      <c r="D147">
        <v>1</v>
      </c>
      <c r="E147" s="25">
        <f>M16</f>
        <v>21.25953319665668</v>
      </c>
      <c r="G147" s="25">
        <f>G16</f>
        <v>176</v>
      </c>
      <c r="H147" s="25">
        <f>H16</f>
        <v>0</v>
      </c>
      <c r="I147" s="25">
        <f>I16</f>
        <v>0</v>
      </c>
      <c r="J147" s="25">
        <f>J16</f>
        <v>0</v>
      </c>
      <c r="K147" s="25">
        <f>K16</f>
        <v>0</v>
      </c>
      <c r="L147" s="25">
        <f t="shared" si="19"/>
        <v>176</v>
      </c>
      <c r="M147" s="1"/>
    </row>
    <row r="148" spans="1:13" customFormat="1" ht="15.75" thickBot="1">
      <c r="B148" t="s">
        <v>257</v>
      </c>
      <c r="D148" s="73">
        <f>SUM(D143:D147)</f>
        <v>126</v>
      </c>
      <c r="E148" s="74">
        <f>SUM(E143:E147)</f>
        <v>1925.8100000000002</v>
      </c>
      <c r="F148" s="73"/>
      <c r="G148" s="74">
        <f t="shared" ref="G148:L148" si="20">SUM(G143:G147)</f>
        <v>4196.7500000000036</v>
      </c>
      <c r="H148" s="74">
        <f t="shared" si="20"/>
        <v>1146.6799999999994</v>
      </c>
      <c r="I148" s="74">
        <f t="shared" si="20"/>
        <v>996.81999999999948</v>
      </c>
      <c r="J148" s="74">
        <f t="shared" si="20"/>
        <v>784.7</v>
      </c>
      <c r="K148" s="74">
        <f t="shared" si="20"/>
        <v>4045.8599999999997</v>
      </c>
      <c r="L148" s="74">
        <f t="shared" si="20"/>
        <v>11170.81</v>
      </c>
      <c r="M148" s="1"/>
    </row>
    <row r="149" spans="1:13" customFormat="1" ht="16.5" thickTop="1" thickBot="1">
      <c r="D149" s="78"/>
      <c r="E149" s="78"/>
      <c r="F149" s="78"/>
      <c r="G149" s="79"/>
      <c r="H149" s="79"/>
      <c r="I149" s="79"/>
      <c r="J149" s="79"/>
      <c r="K149" s="79"/>
      <c r="L149" s="79"/>
      <c r="M149" s="1"/>
    </row>
    <row r="150" spans="1:13" customFormat="1">
      <c r="D150" s="188" t="s">
        <v>376</v>
      </c>
      <c r="E150" s="78"/>
      <c r="F150" s="78"/>
      <c r="G150" s="79"/>
      <c r="H150" s="79"/>
      <c r="I150" s="79"/>
      <c r="J150" s="79"/>
      <c r="K150" s="79"/>
      <c r="L150" s="79"/>
      <c r="M150" s="1"/>
    </row>
    <row r="151" spans="1:13" customFormat="1" ht="15.75" thickBot="1">
      <c r="D151" s="189" t="s">
        <v>375</v>
      </c>
      <c r="E151" s="78"/>
      <c r="F151" s="78"/>
      <c r="G151" s="79"/>
      <c r="H151" s="79"/>
      <c r="I151" s="79"/>
      <c r="J151" s="79"/>
      <c r="K151" s="79"/>
      <c r="L151" s="79"/>
      <c r="M151" s="1"/>
    </row>
    <row r="152" spans="1:13" customFormat="1">
      <c r="A152" t="s">
        <v>262</v>
      </c>
      <c r="D152" s="81">
        <v>80</v>
      </c>
      <c r="E152" s="81">
        <f>E143/E148*N7</f>
        <v>2356500</v>
      </c>
      <c r="F152" s="75"/>
      <c r="G152" s="81">
        <f>F140-G153-G154-(SUM(H155:K155))</f>
        <v>696500.00000000047</v>
      </c>
      <c r="H152" s="81">
        <f>H143/2.18*1000</f>
        <v>462999.99999999965</v>
      </c>
      <c r="I152" s="81">
        <f>I143/2.53*1000</f>
        <v>349999.99999999983</v>
      </c>
      <c r="J152" s="81">
        <f>J143/2.95*1000</f>
        <v>226000</v>
      </c>
      <c r="K152" s="81">
        <f>K143/3.42*1000</f>
        <v>620999.99999999988</v>
      </c>
      <c r="L152" s="81">
        <f>SUM(G152:K152)</f>
        <v>2356499.9999999995</v>
      </c>
      <c r="M152" s="1"/>
    </row>
    <row r="153" spans="1:13" customFormat="1">
      <c r="A153" t="s">
        <v>263</v>
      </c>
      <c r="D153" s="81">
        <v>7</v>
      </c>
      <c r="E153" s="81">
        <f>E144/E148*N7</f>
        <v>778999.99999999988</v>
      </c>
      <c r="F153" s="75"/>
      <c r="G153" s="81">
        <f>(SUM(F11:F15)+F17+SUM(F131:F136)-H153-I153-J153-K153)</f>
        <v>70000</v>
      </c>
      <c r="H153" s="81">
        <f>H144/2.18*1000</f>
        <v>63000</v>
      </c>
      <c r="I153" s="81">
        <f>I144/2.53*1000</f>
        <v>44000</v>
      </c>
      <c r="J153" s="81">
        <f>J144/2.95*1000</f>
        <v>40000</v>
      </c>
      <c r="K153" s="81">
        <f>K144/3.42*1000</f>
        <v>562000</v>
      </c>
      <c r="L153" s="81">
        <f>SUM(G153:K153)</f>
        <v>779000</v>
      </c>
      <c r="M153" s="1"/>
    </row>
    <row r="154" spans="1:13" customFormat="1">
      <c r="A154" t="s">
        <v>264</v>
      </c>
      <c r="D154" s="81">
        <v>1</v>
      </c>
      <c r="E154" s="81">
        <f>E147/E148*N7</f>
        <v>35000</v>
      </c>
      <c r="F154" s="75"/>
      <c r="G154" s="81">
        <f>IF(F16&gt;100000,100000,F16)</f>
        <v>35000</v>
      </c>
      <c r="H154" s="81">
        <f>H147/1.89*1000</f>
        <v>0</v>
      </c>
      <c r="I154" s="81" t="s">
        <v>259</v>
      </c>
      <c r="J154" s="81" t="s">
        <v>259</v>
      </c>
      <c r="K154" s="81" t="s">
        <v>259</v>
      </c>
      <c r="L154" s="81">
        <f>SUM(G154:K154)</f>
        <v>35000</v>
      </c>
      <c r="M154" s="1"/>
    </row>
    <row r="155" spans="1:13" customFormat="1" ht="15.75" thickBot="1">
      <c r="B155" t="s">
        <v>265</v>
      </c>
      <c r="D155" s="82">
        <f>SUM(D152:D154)</f>
        <v>88</v>
      </c>
      <c r="E155" s="82">
        <f>SUM(E152:E154)</f>
        <v>3170500</v>
      </c>
      <c r="F155" s="77"/>
      <c r="G155" s="82">
        <f>G152+G153+G154</f>
        <v>801500.00000000047</v>
      </c>
      <c r="H155" s="82">
        <f>SUM(H152:H154)</f>
        <v>525999.99999999965</v>
      </c>
      <c r="I155" s="82">
        <f>SUM(I152:I154)</f>
        <v>393999.99999999983</v>
      </c>
      <c r="J155" s="82">
        <f>SUM(J152:J154)</f>
        <v>266000</v>
      </c>
      <c r="K155" s="82">
        <f>SUM(K152:K154)</f>
        <v>1183000</v>
      </c>
      <c r="L155" s="82">
        <f>SUM(L152:L154)</f>
        <v>3170499.9999999995</v>
      </c>
      <c r="M155" s="1"/>
    </row>
    <row r="156" spans="1:13" ht="15.75" thickTop="1">
      <c r="E156" s="1" t="s">
        <v>274</v>
      </c>
    </row>
    <row r="157" spans="1:13">
      <c r="E157" s="75" t="s">
        <v>275</v>
      </c>
    </row>
    <row r="158" spans="1:13">
      <c r="E158" s="75" t="s">
        <v>273</v>
      </c>
    </row>
    <row r="159" spans="1:13">
      <c r="E159"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O159"/>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36">
        <v>40787</v>
      </c>
      <c r="D4" s="1" t="s">
        <v>146</v>
      </c>
      <c r="G4" s="1" t="s">
        <v>156</v>
      </c>
      <c r="K4" s="1" t="s">
        <v>149</v>
      </c>
      <c r="N4" s="1">
        <f>SUM(F11:F136)</f>
        <v>3420500</v>
      </c>
    </row>
    <row r="5" spans="1:15">
      <c r="B5" s="4"/>
      <c r="D5" s="1" t="s">
        <v>144</v>
      </c>
      <c r="E5" s="1">
        <v>4773900</v>
      </c>
      <c r="G5" s="1" t="s">
        <v>155</v>
      </c>
      <c r="H5" s="1">
        <v>1</v>
      </c>
      <c r="K5" s="1" t="s">
        <v>154</v>
      </c>
      <c r="N5" s="1">
        <f>N4-F16</f>
        <v>3135500</v>
      </c>
    </row>
    <row r="6" spans="1:15">
      <c r="B6" s="4"/>
      <c r="D6" s="1" t="s">
        <v>145</v>
      </c>
      <c r="E6" s="1">
        <v>6031500</v>
      </c>
      <c r="G6" s="1" t="s">
        <v>158</v>
      </c>
      <c r="H6" s="1">
        <v>35000</v>
      </c>
      <c r="K6" s="1" t="s">
        <v>160</v>
      </c>
      <c r="N6" s="1">
        <f>SUMIF(F11:F15,"&gt;" &amp; $H$6)+SUMIF(F17:F136,"&gt;" &amp; $H$6)+SUMIF(F16,"&gt;" &amp; $H$7)</f>
        <v>2571000</v>
      </c>
    </row>
    <row r="7" spans="1:15">
      <c r="B7" s="4"/>
      <c r="D7" s="1" t="s">
        <v>150</v>
      </c>
      <c r="E7" s="12">
        <f>E6-E5</f>
        <v>1257600</v>
      </c>
      <c r="G7" s="1" t="s">
        <v>159</v>
      </c>
      <c r="H7" s="12">
        <v>100000</v>
      </c>
      <c r="K7" s="1" t="s">
        <v>161</v>
      </c>
      <c r="N7" s="1">
        <f>(SUMIF(F11:F15,"&gt;" &amp; $H$6)-(COUNTIF(F11:F15,"&gt;" &amp; $H$6)*$H$6))+(SUMIF(F17:F136,"&gt;" &amp; $H$6)-(COUNTIF(F17:F136,"&gt;" &amp; $H$6)*$H$6))+(SUMIF(F16,"&gt;" &amp; $H$7)-(COUNTIF(F16,"&gt;" &amp; $H$7)*$H$7))</f>
        <v>1491000</v>
      </c>
    </row>
    <row r="8" spans="1:15">
      <c r="D8" s="1" t="s">
        <v>147</v>
      </c>
      <c r="E8" s="6">
        <v>1925.81</v>
      </c>
      <c r="H8" s="6"/>
    </row>
    <row r="10" spans="1:15">
      <c r="A10" s="7" t="s">
        <v>0</v>
      </c>
      <c r="B10" s="10" t="s">
        <v>137</v>
      </c>
      <c r="C10" s="13" t="s">
        <v>151</v>
      </c>
      <c r="D10" s="13" t="s">
        <v>152</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7170000</v>
      </c>
      <c r="D11" s="11">
        <v>7445000</v>
      </c>
      <c r="E11" s="11">
        <v>0</v>
      </c>
      <c r="F11" s="11">
        <f>($D11-$C11)+$E11</f>
        <v>275000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803.69999999999993</v>
      </c>
      <c r="L11" s="18">
        <f>SUM(G11:K11)</f>
        <v>920.38999999999987</v>
      </c>
      <c r="M11" s="18">
        <f>IF(   $H$5=1,    IF((F11-$H$6)&gt;0,((F11-$H$6)/$N$7)*$E$8,0),   IF(F11&gt;0,(F11/$N$4)*$E$8,0)    )</f>
        <v>309.98953722334005</v>
      </c>
      <c r="N11" s="18">
        <f>SUM(L11:M11)</f>
        <v>1230.3795372233399</v>
      </c>
      <c r="O11" s="8"/>
    </row>
    <row r="12" spans="1:15">
      <c r="A12" s="1" t="s">
        <v>2</v>
      </c>
      <c r="B12" s="11"/>
      <c r="C12" s="11">
        <v>6364000</v>
      </c>
      <c r="D12" s="11">
        <v>6491000</v>
      </c>
      <c r="E12" s="11">
        <v>0</v>
      </c>
      <c r="F12" s="11">
        <f t="shared" ref="F12:F75" si="0">($D12-$C12)+$E12</f>
        <v>127000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297.54000000000002</v>
      </c>
      <c r="L12" s="18">
        <f t="shared" ref="L12:L75" si="1">SUM(G12:K12)</f>
        <v>414.23</v>
      </c>
      <c r="M12" s="18">
        <f>IF(   $H$5=1,    IF((F12-$H$6)&gt;0,((F12-$H$6)/$N$7)*$E$8,0),   IF(F12&gt;0,(F12/$N$4)*$E$8,0)    )</f>
        <v>118.82932260228034</v>
      </c>
      <c r="N12" s="18">
        <f t="shared" ref="N12:N75" si="2">SUM(L12:M12)</f>
        <v>533.05932260228042</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2988000</v>
      </c>
      <c r="D14" s="11">
        <v>3206000</v>
      </c>
      <c r="E14" s="11">
        <v>0</v>
      </c>
      <c r="F14" s="11">
        <f t="shared" si="0"/>
        <v>218000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608.76</v>
      </c>
      <c r="L14" s="18">
        <f t="shared" si="1"/>
        <v>725.45</v>
      </c>
      <c r="M14" s="18">
        <f>IF(   $H$5=1,    IF((F14-$H$6)&gt;0,((F14-$H$6)/$N$7)*$E$8,0),   IF(F14&gt;0,(F14/$N$4)*$E$8,0)    )</f>
        <v>236.36702213279676</v>
      </c>
      <c r="N14" s="18">
        <f t="shared" si="2"/>
        <v>961.81702213279686</v>
      </c>
      <c r="O14" s="8"/>
    </row>
    <row r="15" spans="1:15">
      <c r="A15" s="1" t="s">
        <v>5</v>
      </c>
      <c r="B15" s="11"/>
      <c r="C15" s="11">
        <v>2030000</v>
      </c>
      <c r="D15" s="11">
        <v>2132000</v>
      </c>
      <c r="E15" s="11">
        <v>0</v>
      </c>
      <c r="F15" s="11">
        <f t="shared" si="0"/>
        <v>102000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212.04</v>
      </c>
      <c r="L15" s="18">
        <f t="shared" si="1"/>
        <v>328.73</v>
      </c>
      <c r="M15" s="18">
        <f>IF(   $H$5=1,    IF((F15-$H$6)&gt;0,((F15-$H$6)/$N$7)*$E$8,0),   IF(F15&gt;0,(F15/$N$4)*$E$8,0)    )</f>
        <v>86.538745808182426</v>
      </c>
      <c r="N15" s="18">
        <f t="shared" si="2"/>
        <v>415.26874580818242</v>
      </c>
      <c r="O15" s="8"/>
    </row>
    <row r="16" spans="1:15">
      <c r="A16" s="1" t="s">
        <v>6</v>
      </c>
      <c r="B16" s="11"/>
      <c r="C16" s="11">
        <v>24443000</v>
      </c>
      <c r="D16" s="11">
        <v>24728000</v>
      </c>
      <c r="E16" s="11">
        <v>0</v>
      </c>
      <c r="F16" s="11">
        <f t="shared" si="0"/>
        <v>285000</v>
      </c>
      <c r="G16" s="17">
        <v>176</v>
      </c>
      <c r="H16" s="17">
        <f>IF(($F16-100000)&gt;=0,($F16-100000)/1000*1.89,0)</f>
        <v>349.65</v>
      </c>
      <c r="I16" s="17"/>
      <c r="J16" s="18"/>
      <c r="K16" s="18"/>
      <c r="L16" s="18">
        <f t="shared" si="1"/>
        <v>525.65</v>
      </c>
      <c r="M16" s="18">
        <f>IF(   $H$5=1,     IF((F16-$H$7)&gt;0,((F16-$H$7)/$N$7)*$E$8,0),   IF(F16&gt;0,(F16/$N$4)*$E$8,0)    )</f>
        <v>238.95026827632461</v>
      </c>
      <c r="N16" s="18">
        <f t="shared" si="2"/>
        <v>764.60026827632464</v>
      </c>
      <c r="O16" s="8" t="s">
        <v>133</v>
      </c>
    </row>
    <row r="17" spans="1:15">
      <c r="A17" s="1" t="s">
        <v>7</v>
      </c>
      <c r="B17" s="11"/>
      <c r="C17" s="11">
        <v>493000</v>
      </c>
      <c r="D17" s="11">
        <v>509000</v>
      </c>
      <c r="E17" s="11">
        <v>0</v>
      </c>
      <c r="F17" s="11">
        <f t="shared" si="0"/>
        <v>16000</v>
      </c>
      <c r="G17" s="17">
        <f t="shared" ref="G17:G80" si="3">IF(OR($F17&gt;0,$B17=""),40.09,11.79)</f>
        <v>40.090000000000003</v>
      </c>
      <c r="H17" s="17">
        <f t="shared" ref="H17:H80" si="4">IF(AND((($F17-10000)&gt;=0),(($F17-10000)&lt;= 10000)),($F17-10000)/1000*2.18,IF(($F17-10000)&gt;=10000,2.18*10,0))</f>
        <v>13.080000000000002</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53.17</v>
      </c>
      <c r="M17" s="18">
        <f t="shared" ref="M17:M48" si="8">IF(   $H$5=1,    IF((F17-$H$6)&gt;0,((F17-$H$6)/$N$7)*$E$8,0),   IF(F17&gt;0,(F17/$N$4)*$E$8,0)    )</f>
        <v>0</v>
      </c>
      <c r="N17" s="18">
        <f t="shared" si="2"/>
        <v>53.17</v>
      </c>
      <c r="O17" s="8"/>
    </row>
    <row r="18" spans="1:15">
      <c r="A18" s="1" t="s">
        <v>8</v>
      </c>
      <c r="B18" s="11"/>
      <c r="C18" s="11">
        <v>2173000</v>
      </c>
      <c r="D18" s="11">
        <v>2199000</v>
      </c>
      <c r="E18" s="11">
        <v>0</v>
      </c>
      <c r="F18" s="11">
        <f t="shared" si="0"/>
        <v>26000</v>
      </c>
      <c r="G18" s="17">
        <f t="shared" si="3"/>
        <v>40.090000000000003</v>
      </c>
      <c r="H18" s="17">
        <f t="shared" si="4"/>
        <v>21.8</v>
      </c>
      <c r="I18" s="17">
        <f t="shared" si="5"/>
        <v>15.18</v>
      </c>
      <c r="J18" s="18">
        <f t="shared" si="6"/>
        <v>0</v>
      </c>
      <c r="K18" s="18">
        <f t="shared" si="7"/>
        <v>0</v>
      </c>
      <c r="L18" s="18">
        <f t="shared" si="1"/>
        <v>77.069999999999993</v>
      </c>
      <c r="M18" s="18">
        <f t="shared" si="8"/>
        <v>0</v>
      </c>
      <c r="N18" s="18">
        <f t="shared" si="2"/>
        <v>77.069999999999993</v>
      </c>
      <c r="O18" s="8"/>
    </row>
    <row r="19" spans="1:15">
      <c r="A19" s="1" t="s">
        <v>9</v>
      </c>
      <c r="B19" s="11"/>
      <c r="C19" s="11">
        <v>121000</v>
      </c>
      <c r="D19" s="11">
        <v>158000</v>
      </c>
      <c r="E19" s="11">
        <v>0</v>
      </c>
      <c r="F19" s="11">
        <f t="shared" si="0"/>
        <v>37000</v>
      </c>
      <c r="G19" s="17">
        <f t="shared" si="3"/>
        <v>40.090000000000003</v>
      </c>
      <c r="H19" s="17">
        <f t="shared" si="4"/>
        <v>21.8</v>
      </c>
      <c r="I19" s="17">
        <f t="shared" si="5"/>
        <v>25.299999999999997</v>
      </c>
      <c r="J19" s="18">
        <f t="shared" si="6"/>
        <v>20.650000000000002</v>
      </c>
      <c r="K19" s="18">
        <f t="shared" si="7"/>
        <v>0</v>
      </c>
      <c r="L19" s="18">
        <f t="shared" si="1"/>
        <v>107.84</v>
      </c>
      <c r="M19" s="18">
        <f t="shared" si="8"/>
        <v>2.5832461435278335</v>
      </c>
      <c r="N19" s="18">
        <f t="shared" si="2"/>
        <v>110.42324614352783</v>
      </c>
      <c r="O19" s="8"/>
    </row>
    <row r="20" spans="1:15">
      <c r="A20" s="1" t="s">
        <v>10</v>
      </c>
      <c r="B20" s="11"/>
      <c r="C20" s="11">
        <v>1475000</v>
      </c>
      <c r="D20" s="11">
        <v>1496000</v>
      </c>
      <c r="E20" s="11">
        <v>0</v>
      </c>
      <c r="F20" s="11">
        <f t="shared" si="0"/>
        <v>21000</v>
      </c>
      <c r="G20" s="17">
        <f t="shared" si="3"/>
        <v>40.090000000000003</v>
      </c>
      <c r="H20" s="17">
        <f t="shared" si="4"/>
        <v>21.8</v>
      </c>
      <c r="I20" s="17">
        <f t="shared" si="5"/>
        <v>2.5299999999999998</v>
      </c>
      <c r="J20" s="18">
        <f t="shared" si="6"/>
        <v>0</v>
      </c>
      <c r="K20" s="18">
        <f t="shared" si="7"/>
        <v>0</v>
      </c>
      <c r="L20" s="18">
        <f t="shared" si="1"/>
        <v>64.42</v>
      </c>
      <c r="M20" s="18">
        <f t="shared" si="8"/>
        <v>0</v>
      </c>
      <c r="N20" s="18">
        <f t="shared" si="2"/>
        <v>64.42</v>
      </c>
      <c r="O20" s="8"/>
    </row>
    <row r="21" spans="1:15">
      <c r="A21" s="1" t="s">
        <v>11</v>
      </c>
      <c r="B21" s="11"/>
      <c r="C21" s="11">
        <v>1935000</v>
      </c>
      <c r="D21" s="11">
        <v>1947000</v>
      </c>
      <c r="E21" s="11">
        <v>0</v>
      </c>
      <c r="F21" s="11">
        <f t="shared" si="0"/>
        <v>12000</v>
      </c>
      <c r="G21" s="17">
        <f t="shared" si="3"/>
        <v>40.090000000000003</v>
      </c>
      <c r="H21" s="17">
        <f t="shared" si="4"/>
        <v>4.3600000000000003</v>
      </c>
      <c r="I21" s="17">
        <f t="shared" si="5"/>
        <v>0</v>
      </c>
      <c r="J21" s="18">
        <f t="shared" si="6"/>
        <v>0</v>
      </c>
      <c r="K21" s="18">
        <f t="shared" si="7"/>
        <v>0</v>
      </c>
      <c r="L21" s="18">
        <f t="shared" si="1"/>
        <v>44.45</v>
      </c>
      <c r="M21" s="18">
        <f t="shared" si="8"/>
        <v>0</v>
      </c>
      <c r="N21" s="18">
        <f t="shared" si="2"/>
        <v>44.45</v>
      </c>
      <c r="O21" s="8"/>
    </row>
    <row r="22" spans="1:15">
      <c r="A22" s="1" t="s">
        <v>12</v>
      </c>
      <c r="B22" s="11"/>
      <c r="C22" s="11">
        <v>2135000</v>
      </c>
      <c r="D22" s="11">
        <v>2165000</v>
      </c>
      <c r="E22" s="11">
        <v>0</v>
      </c>
      <c r="F22" s="11">
        <f t="shared" si="0"/>
        <v>30000</v>
      </c>
      <c r="G22" s="17">
        <f t="shared" si="3"/>
        <v>40.090000000000003</v>
      </c>
      <c r="H22" s="17">
        <f t="shared" si="4"/>
        <v>21.8</v>
      </c>
      <c r="I22" s="17">
        <f t="shared" si="5"/>
        <v>25.299999999999997</v>
      </c>
      <c r="J22" s="18">
        <f t="shared" si="6"/>
        <v>0</v>
      </c>
      <c r="K22" s="18">
        <f t="shared" si="7"/>
        <v>0</v>
      </c>
      <c r="L22" s="18">
        <f t="shared" si="1"/>
        <v>87.19</v>
      </c>
      <c r="M22" s="18">
        <f t="shared" si="8"/>
        <v>0</v>
      </c>
      <c r="N22" s="18">
        <f t="shared" si="2"/>
        <v>87.19</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6306000</v>
      </c>
      <c r="D24" s="11">
        <v>6378000</v>
      </c>
      <c r="E24" s="11">
        <v>0</v>
      </c>
      <c r="F24" s="11">
        <f t="shared" si="0"/>
        <v>72000</v>
      </c>
      <c r="G24" s="17">
        <f t="shared" si="3"/>
        <v>40.090000000000003</v>
      </c>
      <c r="H24" s="17">
        <f t="shared" si="4"/>
        <v>21.8</v>
      </c>
      <c r="I24" s="17">
        <f t="shared" si="5"/>
        <v>25.299999999999997</v>
      </c>
      <c r="J24" s="18">
        <f t="shared" si="6"/>
        <v>29.5</v>
      </c>
      <c r="K24" s="18">
        <f t="shared" si="7"/>
        <v>109.44</v>
      </c>
      <c r="L24" s="18">
        <f t="shared" si="1"/>
        <v>226.13</v>
      </c>
      <c r="M24" s="18">
        <f t="shared" si="8"/>
        <v>47.79005365526492</v>
      </c>
      <c r="N24" s="18">
        <f t="shared" si="2"/>
        <v>273.92005365526489</v>
      </c>
      <c r="O24" s="8"/>
    </row>
    <row r="25" spans="1:15">
      <c r="A25" s="1" t="s">
        <v>15</v>
      </c>
      <c r="B25" s="11"/>
      <c r="C25" s="11">
        <v>2588000</v>
      </c>
      <c r="D25" s="11">
        <v>2630000</v>
      </c>
      <c r="E25" s="11">
        <v>0</v>
      </c>
      <c r="F25" s="11">
        <f t="shared" si="0"/>
        <v>42000</v>
      </c>
      <c r="G25" s="17">
        <f t="shared" si="3"/>
        <v>40.090000000000003</v>
      </c>
      <c r="H25" s="17">
        <f t="shared" si="4"/>
        <v>21.8</v>
      </c>
      <c r="I25" s="17">
        <f t="shared" si="5"/>
        <v>25.299999999999997</v>
      </c>
      <c r="J25" s="18">
        <f t="shared" si="6"/>
        <v>29.5</v>
      </c>
      <c r="K25" s="18">
        <f t="shared" si="7"/>
        <v>6.84</v>
      </c>
      <c r="L25" s="18">
        <f t="shared" si="1"/>
        <v>123.53</v>
      </c>
      <c r="M25" s="18">
        <f t="shared" si="8"/>
        <v>9.0413615023474172</v>
      </c>
      <c r="N25" s="18">
        <f t="shared" si="2"/>
        <v>132.57136150234743</v>
      </c>
      <c r="O25" s="8"/>
    </row>
    <row r="26" spans="1:15">
      <c r="A26" s="1" t="s">
        <v>16</v>
      </c>
      <c r="B26" s="11"/>
      <c r="C26" s="11">
        <v>1541000</v>
      </c>
      <c r="D26" s="11">
        <v>1566000</v>
      </c>
      <c r="E26" s="11">
        <v>0</v>
      </c>
      <c r="F26" s="11">
        <f t="shared" si="0"/>
        <v>25000</v>
      </c>
      <c r="G26" s="17">
        <f t="shared" si="3"/>
        <v>40.090000000000003</v>
      </c>
      <c r="H26" s="17">
        <f t="shared" si="4"/>
        <v>21.8</v>
      </c>
      <c r="I26" s="17">
        <f t="shared" si="5"/>
        <v>12.649999999999999</v>
      </c>
      <c r="J26" s="18">
        <f t="shared" si="6"/>
        <v>0</v>
      </c>
      <c r="K26" s="18">
        <f t="shared" si="7"/>
        <v>0</v>
      </c>
      <c r="L26" s="18">
        <f t="shared" si="1"/>
        <v>74.539999999999992</v>
      </c>
      <c r="M26" s="18">
        <f t="shared" si="8"/>
        <v>0</v>
      </c>
      <c r="N26" s="18">
        <f t="shared" si="2"/>
        <v>74.539999999999992</v>
      </c>
      <c r="O26" s="8"/>
    </row>
    <row r="27" spans="1:15">
      <c r="A27" s="1" t="s">
        <v>17</v>
      </c>
      <c r="B27" s="11"/>
      <c r="C27" s="11">
        <v>1147000</v>
      </c>
      <c r="D27" s="11">
        <v>1154000</v>
      </c>
      <c r="E27" s="11">
        <v>0</v>
      </c>
      <c r="F27" s="11">
        <f t="shared" si="0"/>
        <v>7000</v>
      </c>
      <c r="G27" s="17">
        <f t="shared" si="3"/>
        <v>40.090000000000003</v>
      </c>
      <c r="H27" s="17">
        <f t="shared" si="4"/>
        <v>0</v>
      </c>
      <c r="I27" s="17">
        <f t="shared" si="5"/>
        <v>0</v>
      </c>
      <c r="J27" s="18">
        <f t="shared" si="6"/>
        <v>0</v>
      </c>
      <c r="K27" s="18">
        <f t="shared" si="7"/>
        <v>0</v>
      </c>
      <c r="L27" s="18">
        <f t="shared" si="1"/>
        <v>40.090000000000003</v>
      </c>
      <c r="M27" s="18">
        <f t="shared" si="8"/>
        <v>0</v>
      </c>
      <c r="N27" s="18">
        <f t="shared" si="2"/>
        <v>40.090000000000003</v>
      </c>
      <c r="O27" s="8"/>
    </row>
    <row r="28" spans="1:15">
      <c r="A28" s="1" t="s">
        <v>18</v>
      </c>
      <c r="B28" s="11"/>
      <c r="C28" s="11">
        <v>4007000</v>
      </c>
      <c r="D28" s="11">
        <v>4018000</v>
      </c>
      <c r="E28" s="11">
        <v>0</v>
      </c>
      <c r="F28" s="11">
        <f t="shared" si="0"/>
        <v>11000</v>
      </c>
      <c r="G28" s="17">
        <f t="shared" si="3"/>
        <v>40.090000000000003</v>
      </c>
      <c r="H28" s="17">
        <f t="shared" si="4"/>
        <v>2.1800000000000002</v>
      </c>
      <c r="I28" s="17">
        <f t="shared" si="5"/>
        <v>0</v>
      </c>
      <c r="J28" s="18">
        <f t="shared" si="6"/>
        <v>0</v>
      </c>
      <c r="K28" s="18">
        <f t="shared" si="7"/>
        <v>0</v>
      </c>
      <c r="L28" s="18">
        <f t="shared" si="1"/>
        <v>42.27</v>
      </c>
      <c r="M28" s="18">
        <f t="shared" si="8"/>
        <v>0</v>
      </c>
      <c r="N28" s="18">
        <f t="shared" si="2"/>
        <v>42.27</v>
      </c>
      <c r="O28" s="8"/>
    </row>
    <row r="29" spans="1:15">
      <c r="A29" s="1" t="s">
        <v>19</v>
      </c>
      <c r="B29" s="11"/>
      <c r="C29" s="11">
        <v>1099000</v>
      </c>
      <c r="D29" s="11">
        <v>1148000</v>
      </c>
      <c r="E29" s="11">
        <v>0</v>
      </c>
      <c r="F29" s="11">
        <f t="shared" si="0"/>
        <v>49000</v>
      </c>
      <c r="G29" s="17">
        <f t="shared" si="3"/>
        <v>40.090000000000003</v>
      </c>
      <c r="H29" s="17">
        <f t="shared" si="4"/>
        <v>21.8</v>
      </c>
      <c r="I29" s="17">
        <f t="shared" si="5"/>
        <v>25.299999999999997</v>
      </c>
      <c r="J29" s="18">
        <f t="shared" si="6"/>
        <v>29.5</v>
      </c>
      <c r="K29" s="18">
        <f t="shared" si="7"/>
        <v>30.78</v>
      </c>
      <c r="L29" s="18">
        <f t="shared" si="1"/>
        <v>147.47</v>
      </c>
      <c r="M29" s="18">
        <f t="shared" si="8"/>
        <v>18.082723004694834</v>
      </c>
      <c r="N29" s="18">
        <f t="shared" si="2"/>
        <v>165.55272300469483</v>
      </c>
      <c r="O29" s="8"/>
    </row>
    <row r="30" spans="1:15">
      <c r="A30" s="1" t="s">
        <v>20</v>
      </c>
      <c r="B30" s="11"/>
      <c r="C30" s="11">
        <v>2175000</v>
      </c>
      <c r="D30" s="11">
        <v>2211000</v>
      </c>
      <c r="E30" s="11">
        <v>0</v>
      </c>
      <c r="F30" s="11">
        <f t="shared" si="0"/>
        <v>36000</v>
      </c>
      <c r="G30" s="17">
        <f t="shared" si="3"/>
        <v>40.090000000000003</v>
      </c>
      <c r="H30" s="17">
        <f t="shared" si="4"/>
        <v>21.8</v>
      </c>
      <c r="I30" s="17">
        <f t="shared" si="5"/>
        <v>25.299999999999997</v>
      </c>
      <c r="J30" s="18">
        <f t="shared" si="6"/>
        <v>17.700000000000003</v>
      </c>
      <c r="K30" s="18">
        <f t="shared" si="7"/>
        <v>0</v>
      </c>
      <c r="L30" s="18">
        <f t="shared" si="1"/>
        <v>104.89</v>
      </c>
      <c r="M30" s="18">
        <f t="shared" si="8"/>
        <v>1.2916230717639168</v>
      </c>
      <c r="N30" s="18">
        <f t="shared" si="2"/>
        <v>106.18162307176392</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592000</v>
      </c>
      <c r="D32" s="11">
        <v>603000</v>
      </c>
      <c r="E32" s="11">
        <v>0</v>
      </c>
      <c r="F32" s="11">
        <f t="shared" si="0"/>
        <v>11000</v>
      </c>
      <c r="G32" s="17">
        <f t="shared" si="3"/>
        <v>40.090000000000003</v>
      </c>
      <c r="H32" s="17">
        <f t="shared" si="4"/>
        <v>2.1800000000000002</v>
      </c>
      <c r="I32" s="17">
        <f t="shared" si="5"/>
        <v>0</v>
      </c>
      <c r="J32" s="18">
        <f t="shared" si="6"/>
        <v>0</v>
      </c>
      <c r="K32" s="18">
        <f t="shared" si="7"/>
        <v>0</v>
      </c>
      <c r="L32" s="18">
        <f t="shared" si="1"/>
        <v>42.27</v>
      </c>
      <c r="M32" s="18">
        <f t="shared" si="8"/>
        <v>0</v>
      </c>
      <c r="N32" s="18">
        <f t="shared" si="2"/>
        <v>42.27</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2290000</v>
      </c>
      <c r="D35" s="11">
        <v>2349000</v>
      </c>
      <c r="E35" s="11">
        <v>0</v>
      </c>
      <c r="F35" s="11">
        <f t="shared" si="0"/>
        <v>59000</v>
      </c>
      <c r="G35" s="17">
        <f t="shared" si="3"/>
        <v>40.090000000000003</v>
      </c>
      <c r="H35" s="17">
        <f t="shared" si="4"/>
        <v>21.8</v>
      </c>
      <c r="I35" s="17">
        <f t="shared" si="5"/>
        <v>25.299999999999997</v>
      </c>
      <c r="J35" s="18">
        <f t="shared" si="6"/>
        <v>29.5</v>
      </c>
      <c r="K35" s="18">
        <f t="shared" si="7"/>
        <v>64.98</v>
      </c>
      <c r="L35" s="18">
        <f t="shared" si="1"/>
        <v>181.67000000000002</v>
      </c>
      <c r="M35" s="18">
        <f t="shared" si="8"/>
        <v>30.998953722334004</v>
      </c>
      <c r="N35" s="18">
        <f t="shared" si="2"/>
        <v>212.66895372233401</v>
      </c>
      <c r="O35" s="8"/>
    </row>
    <row r="36" spans="1:15">
      <c r="A36" s="1" t="s">
        <v>26</v>
      </c>
      <c r="B36" s="11"/>
      <c r="C36" s="11">
        <v>321000</v>
      </c>
      <c r="D36" s="11">
        <v>343000</v>
      </c>
      <c r="E36" s="11">
        <v>0</v>
      </c>
      <c r="F36" s="11">
        <f t="shared" si="0"/>
        <v>22000</v>
      </c>
      <c r="G36" s="17">
        <f t="shared" si="3"/>
        <v>40.090000000000003</v>
      </c>
      <c r="H36" s="17">
        <f t="shared" si="4"/>
        <v>21.8</v>
      </c>
      <c r="I36" s="17">
        <f t="shared" si="5"/>
        <v>5.0599999999999996</v>
      </c>
      <c r="J36" s="18">
        <f t="shared" si="6"/>
        <v>0</v>
      </c>
      <c r="K36" s="18">
        <f t="shared" si="7"/>
        <v>0</v>
      </c>
      <c r="L36" s="18">
        <f t="shared" si="1"/>
        <v>66.95</v>
      </c>
      <c r="M36" s="18">
        <f t="shared" si="8"/>
        <v>0</v>
      </c>
      <c r="N36" s="18">
        <f t="shared" si="2"/>
        <v>66.95</v>
      </c>
      <c r="O36" s="8"/>
    </row>
    <row r="37" spans="1:15">
      <c r="A37" s="1" t="s">
        <v>27</v>
      </c>
      <c r="B37" s="11"/>
      <c r="C37" s="11">
        <v>2120000</v>
      </c>
      <c r="D37" s="11">
        <v>2123000</v>
      </c>
      <c r="E37" s="11">
        <v>0</v>
      </c>
      <c r="F37" s="11">
        <f t="shared" si="0"/>
        <v>3000</v>
      </c>
      <c r="G37" s="17">
        <f t="shared" si="3"/>
        <v>40.090000000000003</v>
      </c>
      <c r="H37" s="17">
        <f t="shared" si="4"/>
        <v>0</v>
      </c>
      <c r="I37" s="17">
        <f t="shared" si="5"/>
        <v>0</v>
      </c>
      <c r="J37" s="18">
        <f t="shared" si="6"/>
        <v>0</v>
      </c>
      <c r="K37" s="18">
        <f t="shared" si="7"/>
        <v>0</v>
      </c>
      <c r="L37" s="18">
        <f t="shared" si="1"/>
        <v>40.090000000000003</v>
      </c>
      <c r="M37" s="18">
        <f t="shared" si="8"/>
        <v>0</v>
      </c>
      <c r="N37" s="18">
        <f t="shared" si="2"/>
        <v>40.090000000000003</v>
      </c>
      <c r="O37" s="8"/>
    </row>
    <row r="38" spans="1:15">
      <c r="A38" s="1" t="s">
        <v>28</v>
      </c>
      <c r="B38" s="11"/>
      <c r="C38" s="11">
        <v>1320000</v>
      </c>
      <c r="D38" s="11">
        <v>1332000</v>
      </c>
      <c r="E38" s="11">
        <v>0</v>
      </c>
      <c r="F38" s="11">
        <f t="shared" si="0"/>
        <v>12000</v>
      </c>
      <c r="G38" s="17">
        <f t="shared" si="3"/>
        <v>40.090000000000003</v>
      </c>
      <c r="H38" s="17">
        <f t="shared" si="4"/>
        <v>4.3600000000000003</v>
      </c>
      <c r="I38" s="17">
        <f t="shared" si="5"/>
        <v>0</v>
      </c>
      <c r="J38" s="18">
        <f t="shared" si="6"/>
        <v>0</v>
      </c>
      <c r="K38" s="18">
        <f t="shared" si="7"/>
        <v>0</v>
      </c>
      <c r="L38" s="18">
        <f t="shared" si="1"/>
        <v>44.45</v>
      </c>
      <c r="M38" s="18">
        <f t="shared" si="8"/>
        <v>0</v>
      </c>
      <c r="N38" s="18">
        <f t="shared" si="2"/>
        <v>44.45</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501000</v>
      </c>
      <c r="D41" s="11">
        <v>508000</v>
      </c>
      <c r="E41" s="11">
        <v>0</v>
      </c>
      <c r="F41" s="11">
        <f t="shared" si="0"/>
        <v>7000</v>
      </c>
      <c r="G41" s="17">
        <f t="shared" si="3"/>
        <v>40.090000000000003</v>
      </c>
      <c r="H41" s="17">
        <f t="shared" si="4"/>
        <v>0</v>
      </c>
      <c r="I41" s="17">
        <f t="shared" si="5"/>
        <v>0</v>
      </c>
      <c r="J41" s="18">
        <f t="shared" si="6"/>
        <v>0</v>
      </c>
      <c r="K41" s="18">
        <f t="shared" si="7"/>
        <v>0</v>
      </c>
      <c r="L41" s="18">
        <f t="shared" si="1"/>
        <v>40.090000000000003</v>
      </c>
      <c r="M41" s="18">
        <f t="shared" si="8"/>
        <v>0</v>
      </c>
      <c r="N41" s="18">
        <f t="shared" si="2"/>
        <v>40.090000000000003</v>
      </c>
      <c r="O41" s="8"/>
    </row>
    <row r="42" spans="1:15">
      <c r="A42" s="1" t="s">
        <v>32</v>
      </c>
      <c r="B42" s="11"/>
      <c r="C42" s="11">
        <v>3855000</v>
      </c>
      <c r="D42" s="11">
        <v>3868000</v>
      </c>
      <c r="E42" s="11">
        <v>0</v>
      </c>
      <c r="F42" s="11">
        <f t="shared" si="0"/>
        <v>13000</v>
      </c>
      <c r="G42" s="17">
        <f t="shared" si="3"/>
        <v>40.090000000000003</v>
      </c>
      <c r="H42" s="17">
        <f t="shared" si="4"/>
        <v>6.5400000000000009</v>
      </c>
      <c r="I42" s="17">
        <f t="shared" si="5"/>
        <v>0</v>
      </c>
      <c r="J42" s="18">
        <f t="shared" si="6"/>
        <v>0</v>
      </c>
      <c r="K42" s="18">
        <f t="shared" si="7"/>
        <v>0</v>
      </c>
      <c r="L42" s="18">
        <f t="shared" si="1"/>
        <v>46.63</v>
      </c>
      <c r="M42" s="18">
        <f t="shared" si="8"/>
        <v>0</v>
      </c>
      <c r="N42" s="18">
        <f t="shared" si="2"/>
        <v>46.63</v>
      </c>
      <c r="O42" s="8"/>
    </row>
    <row r="43" spans="1:15">
      <c r="A43" s="1" t="s">
        <v>33</v>
      </c>
      <c r="B43" s="11"/>
      <c r="C43" s="11">
        <v>1162000</v>
      </c>
      <c r="D43" s="11">
        <v>1172000</v>
      </c>
      <c r="E43" s="11">
        <v>0</v>
      </c>
      <c r="F43" s="11">
        <f t="shared" si="0"/>
        <v>10000</v>
      </c>
      <c r="G43" s="17">
        <f t="shared" si="3"/>
        <v>40.090000000000003</v>
      </c>
      <c r="H43" s="17">
        <f t="shared" si="4"/>
        <v>0</v>
      </c>
      <c r="I43" s="17">
        <f t="shared" si="5"/>
        <v>0</v>
      </c>
      <c r="J43" s="18">
        <f t="shared" si="6"/>
        <v>0</v>
      </c>
      <c r="K43" s="18">
        <f t="shared" si="7"/>
        <v>0</v>
      </c>
      <c r="L43" s="18">
        <f t="shared" si="1"/>
        <v>40.090000000000003</v>
      </c>
      <c r="M43" s="18">
        <f t="shared" si="8"/>
        <v>0</v>
      </c>
      <c r="N43" s="18">
        <f t="shared" si="2"/>
        <v>40.090000000000003</v>
      </c>
      <c r="O43" s="8"/>
    </row>
    <row r="44" spans="1:15">
      <c r="A44" s="1" t="s">
        <v>34</v>
      </c>
      <c r="B44" s="11"/>
      <c r="C44" s="11">
        <v>122000</v>
      </c>
      <c r="D44" s="11">
        <v>175000</v>
      </c>
      <c r="E44" s="11"/>
      <c r="F44" s="11">
        <f t="shared" si="0"/>
        <v>53000</v>
      </c>
      <c r="G44" s="17">
        <f t="shared" si="3"/>
        <v>40.090000000000003</v>
      </c>
      <c r="H44" s="17">
        <f t="shared" si="4"/>
        <v>21.8</v>
      </c>
      <c r="I44" s="17">
        <f t="shared" si="5"/>
        <v>25.299999999999997</v>
      </c>
      <c r="J44" s="18">
        <f t="shared" si="6"/>
        <v>29.5</v>
      </c>
      <c r="K44" s="18">
        <f t="shared" si="7"/>
        <v>44.46</v>
      </c>
      <c r="L44" s="18">
        <f t="shared" si="1"/>
        <v>161.15</v>
      </c>
      <c r="M44" s="18">
        <f t="shared" si="8"/>
        <v>23.249215291750502</v>
      </c>
      <c r="N44" s="18">
        <f t="shared" si="2"/>
        <v>184.39921529175052</v>
      </c>
      <c r="O44" s="8"/>
    </row>
    <row r="45" spans="1:15">
      <c r="A45" s="1" t="s">
        <v>35</v>
      </c>
      <c r="B45" s="11"/>
      <c r="C45" s="11">
        <v>1413000</v>
      </c>
      <c r="D45" s="11">
        <v>1479000</v>
      </c>
      <c r="E45" s="11">
        <v>0</v>
      </c>
      <c r="F45" s="11">
        <f t="shared" si="0"/>
        <v>66000</v>
      </c>
      <c r="G45" s="17">
        <f t="shared" si="3"/>
        <v>40.090000000000003</v>
      </c>
      <c r="H45" s="17">
        <f t="shared" si="4"/>
        <v>21.8</v>
      </c>
      <c r="I45" s="17">
        <f t="shared" si="5"/>
        <v>25.299999999999997</v>
      </c>
      <c r="J45" s="18">
        <f t="shared" si="6"/>
        <v>29.5</v>
      </c>
      <c r="K45" s="18">
        <f t="shared" si="7"/>
        <v>88.92</v>
      </c>
      <c r="L45" s="18">
        <f t="shared" si="1"/>
        <v>205.61</v>
      </c>
      <c r="M45" s="18">
        <f t="shared" si="8"/>
        <v>40.040315224681422</v>
      </c>
      <c r="N45" s="18">
        <f t="shared" si="2"/>
        <v>245.65031522468144</v>
      </c>
      <c r="O45" s="8"/>
    </row>
    <row r="46" spans="1:15">
      <c r="A46" s="1" t="s">
        <v>36</v>
      </c>
      <c r="B46" s="11"/>
      <c r="C46" s="11">
        <v>1586000</v>
      </c>
      <c r="D46" s="11">
        <v>1589000</v>
      </c>
      <c r="E46" s="11">
        <v>0</v>
      </c>
      <c r="F46" s="11">
        <f t="shared" si="0"/>
        <v>3000</v>
      </c>
      <c r="G46" s="17">
        <f t="shared" si="3"/>
        <v>40.090000000000003</v>
      </c>
      <c r="H46" s="17">
        <f t="shared" si="4"/>
        <v>0</v>
      </c>
      <c r="I46" s="17">
        <f t="shared" si="5"/>
        <v>0</v>
      </c>
      <c r="J46" s="18">
        <f t="shared" si="6"/>
        <v>0</v>
      </c>
      <c r="K46" s="18">
        <f t="shared" si="7"/>
        <v>0</v>
      </c>
      <c r="L46" s="18">
        <f t="shared" si="1"/>
        <v>40.090000000000003</v>
      </c>
      <c r="M46" s="18">
        <f t="shared" si="8"/>
        <v>0</v>
      </c>
      <c r="N46" s="18">
        <f t="shared" si="2"/>
        <v>40.090000000000003</v>
      </c>
      <c r="O46" s="8"/>
    </row>
    <row r="47" spans="1:15">
      <c r="A47" s="1" t="s">
        <v>37</v>
      </c>
      <c r="B47" s="11"/>
      <c r="C47" s="11">
        <v>1745000</v>
      </c>
      <c r="D47" s="11">
        <v>1839000</v>
      </c>
      <c r="E47" s="11">
        <v>0</v>
      </c>
      <c r="F47" s="11">
        <f t="shared" si="0"/>
        <v>94000</v>
      </c>
      <c r="G47" s="17">
        <f t="shared" si="3"/>
        <v>40.090000000000003</v>
      </c>
      <c r="H47" s="17">
        <f t="shared" si="4"/>
        <v>21.8</v>
      </c>
      <c r="I47" s="17">
        <f t="shared" si="5"/>
        <v>25.299999999999997</v>
      </c>
      <c r="J47" s="18">
        <f t="shared" si="6"/>
        <v>29.5</v>
      </c>
      <c r="K47" s="18">
        <f t="shared" si="7"/>
        <v>184.68</v>
      </c>
      <c r="L47" s="18">
        <f t="shared" si="1"/>
        <v>301.37</v>
      </c>
      <c r="M47" s="18">
        <f t="shared" si="8"/>
        <v>76.20576123407109</v>
      </c>
      <c r="N47" s="18">
        <f t="shared" si="2"/>
        <v>377.57576123407108</v>
      </c>
      <c r="O47" s="8"/>
    </row>
    <row r="48" spans="1:15">
      <c r="A48" s="1" t="s">
        <v>38</v>
      </c>
      <c r="B48" s="11"/>
      <c r="C48" s="11">
        <v>1525000</v>
      </c>
      <c r="D48" s="11">
        <v>1661000</v>
      </c>
      <c r="E48" s="11">
        <v>0</v>
      </c>
      <c r="F48" s="11">
        <f t="shared" si="0"/>
        <v>136000</v>
      </c>
      <c r="G48" s="17">
        <f t="shared" si="3"/>
        <v>40.090000000000003</v>
      </c>
      <c r="H48" s="17">
        <f t="shared" si="4"/>
        <v>21.8</v>
      </c>
      <c r="I48" s="17">
        <f t="shared" si="5"/>
        <v>25.299999999999997</v>
      </c>
      <c r="J48" s="18">
        <f t="shared" si="6"/>
        <v>29.5</v>
      </c>
      <c r="K48" s="18">
        <f t="shared" si="7"/>
        <v>328.32</v>
      </c>
      <c r="L48" s="18">
        <f t="shared" si="1"/>
        <v>445.01</v>
      </c>
      <c r="M48" s="18">
        <f t="shared" si="8"/>
        <v>130.45393024815561</v>
      </c>
      <c r="N48" s="18">
        <f t="shared" si="2"/>
        <v>575.46393024815563</v>
      </c>
      <c r="O48" s="8"/>
    </row>
    <row r="49" spans="1:15">
      <c r="A49" s="1" t="s">
        <v>39</v>
      </c>
      <c r="B49" s="11" t="s">
        <v>138</v>
      </c>
      <c r="C49" s="11">
        <v>0</v>
      </c>
      <c r="D49" s="11">
        <v>0</v>
      </c>
      <c r="E49" s="11">
        <v>0</v>
      </c>
      <c r="F49" s="11">
        <f t="shared" si="0"/>
        <v>0</v>
      </c>
      <c r="G49" s="17">
        <f t="shared" si="3"/>
        <v>11.79</v>
      </c>
      <c r="H49" s="17">
        <f t="shared" si="4"/>
        <v>0</v>
      </c>
      <c r="I49" s="17">
        <f t="shared" si="5"/>
        <v>0</v>
      </c>
      <c r="J49" s="18">
        <f t="shared" si="6"/>
        <v>0</v>
      </c>
      <c r="K49" s="18">
        <f t="shared" si="7"/>
        <v>0</v>
      </c>
      <c r="L49" s="18">
        <f t="shared" si="1"/>
        <v>11.79</v>
      </c>
      <c r="M49" s="18">
        <f t="shared" ref="M49:M80" si="9">IF(   $H$5=1,    IF((F49-$H$6)&gt;0,((F49-$H$6)/$N$7)*$E$8,0),   IF(F49&gt;0,(F49/$N$4)*$E$8,0)    )</f>
        <v>0</v>
      </c>
      <c r="N49" s="18">
        <f t="shared" si="2"/>
        <v>11.79</v>
      </c>
      <c r="O49" s="8"/>
    </row>
    <row r="50" spans="1:15">
      <c r="A50" s="1" t="s">
        <v>40</v>
      </c>
      <c r="B50" s="11" t="s">
        <v>138</v>
      </c>
      <c r="C50" s="11">
        <v>0</v>
      </c>
      <c r="D50" s="11">
        <v>0</v>
      </c>
      <c r="E50" s="11">
        <v>0</v>
      </c>
      <c r="F50" s="11">
        <f t="shared" si="0"/>
        <v>0</v>
      </c>
      <c r="G50" s="17">
        <f t="shared" si="3"/>
        <v>11.79</v>
      </c>
      <c r="H50" s="17">
        <f t="shared" si="4"/>
        <v>0</v>
      </c>
      <c r="I50" s="17">
        <f t="shared" si="5"/>
        <v>0</v>
      </c>
      <c r="J50" s="18">
        <f t="shared" si="6"/>
        <v>0</v>
      </c>
      <c r="K50" s="18">
        <f t="shared" si="7"/>
        <v>0</v>
      </c>
      <c r="L50" s="18">
        <f t="shared" si="1"/>
        <v>11.79</v>
      </c>
      <c r="M50" s="18">
        <f t="shared" si="9"/>
        <v>0</v>
      </c>
      <c r="N50" s="18">
        <f t="shared" si="2"/>
        <v>11.79</v>
      </c>
      <c r="O50" s="8"/>
    </row>
    <row r="51" spans="1:15">
      <c r="A51" s="1" t="s">
        <v>41</v>
      </c>
      <c r="B51" s="11" t="s">
        <v>138</v>
      </c>
      <c r="C51" s="11">
        <v>0</v>
      </c>
      <c r="D51" s="11">
        <v>0</v>
      </c>
      <c r="E51" s="11">
        <v>0</v>
      </c>
      <c r="F51" s="11">
        <f t="shared" si="0"/>
        <v>0</v>
      </c>
      <c r="G51" s="17">
        <f t="shared" si="3"/>
        <v>11.79</v>
      </c>
      <c r="H51" s="17">
        <f t="shared" si="4"/>
        <v>0</v>
      </c>
      <c r="I51" s="17">
        <f t="shared" si="5"/>
        <v>0</v>
      </c>
      <c r="J51" s="18">
        <f t="shared" si="6"/>
        <v>0</v>
      </c>
      <c r="K51" s="18">
        <f t="shared" si="7"/>
        <v>0</v>
      </c>
      <c r="L51" s="18">
        <f t="shared" si="1"/>
        <v>11.79</v>
      </c>
      <c r="M51" s="18">
        <f t="shared" si="9"/>
        <v>0</v>
      </c>
      <c r="N51" s="18">
        <f t="shared" si="2"/>
        <v>11.79</v>
      </c>
      <c r="O51" s="8"/>
    </row>
    <row r="52" spans="1:15">
      <c r="A52" s="1" t="s">
        <v>42</v>
      </c>
      <c r="B52" s="11"/>
      <c r="C52" s="11">
        <v>3025000</v>
      </c>
      <c r="D52" s="11">
        <v>3052000</v>
      </c>
      <c r="E52" s="11">
        <v>0</v>
      </c>
      <c r="F52" s="11">
        <f t="shared" si="0"/>
        <v>27000</v>
      </c>
      <c r="G52" s="17">
        <f t="shared" si="3"/>
        <v>40.090000000000003</v>
      </c>
      <c r="H52" s="17">
        <f t="shared" si="4"/>
        <v>21.8</v>
      </c>
      <c r="I52" s="17">
        <f t="shared" si="5"/>
        <v>17.709999999999997</v>
      </c>
      <c r="J52" s="18">
        <f t="shared" si="6"/>
        <v>0</v>
      </c>
      <c r="K52" s="18">
        <f t="shared" si="7"/>
        <v>0</v>
      </c>
      <c r="L52" s="18">
        <f t="shared" si="1"/>
        <v>79.599999999999994</v>
      </c>
      <c r="M52" s="18">
        <f t="shared" si="9"/>
        <v>0</v>
      </c>
      <c r="N52" s="18">
        <f t="shared" si="2"/>
        <v>79.599999999999994</v>
      </c>
      <c r="O52" s="8"/>
    </row>
    <row r="53" spans="1:15">
      <c r="A53" s="1" t="s">
        <v>43</v>
      </c>
      <c r="B53" s="11"/>
      <c r="C53" s="11">
        <v>3193000</v>
      </c>
      <c r="D53" s="11">
        <v>3222000</v>
      </c>
      <c r="E53" s="11">
        <v>0</v>
      </c>
      <c r="F53" s="11">
        <f t="shared" si="0"/>
        <v>29000</v>
      </c>
      <c r="G53" s="17">
        <f t="shared" si="3"/>
        <v>40.090000000000003</v>
      </c>
      <c r="H53" s="17">
        <f t="shared" si="4"/>
        <v>21.8</v>
      </c>
      <c r="I53" s="17">
        <f t="shared" si="5"/>
        <v>22.77</v>
      </c>
      <c r="J53" s="18">
        <f t="shared" si="6"/>
        <v>0</v>
      </c>
      <c r="K53" s="18">
        <f t="shared" si="7"/>
        <v>0</v>
      </c>
      <c r="L53" s="18">
        <f t="shared" si="1"/>
        <v>84.66</v>
      </c>
      <c r="M53" s="18">
        <f t="shared" si="9"/>
        <v>0</v>
      </c>
      <c r="N53" s="18">
        <f t="shared" si="2"/>
        <v>84.66</v>
      </c>
      <c r="O53" s="8"/>
    </row>
    <row r="54" spans="1:15">
      <c r="A54" s="1" t="s">
        <v>44</v>
      </c>
      <c r="B54" s="11"/>
      <c r="C54" s="11">
        <v>3988000</v>
      </c>
      <c r="D54" s="11">
        <v>4017000</v>
      </c>
      <c r="E54" s="11">
        <v>0</v>
      </c>
      <c r="F54" s="11">
        <f t="shared" si="0"/>
        <v>29000</v>
      </c>
      <c r="G54" s="17">
        <f t="shared" si="3"/>
        <v>40.090000000000003</v>
      </c>
      <c r="H54" s="17">
        <f t="shared" si="4"/>
        <v>21.8</v>
      </c>
      <c r="I54" s="17">
        <f t="shared" si="5"/>
        <v>22.77</v>
      </c>
      <c r="J54" s="18">
        <f t="shared" si="6"/>
        <v>0</v>
      </c>
      <c r="K54" s="18">
        <f t="shared" si="7"/>
        <v>0</v>
      </c>
      <c r="L54" s="18">
        <f t="shared" si="1"/>
        <v>84.66</v>
      </c>
      <c r="M54" s="18">
        <f t="shared" si="9"/>
        <v>0</v>
      </c>
      <c r="N54" s="18">
        <f t="shared" si="2"/>
        <v>84.66</v>
      </c>
      <c r="O54" s="8"/>
    </row>
    <row r="55" spans="1:15">
      <c r="A55" s="1" t="s">
        <v>45</v>
      </c>
      <c r="B55" s="11" t="s">
        <v>138</v>
      </c>
      <c r="C55" s="11">
        <v>0</v>
      </c>
      <c r="D55" s="11">
        <v>0</v>
      </c>
      <c r="E55" s="11">
        <v>0</v>
      </c>
      <c r="F55" s="11">
        <f t="shared" si="0"/>
        <v>0</v>
      </c>
      <c r="G55" s="17">
        <f t="shared" si="3"/>
        <v>11.79</v>
      </c>
      <c r="H55" s="17">
        <f t="shared" si="4"/>
        <v>0</v>
      </c>
      <c r="I55" s="17">
        <f t="shared" si="5"/>
        <v>0</v>
      </c>
      <c r="J55" s="18">
        <f t="shared" si="6"/>
        <v>0</v>
      </c>
      <c r="K55" s="18">
        <f t="shared" si="7"/>
        <v>0</v>
      </c>
      <c r="L55" s="18">
        <f t="shared" si="1"/>
        <v>11.79</v>
      </c>
      <c r="M55" s="18">
        <f t="shared" si="9"/>
        <v>0</v>
      </c>
      <c r="N55" s="18">
        <f t="shared" si="2"/>
        <v>11.79</v>
      </c>
      <c r="O55" s="8"/>
    </row>
    <row r="56" spans="1:15">
      <c r="A56" s="1" t="s">
        <v>46</v>
      </c>
      <c r="B56" s="11" t="s">
        <v>138</v>
      </c>
      <c r="C56" s="11">
        <v>0</v>
      </c>
      <c r="D56" s="11">
        <v>0</v>
      </c>
      <c r="E56" s="11">
        <v>0</v>
      </c>
      <c r="F56" s="11">
        <f t="shared" si="0"/>
        <v>0</v>
      </c>
      <c r="G56" s="17">
        <f t="shared" si="3"/>
        <v>11.79</v>
      </c>
      <c r="H56" s="17">
        <f t="shared" si="4"/>
        <v>0</v>
      </c>
      <c r="I56" s="17">
        <f t="shared" si="5"/>
        <v>0</v>
      </c>
      <c r="J56" s="18">
        <f t="shared" si="6"/>
        <v>0</v>
      </c>
      <c r="K56" s="18">
        <f t="shared" si="7"/>
        <v>0</v>
      </c>
      <c r="L56" s="18">
        <f t="shared" si="1"/>
        <v>11.79</v>
      </c>
      <c r="M56" s="18">
        <f t="shared" si="9"/>
        <v>0</v>
      </c>
      <c r="N56" s="18">
        <f t="shared" si="2"/>
        <v>11.79</v>
      </c>
      <c r="O56" s="8"/>
    </row>
    <row r="57" spans="1:15">
      <c r="A57" s="1" t="s">
        <v>47</v>
      </c>
      <c r="B57" s="11" t="s">
        <v>138</v>
      </c>
      <c r="C57" s="11">
        <v>0</v>
      </c>
      <c r="D57" s="11">
        <v>0</v>
      </c>
      <c r="E57" s="11">
        <v>0</v>
      </c>
      <c r="F57" s="11">
        <f t="shared" si="0"/>
        <v>0</v>
      </c>
      <c r="G57" s="17">
        <f t="shared" si="3"/>
        <v>11.79</v>
      </c>
      <c r="H57" s="17">
        <f t="shared" si="4"/>
        <v>0</v>
      </c>
      <c r="I57" s="17">
        <f t="shared" si="5"/>
        <v>0</v>
      </c>
      <c r="J57" s="18">
        <f t="shared" si="6"/>
        <v>0</v>
      </c>
      <c r="K57" s="18">
        <f t="shared" si="7"/>
        <v>0</v>
      </c>
      <c r="L57" s="18">
        <f t="shared" si="1"/>
        <v>11.79</v>
      </c>
      <c r="M57" s="18">
        <f t="shared" si="9"/>
        <v>0</v>
      </c>
      <c r="N57" s="18">
        <f t="shared" si="2"/>
        <v>11.79</v>
      </c>
      <c r="O57" s="8"/>
    </row>
    <row r="58" spans="1:15">
      <c r="A58" s="1" t="s">
        <v>48</v>
      </c>
      <c r="B58" s="11"/>
      <c r="C58" s="11">
        <v>1113000</v>
      </c>
      <c r="D58" s="11">
        <v>1115000</v>
      </c>
      <c r="E58" s="11">
        <v>0</v>
      </c>
      <c r="F58" s="11">
        <f t="shared" si="0"/>
        <v>2000</v>
      </c>
      <c r="G58" s="17">
        <f t="shared" si="3"/>
        <v>40.090000000000003</v>
      </c>
      <c r="H58" s="17">
        <f t="shared" si="4"/>
        <v>0</v>
      </c>
      <c r="I58" s="17">
        <f t="shared" si="5"/>
        <v>0</v>
      </c>
      <c r="J58" s="18">
        <f t="shared" si="6"/>
        <v>0</v>
      </c>
      <c r="K58" s="18">
        <f t="shared" si="7"/>
        <v>0</v>
      </c>
      <c r="L58" s="18">
        <f t="shared" si="1"/>
        <v>40.090000000000003</v>
      </c>
      <c r="M58" s="18">
        <f t="shared" si="9"/>
        <v>0</v>
      </c>
      <c r="N58" s="18">
        <f t="shared" si="2"/>
        <v>40.090000000000003</v>
      </c>
      <c r="O58" s="8"/>
    </row>
    <row r="59" spans="1:15">
      <c r="A59" s="1" t="s">
        <v>49</v>
      </c>
      <c r="B59" s="11"/>
      <c r="C59" s="11">
        <v>864000</v>
      </c>
      <c r="D59" s="11">
        <v>879000</v>
      </c>
      <c r="E59" s="11">
        <v>0</v>
      </c>
      <c r="F59" s="11">
        <f t="shared" si="0"/>
        <v>15000</v>
      </c>
      <c r="G59" s="17">
        <f t="shared" si="3"/>
        <v>40.090000000000003</v>
      </c>
      <c r="H59" s="17">
        <f t="shared" si="4"/>
        <v>10.9</v>
      </c>
      <c r="I59" s="17">
        <f t="shared" si="5"/>
        <v>0</v>
      </c>
      <c r="J59" s="18">
        <f t="shared" si="6"/>
        <v>0</v>
      </c>
      <c r="K59" s="18">
        <f t="shared" si="7"/>
        <v>0</v>
      </c>
      <c r="L59" s="18">
        <f t="shared" si="1"/>
        <v>50.99</v>
      </c>
      <c r="M59" s="18">
        <f t="shared" si="9"/>
        <v>0</v>
      </c>
      <c r="N59" s="18">
        <f t="shared" si="2"/>
        <v>50.99</v>
      </c>
      <c r="O59" s="8"/>
    </row>
    <row r="60" spans="1:15">
      <c r="A60" s="1" t="s">
        <v>50</v>
      </c>
      <c r="B60" s="11"/>
      <c r="C60" s="11">
        <v>3459000</v>
      </c>
      <c r="D60" s="11">
        <v>3482000</v>
      </c>
      <c r="E60" s="11">
        <v>0</v>
      </c>
      <c r="F60" s="11">
        <f t="shared" si="0"/>
        <v>23000</v>
      </c>
      <c r="G60" s="17">
        <f t="shared" si="3"/>
        <v>40.090000000000003</v>
      </c>
      <c r="H60" s="17">
        <f t="shared" si="4"/>
        <v>21.8</v>
      </c>
      <c r="I60" s="17">
        <f t="shared" si="5"/>
        <v>7.59</v>
      </c>
      <c r="J60" s="18">
        <f t="shared" si="6"/>
        <v>0</v>
      </c>
      <c r="K60" s="18">
        <f t="shared" si="7"/>
        <v>0</v>
      </c>
      <c r="L60" s="18">
        <f t="shared" si="1"/>
        <v>69.48</v>
      </c>
      <c r="M60" s="18">
        <f t="shared" si="9"/>
        <v>0</v>
      </c>
      <c r="N60" s="18">
        <f t="shared" si="2"/>
        <v>69.48</v>
      </c>
      <c r="O60" s="8"/>
    </row>
    <row r="61" spans="1:15">
      <c r="A61" s="1" t="s">
        <v>51</v>
      </c>
      <c r="B61" s="11" t="s">
        <v>138</v>
      </c>
      <c r="C61" s="11">
        <v>0</v>
      </c>
      <c r="D61" s="11">
        <v>0</v>
      </c>
      <c r="E61" s="11">
        <v>0</v>
      </c>
      <c r="F61" s="11">
        <f t="shared" si="0"/>
        <v>0</v>
      </c>
      <c r="G61" s="17">
        <f t="shared" si="3"/>
        <v>11.79</v>
      </c>
      <c r="H61" s="17">
        <f t="shared" si="4"/>
        <v>0</v>
      </c>
      <c r="I61" s="17">
        <f t="shared" si="5"/>
        <v>0</v>
      </c>
      <c r="J61" s="18">
        <f t="shared" si="6"/>
        <v>0</v>
      </c>
      <c r="K61" s="18">
        <f t="shared" si="7"/>
        <v>0</v>
      </c>
      <c r="L61" s="18">
        <f t="shared" si="1"/>
        <v>11.79</v>
      </c>
      <c r="M61" s="18">
        <f t="shared" si="9"/>
        <v>0</v>
      </c>
      <c r="N61" s="18">
        <f t="shared" si="2"/>
        <v>11.79</v>
      </c>
      <c r="O61" s="8"/>
    </row>
    <row r="62" spans="1:15">
      <c r="A62" s="1" t="s">
        <v>52</v>
      </c>
      <c r="B62" s="11"/>
      <c r="C62" s="11">
        <v>1696000</v>
      </c>
      <c r="D62" s="11">
        <v>1701000</v>
      </c>
      <c r="E62" s="11">
        <v>0</v>
      </c>
      <c r="F62" s="11">
        <f t="shared" si="0"/>
        <v>5000</v>
      </c>
      <c r="G62" s="17">
        <f t="shared" si="3"/>
        <v>40.090000000000003</v>
      </c>
      <c r="H62" s="17">
        <f t="shared" si="4"/>
        <v>0</v>
      </c>
      <c r="I62" s="17">
        <f t="shared" si="5"/>
        <v>0</v>
      </c>
      <c r="J62" s="18">
        <f t="shared" si="6"/>
        <v>0</v>
      </c>
      <c r="K62" s="18">
        <f t="shared" si="7"/>
        <v>0</v>
      </c>
      <c r="L62" s="18">
        <f t="shared" si="1"/>
        <v>40.090000000000003</v>
      </c>
      <c r="M62" s="18">
        <f t="shared" si="9"/>
        <v>0</v>
      </c>
      <c r="N62" s="18">
        <f t="shared" si="2"/>
        <v>40.090000000000003</v>
      </c>
      <c r="O62" s="8"/>
    </row>
    <row r="63" spans="1:15">
      <c r="A63" s="1" t="s">
        <v>53</v>
      </c>
      <c r="B63" s="11"/>
      <c r="C63" s="11">
        <v>2281000</v>
      </c>
      <c r="D63" s="11">
        <v>2304000</v>
      </c>
      <c r="E63" s="11">
        <v>0</v>
      </c>
      <c r="F63" s="11">
        <f t="shared" si="0"/>
        <v>23000</v>
      </c>
      <c r="G63" s="17">
        <f t="shared" si="3"/>
        <v>40.090000000000003</v>
      </c>
      <c r="H63" s="17">
        <f t="shared" si="4"/>
        <v>21.8</v>
      </c>
      <c r="I63" s="17">
        <f t="shared" si="5"/>
        <v>7.59</v>
      </c>
      <c r="J63" s="18">
        <f t="shared" si="6"/>
        <v>0</v>
      </c>
      <c r="K63" s="18">
        <f t="shared" si="7"/>
        <v>0</v>
      </c>
      <c r="L63" s="18">
        <f t="shared" si="1"/>
        <v>69.48</v>
      </c>
      <c r="M63" s="18">
        <f t="shared" si="9"/>
        <v>0</v>
      </c>
      <c r="N63" s="18">
        <f t="shared" si="2"/>
        <v>69.48</v>
      </c>
      <c r="O63" s="8"/>
    </row>
    <row r="64" spans="1:15">
      <c r="A64" s="1" t="s">
        <v>54</v>
      </c>
      <c r="B64" s="11"/>
      <c r="C64" s="11">
        <v>2939000</v>
      </c>
      <c r="D64" s="11">
        <v>3090000</v>
      </c>
      <c r="E64" s="11">
        <v>0</v>
      </c>
      <c r="F64" s="11">
        <f t="shared" si="0"/>
        <v>151000</v>
      </c>
      <c r="G64" s="17">
        <f t="shared" si="3"/>
        <v>40.090000000000003</v>
      </c>
      <c r="H64" s="17">
        <f t="shared" si="4"/>
        <v>21.8</v>
      </c>
      <c r="I64" s="17">
        <f t="shared" si="5"/>
        <v>25.299999999999997</v>
      </c>
      <c r="J64" s="18">
        <f t="shared" si="6"/>
        <v>29.5</v>
      </c>
      <c r="K64" s="18">
        <f t="shared" si="7"/>
        <v>379.62</v>
      </c>
      <c r="L64" s="18">
        <f t="shared" si="1"/>
        <v>496.31</v>
      </c>
      <c r="M64" s="18">
        <f t="shared" si="9"/>
        <v>149.82827632461434</v>
      </c>
      <c r="N64" s="18">
        <f t="shared" si="2"/>
        <v>646.13827632461437</v>
      </c>
      <c r="O64" s="8"/>
    </row>
    <row r="65" spans="1:15">
      <c r="A65" s="1" t="s">
        <v>55</v>
      </c>
      <c r="B65" s="11" t="s">
        <v>138</v>
      </c>
      <c r="C65" s="11">
        <v>0</v>
      </c>
      <c r="D65" s="11">
        <v>0</v>
      </c>
      <c r="E65" s="11">
        <v>0</v>
      </c>
      <c r="F65" s="11">
        <f t="shared" si="0"/>
        <v>0</v>
      </c>
      <c r="G65" s="17">
        <f t="shared" si="3"/>
        <v>11.79</v>
      </c>
      <c r="H65" s="17">
        <f t="shared" si="4"/>
        <v>0</v>
      </c>
      <c r="I65" s="17">
        <f t="shared" si="5"/>
        <v>0</v>
      </c>
      <c r="J65" s="18">
        <f t="shared" si="6"/>
        <v>0</v>
      </c>
      <c r="K65" s="18">
        <f t="shared" si="7"/>
        <v>0</v>
      </c>
      <c r="L65" s="18">
        <f t="shared" si="1"/>
        <v>11.79</v>
      </c>
      <c r="M65" s="18">
        <f t="shared" si="9"/>
        <v>0</v>
      </c>
      <c r="N65" s="18">
        <f t="shared" si="2"/>
        <v>11.79</v>
      </c>
      <c r="O65" s="8"/>
    </row>
    <row r="66" spans="1:15">
      <c r="A66" s="1" t="s">
        <v>56</v>
      </c>
      <c r="B66" s="11"/>
      <c r="C66" s="11">
        <v>1440000</v>
      </c>
      <c r="D66" s="11">
        <v>1495000</v>
      </c>
      <c r="E66" s="11">
        <v>0</v>
      </c>
      <c r="F66" s="11">
        <f t="shared" si="0"/>
        <v>55000</v>
      </c>
      <c r="G66" s="17">
        <f t="shared" si="3"/>
        <v>40.090000000000003</v>
      </c>
      <c r="H66" s="17">
        <f t="shared" si="4"/>
        <v>21.8</v>
      </c>
      <c r="I66" s="17">
        <f t="shared" si="5"/>
        <v>25.299999999999997</v>
      </c>
      <c r="J66" s="18">
        <f t="shared" si="6"/>
        <v>29.5</v>
      </c>
      <c r="K66" s="18">
        <f t="shared" si="7"/>
        <v>51.3</v>
      </c>
      <c r="L66" s="18">
        <f t="shared" si="1"/>
        <v>167.99</v>
      </c>
      <c r="M66" s="18">
        <f t="shared" si="9"/>
        <v>25.832461435278336</v>
      </c>
      <c r="N66" s="18">
        <f t="shared" si="2"/>
        <v>193.82246143527834</v>
      </c>
      <c r="O66" s="8"/>
    </row>
    <row r="67" spans="1:15">
      <c r="A67" s="1" t="s">
        <v>57</v>
      </c>
      <c r="B67" s="11"/>
      <c r="C67" s="11">
        <v>1609000</v>
      </c>
      <c r="D67" s="11">
        <v>1610000</v>
      </c>
      <c r="E67" s="11">
        <v>0</v>
      </c>
      <c r="F67" s="11">
        <f t="shared" si="0"/>
        <v>1000</v>
      </c>
      <c r="G67" s="17">
        <f t="shared" si="3"/>
        <v>40.090000000000003</v>
      </c>
      <c r="H67" s="17">
        <f t="shared" si="4"/>
        <v>0</v>
      </c>
      <c r="I67" s="17">
        <f t="shared" si="5"/>
        <v>0</v>
      </c>
      <c r="J67" s="18">
        <f t="shared" si="6"/>
        <v>0</v>
      </c>
      <c r="K67" s="18">
        <f t="shared" si="7"/>
        <v>0</v>
      </c>
      <c r="L67" s="18">
        <f t="shared" si="1"/>
        <v>40.090000000000003</v>
      </c>
      <c r="M67" s="18">
        <f t="shared" si="9"/>
        <v>0</v>
      </c>
      <c r="N67" s="18">
        <f t="shared" si="2"/>
        <v>40.090000000000003</v>
      </c>
      <c r="O67" s="8"/>
    </row>
    <row r="68" spans="1:15">
      <c r="A68" s="1" t="s">
        <v>58</v>
      </c>
      <c r="B68" s="11" t="s">
        <v>138</v>
      </c>
      <c r="C68" s="11">
        <v>0</v>
      </c>
      <c r="D68" s="11">
        <v>0</v>
      </c>
      <c r="E68" s="11">
        <v>0</v>
      </c>
      <c r="F68" s="11">
        <f t="shared" si="0"/>
        <v>0</v>
      </c>
      <c r="G68" s="17">
        <f t="shared" si="3"/>
        <v>11.79</v>
      </c>
      <c r="H68" s="17">
        <f t="shared" si="4"/>
        <v>0</v>
      </c>
      <c r="I68" s="17">
        <f t="shared" si="5"/>
        <v>0</v>
      </c>
      <c r="J68" s="18">
        <f t="shared" si="6"/>
        <v>0</v>
      </c>
      <c r="K68" s="18">
        <f t="shared" si="7"/>
        <v>0</v>
      </c>
      <c r="L68" s="18">
        <f t="shared" si="1"/>
        <v>11.79</v>
      </c>
      <c r="M68" s="18">
        <f t="shared" si="9"/>
        <v>0</v>
      </c>
      <c r="N68" s="18">
        <f t="shared" si="2"/>
        <v>11.79</v>
      </c>
      <c r="O68" s="8"/>
    </row>
    <row r="69" spans="1:15">
      <c r="A69" s="1" t="s">
        <v>59</v>
      </c>
      <c r="B69" s="11" t="s">
        <v>138</v>
      </c>
      <c r="C69" s="11">
        <v>0</v>
      </c>
      <c r="D69" s="11">
        <v>0</v>
      </c>
      <c r="E69" s="11">
        <v>0</v>
      </c>
      <c r="F69" s="11">
        <f t="shared" si="0"/>
        <v>0</v>
      </c>
      <c r="G69" s="17">
        <f t="shared" si="3"/>
        <v>11.79</v>
      </c>
      <c r="H69" s="17">
        <f t="shared" si="4"/>
        <v>0</v>
      </c>
      <c r="I69" s="17">
        <f t="shared" si="5"/>
        <v>0</v>
      </c>
      <c r="J69" s="18">
        <f t="shared" si="6"/>
        <v>0</v>
      </c>
      <c r="K69" s="18">
        <f t="shared" si="7"/>
        <v>0</v>
      </c>
      <c r="L69" s="18">
        <f t="shared" si="1"/>
        <v>11.79</v>
      </c>
      <c r="M69" s="18">
        <f t="shared" si="9"/>
        <v>0</v>
      </c>
      <c r="N69" s="18">
        <f t="shared" si="2"/>
        <v>11.79</v>
      </c>
      <c r="O69" s="8"/>
    </row>
    <row r="70" spans="1:15">
      <c r="A70" s="1" t="s">
        <v>60</v>
      </c>
      <c r="B70" s="11" t="s">
        <v>138</v>
      </c>
      <c r="C70" s="11">
        <v>0</v>
      </c>
      <c r="D70" s="11">
        <v>0</v>
      </c>
      <c r="E70" s="11">
        <v>0</v>
      </c>
      <c r="F70" s="11">
        <f t="shared" si="0"/>
        <v>0</v>
      </c>
      <c r="G70" s="17">
        <f t="shared" si="3"/>
        <v>11.79</v>
      </c>
      <c r="H70" s="17">
        <f t="shared" si="4"/>
        <v>0</v>
      </c>
      <c r="I70" s="17">
        <f t="shared" si="5"/>
        <v>0</v>
      </c>
      <c r="J70" s="18">
        <f t="shared" si="6"/>
        <v>0</v>
      </c>
      <c r="K70" s="18">
        <f t="shared" si="7"/>
        <v>0</v>
      </c>
      <c r="L70" s="18">
        <f t="shared" si="1"/>
        <v>11.79</v>
      </c>
      <c r="M70" s="18">
        <f t="shared" si="9"/>
        <v>0</v>
      </c>
      <c r="N70" s="18">
        <f t="shared" si="2"/>
        <v>11.79</v>
      </c>
      <c r="O70" s="8"/>
    </row>
    <row r="71" spans="1:15">
      <c r="A71" s="1" t="s">
        <v>61</v>
      </c>
      <c r="B71" s="11"/>
      <c r="C71" s="11">
        <v>1327000</v>
      </c>
      <c r="D71" s="11">
        <v>1333000</v>
      </c>
      <c r="E71" s="11">
        <v>0</v>
      </c>
      <c r="F71" s="11">
        <f t="shared" si="0"/>
        <v>6000</v>
      </c>
      <c r="G71" s="17">
        <f t="shared" si="3"/>
        <v>40.090000000000003</v>
      </c>
      <c r="H71" s="17">
        <f t="shared" si="4"/>
        <v>0</v>
      </c>
      <c r="I71" s="17">
        <f t="shared" si="5"/>
        <v>0</v>
      </c>
      <c r="J71" s="18">
        <f t="shared" si="6"/>
        <v>0</v>
      </c>
      <c r="K71" s="18">
        <f t="shared" si="7"/>
        <v>0</v>
      </c>
      <c r="L71" s="18">
        <f t="shared" si="1"/>
        <v>40.090000000000003</v>
      </c>
      <c r="M71" s="18">
        <f t="shared" si="9"/>
        <v>0</v>
      </c>
      <c r="N71" s="18">
        <f t="shared" si="2"/>
        <v>40.090000000000003</v>
      </c>
      <c r="O71" s="8"/>
    </row>
    <row r="72" spans="1:15">
      <c r="A72" s="1" t="s">
        <v>62</v>
      </c>
      <c r="B72" s="11"/>
      <c r="C72" s="11">
        <v>1882000</v>
      </c>
      <c r="D72" s="11">
        <v>1890000</v>
      </c>
      <c r="E72" s="11">
        <v>0</v>
      </c>
      <c r="F72" s="11">
        <f t="shared" si="0"/>
        <v>8000</v>
      </c>
      <c r="G72" s="17">
        <f t="shared" si="3"/>
        <v>40.090000000000003</v>
      </c>
      <c r="H72" s="17">
        <f t="shared" si="4"/>
        <v>0</v>
      </c>
      <c r="I72" s="17">
        <f t="shared" si="5"/>
        <v>0</v>
      </c>
      <c r="J72" s="18">
        <f t="shared" si="6"/>
        <v>0</v>
      </c>
      <c r="K72" s="18">
        <f t="shared" si="7"/>
        <v>0</v>
      </c>
      <c r="L72" s="18">
        <f t="shared" si="1"/>
        <v>40.090000000000003</v>
      </c>
      <c r="M72" s="18">
        <f t="shared" si="9"/>
        <v>0</v>
      </c>
      <c r="N72" s="18">
        <f t="shared" si="2"/>
        <v>40.090000000000003</v>
      </c>
      <c r="O72" s="8"/>
    </row>
    <row r="73" spans="1:15">
      <c r="A73" s="1" t="s">
        <v>63</v>
      </c>
      <c r="B73" s="11" t="s">
        <v>138</v>
      </c>
      <c r="C73" s="11">
        <v>0</v>
      </c>
      <c r="D73" s="11">
        <v>0</v>
      </c>
      <c r="E73" s="11">
        <v>0</v>
      </c>
      <c r="F73" s="11">
        <f t="shared" si="0"/>
        <v>0</v>
      </c>
      <c r="G73" s="17">
        <f t="shared" si="3"/>
        <v>11.79</v>
      </c>
      <c r="H73" s="17">
        <f t="shared" si="4"/>
        <v>0</v>
      </c>
      <c r="I73" s="17">
        <f t="shared" si="5"/>
        <v>0</v>
      </c>
      <c r="J73" s="18">
        <f t="shared" si="6"/>
        <v>0</v>
      </c>
      <c r="K73" s="18">
        <f t="shared" si="7"/>
        <v>0</v>
      </c>
      <c r="L73" s="18">
        <f t="shared" si="1"/>
        <v>11.79</v>
      </c>
      <c r="M73" s="18">
        <f t="shared" si="9"/>
        <v>0</v>
      </c>
      <c r="N73" s="18">
        <f t="shared" si="2"/>
        <v>11.79</v>
      </c>
      <c r="O73" s="8"/>
    </row>
    <row r="74" spans="1:15">
      <c r="A74" s="1" t="s">
        <v>64</v>
      </c>
      <c r="B74" s="11"/>
      <c r="C74" s="11">
        <v>4859000</v>
      </c>
      <c r="D74" s="11">
        <v>4896000</v>
      </c>
      <c r="E74" s="11">
        <v>0</v>
      </c>
      <c r="F74" s="11">
        <f t="shared" si="0"/>
        <v>37000</v>
      </c>
      <c r="G74" s="17">
        <f t="shared" si="3"/>
        <v>40.090000000000003</v>
      </c>
      <c r="H74" s="17">
        <f t="shared" si="4"/>
        <v>21.8</v>
      </c>
      <c r="I74" s="17">
        <f t="shared" si="5"/>
        <v>25.299999999999997</v>
      </c>
      <c r="J74" s="18">
        <f t="shared" si="6"/>
        <v>20.650000000000002</v>
      </c>
      <c r="K74" s="18">
        <f t="shared" si="7"/>
        <v>0</v>
      </c>
      <c r="L74" s="18">
        <f t="shared" si="1"/>
        <v>107.84</v>
      </c>
      <c r="M74" s="18">
        <f t="shared" si="9"/>
        <v>2.5832461435278335</v>
      </c>
      <c r="N74" s="18">
        <f t="shared" si="2"/>
        <v>110.42324614352783</v>
      </c>
      <c r="O74" s="8"/>
    </row>
    <row r="75" spans="1:15">
      <c r="A75" s="1" t="s">
        <v>65</v>
      </c>
      <c r="B75" s="11"/>
      <c r="C75" s="11">
        <v>6555000</v>
      </c>
      <c r="D75" s="11">
        <v>6623000</v>
      </c>
      <c r="E75" s="11">
        <v>0</v>
      </c>
      <c r="F75" s="11">
        <f t="shared" si="0"/>
        <v>68000</v>
      </c>
      <c r="G75" s="17">
        <f t="shared" si="3"/>
        <v>40.090000000000003</v>
      </c>
      <c r="H75" s="17">
        <f t="shared" si="4"/>
        <v>21.8</v>
      </c>
      <c r="I75" s="17">
        <f t="shared" si="5"/>
        <v>25.299999999999997</v>
      </c>
      <c r="J75" s="18">
        <f t="shared" si="6"/>
        <v>29.5</v>
      </c>
      <c r="K75" s="18">
        <f t="shared" si="7"/>
        <v>95.759999999999991</v>
      </c>
      <c r="L75" s="18">
        <f t="shared" si="1"/>
        <v>212.45</v>
      </c>
      <c r="M75" s="18">
        <f t="shared" si="9"/>
        <v>42.623561368209252</v>
      </c>
      <c r="N75" s="18">
        <f t="shared" si="2"/>
        <v>255.07356136820925</v>
      </c>
      <c r="O75" s="8"/>
    </row>
    <row r="76" spans="1:15">
      <c r="A76" s="1" t="s">
        <v>66</v>
      </c>
      <c r="B76" s="11"/>
      <c r="C76" s="11">
        <v>9190000</v>
      </c>
      <c r="D76" s="11">
        <v>9207000</v>
      </c>
      <c r="E76" s="11">
        <v>0</v>
      </c>
      <c r="F76" s="11">
        <f t="shared" ref="F76:F136" si="10">($D76-$C76)+$E76</f>
        <v>17000</v>
      </c>
      <c r="G76" s="17">
        <f t="shared" si="3"/>
        <v>40.090000000000003</v>
      </c>
      <c r="H76" s="17">
        <f t="shared" si="4"/>
        <v>15.260000000000002</v>
      </c>
      <c r="I76" s="17">
        <f t="shared" si="5"/>
        <v>0</v>
      </c>
      <c r="J76" s="18">
        <f t="shared" si="6"/>
        <v>0</v>
      </c>
      <c r="K76" s="18">
        <f t="shared" si="7"/>
        <v>0</v>
      </c>
      <c r="L76" s="18">
        <f t="shared" ref="L76:L136" si="11">SUM(G76:K76)</f>
        <v>55.350000000000009</v>
      </c>
      <c r="M76" s="18">
        <f t="shared" si="9"/>
        <v>0</v>
      </c>
      <c r="N76" s="18">
        <f t="shared" ref="N76:N136" si="12">SUM(L76:M76)</f>
        <v>55.350000000000009</v>
      </c>
      <c r="O76" s="8"/>
    </row>
    <row r="77" spans="1:15">
      <c r="A77" s="1" t="s">
        <v>67</v>
      </c>
      <c r="B77" s="11" t="s">
        <v>138</v>
      </c>
      <c r="C77" s="11">
        <v>0</v>
      </c>
      <c r="D77" s="11">
        <v>0</v>
      </c>
      <c r="E77" s="11">
        <v>0</v>
      </c>
      <c r="F77" s="11">
        <f t="shared" si="10"/>
        <v>0</v>
      </c>
      <c r="G77" s="17">
        <f t="shared" si="3"/>
        <v>11.79</v>
      </c>
      <c r="H77" s="17">
        <f t="shared" si="4"/>
        <v>0</v>
      </c>
      <c r="I77" s="17">
        <f t="shared" si="5"/>
        <v>0</v>
      </c>
      <c r="J77" s="18">
        <f t="shared" si="6"/>
        <v>0</v>
      </c>
      <c r="K77" s="18">
        <f t="shared" si="7"/>
        <v>0</v>
      </c>
      <c r="L77" s="18">
        <f t="shared" si="11"/>
        <v>11.79</v>
      </c>
      <c r="M77" s="18">
        <f t="shared" si="9"/>
        <v>0</v>
      </c>
      <c r="N77" s="18">
        <f t="shared" si="12"/>
        <v>11.79</v>
      </c>
      <c r="O77" s="8"/>
    </row>
    <row r="78" spans="1:15">
      <c r="A78" s="1" t="s">
        <v>68</v>
      </c>
      <c r="B78" s="11"/>
      <c r="C78" s="11">
        <v>3521000</v>
      </c>
      <c r="D78" s="11">
        <v>3559000</v>
      </c>
      <c r="E78" s="11">
        <v>0</v>
      </c>
      <c r="F78" s="11">
        <f t="shared" si="10"/>
        <v>38000</v>
      </c>
      <c r="G78" s="17">
        <f t="shared" si="3"/>
        <v>40.090000000000003</v>
      </c>
      <c r="H78" s="17">
        <f t="shared" si="4"/>
        <v>21.8</v>
      </c>
      <c r="I78" s="17">
        <f t="shared" si="5"/>
        <v>25.299999999999997</v>
      </c>
      <c r="J78" s="18">
        <f t="shared" si="6"/>
        <v>23.6</v>
      </c>
      <c r="K78" s="18">
        <f t="shared" si="7"/>
        <v>0</v>
      </c>
      <c r="L78" s="18">
        <f t="shared" si="11"/>
        <v>110.78999999999999</v>
      </c>
      <c r="M78" s="18">
        <f t="shared" si="9"/>
        <v>3.8748692152917505</v>
      </c>
      <c r="N78" s="18">
        <f t="shared" si="12"/>
        <v>114.66486921529174</v>
      </c>
      <c r="O78" s="8"/>
    </row>
    <row r="79" spans="1:15">
      <c r="A79" s="1" t="s">
        <v>69</v>
      </c>
      <c r="B79" s="11"/>
      <c r="C79" s="11">
        <v>2253000</v>
      </c>
      <c r="D79" s="11">
        <v>2280000</v>
      </c>
      <c r="E79" s="11">
        <v>0</v>
      </c>
      <c r="F79" s="11">
        <f t="shared" si="10"/>
        <v>27000</v>
      </c>
      <c r="G79" s="17">
        <f t="shared" si="3"/>
        <v>40.090000000000003</v>
      </c>
      <c r="H79" s="17">
        <f t="shared" si="4"/>
        <v>21.8</v>
      </c>
      <c r="I79" s="17">
        <f t="shared" si="5"/>
        <v>17.709999999999997</v>
      </c>
      <c r="J79" s="18">
        <f t="shared" si="6"/>
        <v>0</v>
      </c>
      <c r="K79" s="18">
        <f t="shared" si="7"/>
        <v>0</v>
      </c>
      <c r="L79" s="18">
        <f t="shared" si="11"/>
        <v>79.599999999999994</v>
      </c>
      <c r="M79" s="18">
        <f t="shared" si="9"/>
        <v>0</v>
      </c>
      <c r="N79" s="18">
        <f t="shared" si="12"/>
        <v>79.599999999999994</v>
      </c>
      <c r="O79" s="8"/>
    </row>
    <row r="80" spans="1:15">
      <c r="A80" s="1" t="s">
        <v>70</v>
      </c>
      <c r="B80" s="11"/>
      <c r="C80" s="11">
        <v>1358000</v>
      </c>
      <c r="D80" s="11">
        <v>1366000</v>
      </c>
      <c r="E80" s="11">
        <v>0</v>
      </c>
      <c r="F80" s="11">
        <f t="shared" si="10"/>
        <v>8000</v>
      </c>
      <c r="G80" s="17">
        <f t="shared" si="3"/>
        <v>40.090000000000003</v>
      </c>
      <c r="H80" s="17">
        <f t="shared" si="4"/>
        <v>0</v>
      </c>
      <c r="I80" s="17">
        <f t="shared" si="5"/>
        <v>0</v>
      </c>
      <c r="J80" s="18">
        <f t="shared" si="6"/>
        <v>0</v>
      </c>
      <c r="K80" s="18">
        <f t="shared" si="7"/>
        <v>0</v>
      </c>
      <c r="L80" s="18">
        <f t="shared" si="11"/>
        <v>40.090000000000003</v>
      </c>
      <c r="M80" s="18">
        <f t="shared" si="9"/>
        <v>0</v>
      </c>
      <c r="N80" s="18">
        <f t="shared" si="12"/>
        <v>40.090000000000003</v>
      </c>
      <c r="O80" s="8"/>
    </row>
    <row r="81" spans="1:15">
      <c r="A81" s="1" t="s">
        <v>71</v>
      </c>
      <c r="B81" s="11" t="s">
        <v>138</v>
      </c>
      <c r="C81" s="11">
        <v>0</v>
      </c>
      <c r="D81" s="11">
        <v>0</v>
      </c>
      <c r="E81" s="11">
        <v>0</v>
      </c>
      <c r="F81" s="11">
        <f t="shared" si="10"/>
        <v>0</v>
      </c>
      <c r="G81" s="17">
        <f t="shared" ref="G81:G136" si="13">IF(OR($F81&gt;0,$B81=""),40.09,11.79)</f>
        <v>11.79</v>
      </c>
      <c r="H81" s="17">
        <f t="shared" ref="H81:H136" si="14">IF(AND((($F81-10000)&gt;=0),(($F81-10000)&lt;= 10000)),($F81-10000)/1000*2.18,IF(($F81-10000)&gt;=10000,2.18*10,0))</f>
        <v>0</v>
      </c>
      <c r="I81" s="17">
        <f t="shared" ref="I81:I136" si="15">IF(AND((($F81-20000)&gt;=0),(($F81-20000)&lt;=10000)),($F81-20000)/1000*2.53,IF(($F81-20000)&gt;=10000,2.53*10,0))</f>
        <v>0</v>
      </c>
      <c r="J81" s="18">
        <f t="shared" ref="J81:J136" si="16">IF(AND((($F81-30000)&gt;=0),(($F81-30000)&lt;=10000)),($F81-30000)/1000*2.95,IF(($F81-30000)&gt;=10000,2.95*10,0))</f>
        <v>0</v>
      </c>
      <c r="K81" s="18">
        <f t="shared" ref="K81:K136" si="17">IF((($F81-40000)&gt;=0),($F81-40000)/1000*3.42,0)</f>
        <v>0</v>
      </c>
      <c r="L81" s="18">
        <f t="shared" si="11"/>
        <v>11.79</v>
      </c>
      <c r="M81" s="18">
        <f t="shared" ref="M81:M112" si="18">IF(   $H$5=1,    IF((F81-$H$6)&gt;0,((F81-$H$6)/$N$7)*$E$8,0),   IF(F81&gt;0,(F81/$N$4)*$E$8,0)    )</f>
        <v>0</v>
      </c>
      <c r="N81" s="18">
        <f t="shared" si="12"/>
        <v>11.79</v>
      </c>
      <c r="O81" s="8"/>
    </row>
    <row r="82" spans="1:15">
      <c r="A82" s="1" t="s">
        <v>72</v>
      </c>
      <c r="B82" s="11"/>
      <c r="C82" s="11">
        <v>67000</v>
      </c>
      <c r="D82" s="11">
        <v>96000</v>
      </c>
      <c r="E82" s="11">
        <v>0</v>
      </c>
      <c r="F82" s="11">
        <f t="shared" si="10"/>
        <v>29000</v>
      </c>
      <c r="G82" s="17">
        <f t="shared" si="13"/>
        <v>40.090000000000003</v>
      </c>
      <c r="H82" s="17">
        <f t="shared" si="14"/>
        <v>21.8</v>
      </c>
      <c r="I82" s="17">
        <f t="shared" si="15"/>
        <v>22.77</v>
      </c>
      <c r="J82" s="18">
        <f t="shared" si="16"/>
        <v>0</v>
      </c>
      <c r="K82" s="18">
        <f t="shared" si="17"/>
        <v>0</v>
      </c>
      <c r="L82" s="18">
        <f t="shared" si="11"/>
        <v>84.66</v>
      </c>
      <c r="M82" s="18">
        <f t="shared" si="18"/>
        <v>0</v>
      </c>
      <c r="N82" s="18">
        <f t="shared" si="12"/>
        <v>84.66</v>
      </c>
      <c r="O82" s="8" t="s">
        <v>139</v>
      </c>
    </row>
    <row r="83" spans="1:15">
      <c r="A83" s="1" t="s">
        <v>73</v>
      </c>
      <c r="B83" s="11"/>
      <c r="C83" s="11">
        <v>1900000</v>
      </c>
      <c r="D83" s="11">
        <v>1918000</v>
      </c>
      <c r="E83" s="11">
        <v>0</v>
      </c>
      <c r="F83" s="11">
        <f t="shared" si="10"/>
        <v>18000</v>
      </c>
      <c r="G83" s="17">
        <f t="shared" si="13"/>
        <v>40.090000000000003</v>
      </c>
      <c r="H83" s="17">
        <f t="shared" si="14"/>
        <v>17.440000000000001</v>
      </c>
      <c r="I83" s="17">
        <f t="shared" si="15"/>
        <v>0</v>
      </c>
      <c r="J83" s="18">
        <f t="shared" si="16"/>
        <v>0</v>
      </c>
      <c r="K83" s="18">
        <f t="shared" si="17"/>
        <v>0</v>
      </c>
      <c r="L83" s="18">
        <f t="shared" si="11"/>
        <v>57.53</v>
      </c>
      <c r="M83" s="18">
        <f t="shared" si="18"/>
        <v>0</v>
      </c>
      <c r="N83" s="18">
        <f t="shared" si="12"/>
        <v>57.53</v>
      </c>
      <c r="O83" s="8"/>
    </row>
    <row r="84" spans="1:15">
      <c r="A84" s="1" t="s">
        <v>74</v>
      </c>
      <c r="B84" s="11" t="s">
        <v>138</v>
      </c>
      <c r="C84" s="11">
        <v>0</v>
      </c>
      <c r="D84" s="11">
        <v>0</v>
      </c>
      <c r="E84" s="11">
        <v>0</v>
      </c>
      <c r="F84" s="11">
        <f t="shared" si="10"/>
        <v>0</v>
      </c>
      <c r="G84" s="17">
        <f t="shared" si="13"/>
        <v>11.79</v>
      </c>
      <c r="H84" s="17">
        <f t="shared" si="14"/>
        <v>0</v>
      </c>
      <c r="I84" s="17">
        <f t="shared" si="15"/>
        <v>0</v>
      </c>
      <c r="J84" s="18">
        <f t="shared" si="16"/>
        <v>0</v>
      </c>
      <c r="K84" s="18">
        <f t="shared" si="17"/>
        <v>0</v>
      </c>
      <c r="L84" s="18">
        <f t="shared" si="11"/>
        <v>11.79</v>
      </c>
      <c r="M84" s="18">
        <f t="shared" si="18"/>
        <v>0</v>
      </c>
      <c r="N84" s="18">
        <f t="shared" si="12"/>
        <v>11.79</v>
      </c>
      <c r="O84" s="8"/>
    </row>
    <row r="85" spans="1:15">
      <c r="A85" s="1" t="s">
        <v>75</v>
      </c>
      <c r="B85" s="11"/>
      <c r="C85" s="11">
        <v>716000</v>
      </c>
      <c r="D85" s="11">
        <v>719000</v>
      </c>
      <c r="E85" s="11">
        <v>0</v>
      </c>
      <c r="F85" s="11">
        <f t="shared" si="10"/>
        <v>3000</v>
      </c>
      <c r="G85" s="17">
        <f t="shared" si="13"/>
        <v>40.090000000000003</v>
      </c>
      <c r="H85" s="17">
        <f t="shared" si="14"/>
        <v>0</v>
      </c>
      <c r="I85" s="17">
        <f t="shared" si="15"/>
        <v>0</v>
      </c>
      <c r="J85" s="18">
        <f t="shared" si="16"/>
        <v>0</v>
      </c>
      <c r="K85" s="18">
        <f t="shared" si="17"/>
        <v>0</v>
      </c>
      <c r="L85" s="18">
        <f t="shared" si="11"/>
        <v>40.090000000000003</v>
      </c>
      <c r="M85" s="18">
        <f t="shared" si="18"/>
        <v>0</v>
      </c>
      <c r="N85" s="18">
        <f t="shared" si="12"/>
        <v>40.090000000000003</v>
      </c>
      <c r="O85" s="8"/>
    </row>
    <row r="86" spans="1:15">
      <c r="A86" s="1" t="s">
        <v>76</v>
      </c>
      <c r="B86" s="11"/>
      <c r="C86" s="11">
        <v>83000</v>
      </c>
      <c r="D86" s="11">
        <v>111000</v>
      </c>
      <c r="E86" s="11">
        <v>0</v>
      </c>
      <c r="F86" s="11">
        <f t="shared" si="10"/>
        <v>28000</v>
      </c>
      <c r="G86" s="17">
        <f t="shared" si="13"/>
        <v>40.090000000000003</v>
      </c>
      <c r="H86" s="17">
        <f t="shared" si="14"/>
        <v>21.8</v>
      </c>
      <c r="I86" s="17">
        <f t="shared" si="15"/>
        <v>20.239999999999998</v>
      </c>
      <c r="J86" s="18">
        <f t="shared" si="16"/>
        <v>0</v>
      </c>
      <c r="K86" s="18">
        <f t="shared" si="17"/>
        <v>0</v>
      </c>
      <c r="L86" s="18">
        <f t="shared" si="11"/>
        <v>82.13</v>
      </c>
      <c r="M86" s="18">
        <f t="shared" si="18"/>
        <v>0</v>
      </c>
      <c r="N86" s="18">
        <f t="shared" si="12"/>
        <v>82.13</v>
      </c>
      <c r="O86" s="8" t="s">
        <v>139</v>
      </c>
    </row>
    <row r="87" spans="1:15">
      <c r="A87" s="1" t="s">
        <v>77</v>
      </c>
      <c r="B87" s="11"/>
      <c r="C87" s="11">
        <v>76000</v>
      </c>
      <c r="D87" s="11">
        <v>86000</v>
      </c>
      <c r="E87" s="11">
        <v>0</v>
      </c>
      <c r="F87" s="11">
        <f t="shared" si="10"/>
        <v>10000</v>
      </c>
      <c r="G87" s="17">
        <f t="shared" si="13"/>
        <v>40.090000000000003</v>
      </c>
      <c r="H87" s="17">
        <f t="shared" si="14"/>
        <v>0</v>
      </c>
      <c r="I87" s="17">
        <f t="shared" si="15"/>
        <v>0</v>
      </c>
      <c r="J87" s="18">
        <f t="shared" si="16"/>
        <v>0</v>
      </c>
      <c r="K87" s="18">
        <f t="shared" si="17"/>
        <v>0</v>
      </c>
      <c r="L87" s="18">
        <f t="shared" si="11"/>
        <v>40.090000000000003</v>
      </c>
      <c r="M87" s="18">
        <f t="shared" si="18"/>
        <v>0</v>
      </c>
      <c r="N87" s="18">
        <f t="shared" si="12"/>
        <v>40.090000000000003</v>
      </c>
      <c r="O87" s="8"/>
    </row>
    <row r="88" spans="1:15">
      <c r="A88" s="1" t="s">
        <v>78</v>
      </c>
      <c r="B88" s="11"/>
      <c r="C88" s="11">
        <v>1176000</v>
      </c>
      <c r="D88" s="11">
        <v>1225000</v>
      </c>
      <c r="E88" s="11">
        <v>0</v>
      </c>
      <c r="F88" s="11">
        <f t="shared" si="10"/>
        <v>49000</v>
      </c>
      <c r="G88" s="17">
        <f t="shared" si="13"/>
        <v>40.090000000000003</v>
      </c>
      <c r="H88" s="17">
        <f t="shared" si="14"/>
        <v>21.8</v>
      </c>
      <c r="I88" s="17">
        <f t="shared" si="15"/>
        <v>25.299999999999997</v>
      </c>
      <c r="J88" s="18">
        <f t="shared" si="16"/>
        <v>29.5</v>
      </c>
      <c r="K88" s="18">
        <f t="shared" si="17"/>
        <v>30.78</v>
      </c>
      <c r="L88" s="18">
        <f t="shared" si="11"/>
        <v>147.47</v>
      </c>
      <c r="M88" s="18">
        <f t="shared" si="18"/>
        <v>18.082723004694834</v>
      </c>
      <c r="N88" s="18">
        <f t="shared" si="12"/>
        <v>165.55272300469483</v>
      </c>
      <c r="O88" s="8"/>
    </row>
    <row r="89" spans="1:15">
      <c r="A89" s="1" t="s">
        <v>79</v>
      </c>
      <c r="B89" s="11"/>
      <c r="C89" s="11">
        <v>3412000</v>
      </c>
      <c r="D89" s="11">
        <v>3422000</v>
      </c>
      <c r="E89" s="11">
        <v>0</v>
      </c>
      <c r="F89" s="11">
        <f t="shared" si="10"/>
        <v>10000</v>
      </c>
      <c r="G89" s="17">
        <f t="shared" si="13"/>
        <v>40.090000000000003</v>
      </c>
      <c r="H89" s="17">
        <f t="shared" si="14"/>
        <v>0</v>
      </c>
      <c r="I89" s="17">
        <f t="shared" si="15"/>
        <v>0</v>
      </c>
      <c r="J89" s="18">
        <f t="shared" si="16"/>
        <v>0</v>
      </c>
      <c r="K89" s="18">
        <f t="shared" si="17"/>
        <v>0</v>
      </c>
      <c r="L89" s="18">
        <f t="shared" si="11"/>
        <v>40.090000000000003</v>
      </c>
      <c r="M89" s="18">
        <f t="shared" si="18"/>
        <v>0</v>
      </c>
      <c r="N89" s="18">
        <f t="shared" si="12"/>
        <v>40.090000000000003</v>
      </c>
      <c r="O89" s="8"/>
    </row>
    <row r="90" spans="1:15">
      <c r="A90" s="1" t="s">
        <v>80</v>
      </c>
      <c r="B90" s="11"/>
      <c r="C90" s="11">
        <v>3008000</v>
      </c>
      <c r="D90" s="11">
        <v>3011000</v>
      </c>
      <c r="E90" s="11">
        <v>0</v>
      </c>
      <c r="F90" s="11">
        <f t="shared" si="10"/>
        <v>3000</v>
      </c>
      <c r="G90" s="17">
        <f t="shared" si="13"/>
        <v>40.090000000000003</v>
      </c>
      <c r="H90" s="17">
        <f t="shared" si="14"/>
        <v>0</v>
      </c>
      <c r="I90" s="17">
        <f t="shared" si="15"/>
        <v>0</v>
      </c>
      <c r="J90" s="18">
        <f t="shared" si="16"/>
        <v>0</v>
      </c>
      <c r="K90" s="18">
        <f t="shared" si="17"/>
        <v>0</v>
      </c>
      <c r="L90" s="18">
        <f t="shared" si="11"/>
        <v>40.090000000000003</v>
      </c>
      <c r="M90" s="18">
        <f t="shared" si="18"/>
        <v>0</v>
      </c>
      <c r="N90" s="18">
        <f t="shared" si="12"/>
        <v>40.090000000000003</v>
      </c>
      <c r="O90" s="8"/>
    </row>
    <row r="91" spans="1:15">
      <c r="A91" s="1" t="s">
        <v>81</v>
      </c>
      <c r="B91" s="11" t="s">
        <v>138</v>
      </c>
      <c r="C91" s="11">
        <v>0</v>
      </c>
      <c r="D91" s="11">
        <v>0</v>
      </c>
      <c r="E91" s="11">
        <v>0</v>
      </c>
      <c r="F91" s="11">
        <f t="shared" si="10"/>
        <v>0</v>
      </c>
      <c r="G91" s="17">
        <f t="shared" si="13"/>
        <v>11.79</v>
      </c>
      <c r="H91" s="17">
        <f t="shared" si="14"/>
        <v>0</v>
      </c>
      <c r="I91" s="17">
        <f t="shared" si="15"/>
        <v>0</v>
      </c>
      <c r="J91" s="18">
        <f t="shared" si="16"/>
        <v>0</v>
      </c>
      <c r="K91" s="18">
        <f t="shared" si="17"/>
        <v>0</v>
      </c>
      <c r="L91" s="18">
        <f t="shared" si="11"/>
        <v>11.79</v>
      </c>
      <c r="M91" s="18">
        <f t="shared" si="18"/>
        <v>0</v>
      </c>
      <c r="N91" s="18">
        <f t="shared" si="12"/>
        <v>11.79</v>
      </c>
      <c r="O91" s="8"/>
    </row>
    <row r="92" spans="1:15">
      <c r="A92" s="1" t="s">
        <v>82</v>
      </c>
      <c r="B92" s="11"/>
      <c r="C92" s="11">
        <v>3138000</v>
      </c>
      <c r="D92" s="11">
        <v>3212000</v>
      </c>
      <c r="E92" s="11">
        <v>0</v>
      </c>
      <c r="F92" s="11">
        <f t="shared" si="10"/>
        <v>74000</v>
      </c>
      <c r="G92" s="17">
        <f t="shared" si="13"/>
        <v>40.090000000000003</v>
      </c>
      <c r="H92" s="17">
        <f t="shared" si="14"/>
        <v>21.8</v>
      </c>
      <c r="I92" s="17">
        <f t="shared" si="15"/>
        <v>25.299999999999997</v>
      </c>
      <c r="J92" s="18">
        <f t="shared" si="16"/>
        <v>29.5</v>
      </c>
      <c r="K92" s="18">
        <f t="shared" si="17"/>
        <v>116.28</v>
      </c>
      <c r="L92" s="18">
        <f t="shared" si="11"/>
        <v>232.97</v>
      </c>
      <c r="M92" s="18">
        <f t="shared" si="18"/>
        <v>50.373299798792758</v>
      </c>
      <c r="N92" s="18">
        <f t="shared" si="12"/>
        <v>283.34329979879277</v>
      </c>
      <c r="O92" s="8"/>
    </row>
    <row r="93" spans="1:15">
      <c r="A93" s="1" t="s">
        <v>83</v>
      </c>
      <c r="B93" s="11"/>
      <c r="C93" s="11">
        <v>7481000</v>
      </c>
      <c r="D93" s="11">
        <v>7540000</v>
      </c>
      <c r="E93" s="11">
        <v>0</v>
      </c>
      <c r="F93" s="11">
        <f t="shared" si="10"/>
        <v>59000</v>
      </c>
      <c r="G93" s="17">
        <f t="shared" si="13"/>
        <v>40.090000000000003</v>
      </c>
      <c r="H93" s="17">
        <f t="shared" si="14"/>
        <v>21.8</v>
      </c>
      <c r="I93" s="17">
        <f t="shared" si="15"/>
        <v>25.299999999999997</v>
      </c>
      <c r="J93" s="18">
        <f t="shared" si="16"/>
        <v>29.5</v>
      </c>
      <c r="K93" s="18">
        <f t="shared" si="17"/>
        <v>64.98</v>
      </c>
      <c r="L93" s="18">
        <f t="shared" si="11"/>
        <v>181.67000000000002</v>
      </c>
      <c r="M93" s="18">
        <f t="shared" si="18"/>
        <v>30.998953722334004</v>
      </c>
      <c r="N93" s="18">
        <f t="shared" si="12"/>
        <v>212.66895372233401</v>
      </c>
      <c r="O93" s="8"/>
    </row>
    <row r="94" spans="1:15">
      <c r="A94" s="1" t="s">
        <v>84</v>
      </c>
      <c r="B94" s="11"/>
      <c r="C94" s="11">
        <v>2971000</v>
      </c>
      <c r="D94" s="11">
        <v>3007000</v>
      </c>
      <c r="E94" s="11">
        <v>0</v>
      </c>
      <c r="F94" s="11">
        <f t="shared" si="10"/>
        <v>36000</v>
      </c>
      <c r="G94" s="17">
        <f t="shared" si="13"/>
        <v>40.090000000000003</v>
      </c>
      <c r="H94" s="17">
        <f t="shared" si="14"/>
        <v>21.8</v>
      </c>
      <c r="I94" s="17">
        <f t="shared" si="15"/>
        <v>25.299999999999997</v>
      </c>
      <c r="J94" s="18">
        <f t="shared" si="16"/>
        <v>17.700000000000003</v>
      </c>
      <c r="K94" s="18">
        <f t="shared" si="17"/>
        <v>0</v>
      </c>
      <c r="L94" s="18">
        <f t="shared" si="11"/>
        <v>104.89</v>
      </c>
      <c r="M94" s="18">
        <f t="shared" si="18"/>
        <v>1.2916230717639168</v>
      </c>
      <c r="N94" s="18">
        <f t="shared" si="12"/>
        <v>106.18162307176392</v>
      </c>
      <c r="O94" s="8"/>
    </row>
    <row r="95" spans="1:15">
      <c r="A95" s="1" t="s">
        <v>85</v>
      </c>
      <c r="B95" s="11"/>
      <c r="C95" s="11">
        <v>1972000</v>
      </c>
      <c r="D95" s="11">
        <v>2005000</v>
      </c>
      <c r="E95" s="11">
        <v>0</v>
      </c>
      <c r="F95" s="11">
        <f t="shared" si="10"/>
        <v>33000</v>
      </c>
      <c r="G95" s="17">
        <f t="shared" si="13"/>
        <v>40.090000000000003</v>
      </c>
      <c r="H95" s="17">
        <f t="shared" si="14"/>
        <v>21.8</v>
      </c>
      <c r="I95" s="17">
        <f t="shared" si="15"/>
        <v>25.299999999999997</v>
      </c>
      <c r="J95" s="18">
        <f t="shared" si="16"/>
        <v>8.8500000000000014</v>
      </c>
      <c r="K95" s="18">
        <f t="shared" si="17"/>
        <v>0</v>
      </c>
      <c r="L95" s="18">
        <f t="shared" si="11"/>
        <v>96.039999999999992</v>
      </c>
      <c r="M95" s="18">
        <f t="shared" si="18"/>
        <v>0</v>
      </c>
      <c r="N95" s="18">
        <f t="shared" si="12"/>
        <v>96.039999999999992</v>
      </c>
      <c r="O95" s="8"/>
    </row>
    <row r="96" spans="1:15">
      <c r="A96" s="1" t="s">
        <v>86</v>
      </c>
      <c r="B96" s="11"/>
      <c r="C96" s="11">
        <v>1824000</v>
      </c>
      <c r="D96" s="11">
        <v>1831000</v>
      </c>
      <c r="E96" s="11">
        <v>0</v>
      </c>
      <c r="F96" s="11">
        <f t="shared" si="10"/>
        <v>7000</v>
      </c>
      <c r="G96" s="17">
        <f t="shared" si="13"/>
        <v>40.090000000000003</v>
      </c>
      <c r="H96" s="17">
        <f t="shared" si="14"/>
        <v>0</v>
      </c>
      <c r="I96" s="17">
        <f t="shared" si="15"/>
        <v>0</v>
      </c>
      <c r="J96" s="18">
        <f t="shared" si="16"/>
        <v>0</v>
      </c>
      <c r="K96" s="18">
        <f t="shared" si="17"/>
        <v>0</v>
      </c>
      <c r="L96" s="18">
        <f t="shared" si="11"/>
        <v>40.090000000000003</v>
      </c>
      <c r="M96" s="18">
        <f t="shared" si="18"/>
        <v>0</v>
      </c>
      <c r="N96" s="18">
        <f t="shared" si="12"/>
        <v>40.090000000000003</v>
      </c>
      <c r="O96" s="8"/>
    </row>
    <row r="97" spans="1:15">
      <c r="A97" s="1" t="s">
        <v>87</v>
      </c>
      <c r="B97" s="11" t="s">
        <v>138</v>
      </c>
      <c r="C97" s="11">
        <v>0</v>
      </c>
      <c r="D97" s="11">
        <v>0</v>
      </c>
      <c r="E97" s="11">
        <v>0</v>
      </c>
      <c r="F97" s="11">
        <f t="shared" si="10"/>
        <v>0</v>
      </c>
      <c r="G97" s="17">
        <f t="shared" si="13"/>
        <v>11.79</v>
      </c>
      <c r="H97" s="17">
        <f t="shared" si="14"/>
        <v>0</v>
      </c>
      <c r="I97" s="17">
        <f t="shared" si="15"/>
        <v>0</v>
      </c>
      <c r="J97" s="18">
        <f t="shared" si="16"/>
        <v>0</v>
      </c>
      <c r="K97" s="18">
        <f t="shared" si="17"/>
        <v>0</v>
      </c>
      <c r="L97" s="18">
        <f t="shared" si="11"/>
        <v>11.79</v>
      </c>
      <c r="M97" s="18">
        <f t="shared" si="18"/>
        <v>0</v>
      </c>
      <c r="N97" s="18">
        <f t="shared" si="12"/>
        <v>11.79</v>
      </c>
      <c r="O97" s="8"/>
    </row>
    <row r="98" spans="1:15">
      <c r="A98" s="1" t="s">
        <v>88</v>
      </c>
      <c r="B98" s="11"/>
      <c r="C98" s="11">
        <v>1221000</v>
      </c>
      <c r="D98" s="11">
        <v>1229000</v>
      </c>
      <c r="E98" s="11">
        <v>0</v>
      </c>
      <c r="F98" s="11">
        <f t="shared" si="10"/>
        <v>8000</v>
      </c>
      <c r="G98" s="17">
        <f t="shared" si="13"/>
        <v>40.090000000000003</v>
      </c>
      <c r="H98" s="17">
        <f t="shared" si="14"/>
        <v>0</v>
      </c>
      <c r="I98" s="17">
        <f t="shared" si="15"/>
        <v>0</v>
      </c>
      <c r="J98" s="18">
        <f t="shared" si="16"/>
        <v>0</v>
      </c>
      <c r="K98" s="18">
        <f t="shared" si="17"/>
        <v>0</v>
      </c>
      <c r="L98" s="18">
        <f t="shared" si="11"/>
        <v>40.090000000000003</v>
      </c>
      <c r="M98" s="18">
        <f t="shared" si="18"/>
        <v>0</v>
      </c>
      <c r="N98" s="18">
        <f t="shared" si="12"/>
        <v>40.090000000000003</v>
      </c>
      <c r="O98" s="8"/>
    </row>
    <row r="99" spans="1:15">
      <c r="A99" s="1" t="s">
        <v>89</v>
      </c>
      <c r="B99" s="11"/>
      <c r="C99" s="11">
        <v>2178000</v>
      </c>
      <c r="D99" s="11">
        <v>2228000</v>
      </c>
      <c r="E99" s="11">
        <v>0</v>
      </c>
      <c r="F99" s="11">
        <f t="shared" si="10"/>
        <v>50000</v>
      </c>
      <c r="G99" s="17">
        <f t="shared" si="13"/>
        <v>40.090000000000003</v>
      </c>
      <c r="H99" s="17">
        <f t="shared" si="14"/>
        <v>21.8</v>
      </c>
      <c r="I99" s="17">
        <f t="shared" si="15"/>
        <v>25.299999999999997</v>
      </c>
      <c r="J99" s="18">
        <f t="shared" si="16"/>
        <v>29.5</v>
      </c>
      <c r="K99" s="18">
        <f t="shared" si="17"/>
        <v>34.200000000000003</v>
      </c>
      <c r="L99" s="18">
        <f t="shared" si="11"/>
        <v>150.88999999999999</v>
      </c>
      <c r="M99" s="18">
        <f t="shared" si="18"/>
        <v>19.374346076458753</v>
      </c>
      <c r="N99" s="18">
        <f t="shared" si="12"/>
        <v>170.26434607645874</v>
      </c>
      <c r="O99" s="8"/>
    </row>
    <row r="100" spans="1:15">
      <c r="A100" s="1" t="s">
        <v>90</v>
      </c>
      <c r="B100" s="11"/>
      <c r="C100" s="11">
        <v>1220000</v>
      </c>
      <c r="D100" s="11">
        <v>1226000</v>
      </c>
      <c r="E100" s="11">
        <v>0</v>
      </c>
      <c r="F100" s="11">
        <f t="shared" si="10"/>
        <v>6000</v>
      </c>
      <c r="G100" s="17">
        <f t="shared" si="13"/>
        <v>40.090000000000003</v>
      </c>
      <c r="H100" s="17">
        <f t="shared" si="14"/>
        <v>0</v>
      </c>
      <c r="I100" s="17">
        <f t="shared" si="15"/>
        <v>0</v>
      </c>
      <c r="J100" s="18">
        <f t="shared" si="16"/>
        <v>0</v>
      </c>
      <c r="K100" s="18">
        <f t="shared" si="17"/>
        <v>0</v>
      </c>
      <c r="L100" s="18">
        <f t="shared" si="11"/>
        <v>40.090000000000003</v>
      </c>
      <c r="M100" s="18">
        <f t="shared" si="18"/>
        <v>0</v>
      </c>
      <c r="N100" s="18">
        <f t="shared" si="12"/>
        <v>40.090000000000003</v>
      </c>
      <c r="O100" s="8"/>
    </row>
    <row r="101" spans="1:15">
      <c r="A101" s="1" t="s">
        <v>91</v>
      </c>
      <c r="B101" s="11"/>
      <c r="C101" s="11">
        <v>230700</v>
      </c>
      <c r="D101" s="11">
        <v>238200</v>
      </c>
      <c r="E101" s="11">
        <v>0</v>
      </c>
      <c r="F101" s="11">
        <f t="shared" si="10"/>
        <v>7500</v>
      </c>
      <c r="G101" s="17">
        <f t="shared" si="13"/>
        <v>40.090000000000003</v>
      </c>
      <c r="H101" s="17">
        <f t="shared" si="14"/>
        <v>0</v>
      </c>
      <c r="I101" s="17">
        <f t="shared" si="15"/>
        <v>0</v>
      </c>
      <c r="J101" s="18">
        <f t="shared" si="16"/>
        <v>0</v>
      </c>
      <c r="K101" s="18">
        <f t="shared" si="17"/>
        <v>0</v>
      </c>
      <c r="L101" s="18">
        <f t="shared" si="11"/>
        <v>40.090000000000003</v>
      </c>
      <c r="M101" s="18">
        <f t="shared" si="18"/>
        <v>0</v>
      </c>
      <c r="N101" s="18">
        <f t="shared" si="12"/>
        <v>40.090000000000003</v>
      </c>
      <c r="O101" s="8"/>
    </row>
    <row r="102" spans="1:15">
      <c r="A102" s="1" t="s">
        <v>92</v>
      </c>
      <c r="B102" s="11"/>
      <c r="C102" s="11">
        <v>2502000</v>
      </c>
      <c r="D102" s="11">
        <v>2507000</v>
      </c>
      <c r="E102" s="11">
        <v>0</v>
      </c>
      <c r="F102" s="11">
        <f t="shared" si="10"/>
        <v>5000</v>
      </c>
      <c r="G102" s="17">
        <f t="shared" si="13"/>
        <v>40.090000000000003</v>
      </c>
      <c r="H102" s="17">
        <f t="shared" si="14"/>
        <v>0</v>
      </c>
      <c r="I102" s="17">
        <f t="shared" si="15"/>
        <v>0</v>
      </c>
      <c r="J102" s="18">
        <f t="shared" si="16"/>
        <v>0</v>
      </c>
      <c r="K102" s="18">
        <f t="shared" si="17"/>
        <v>0</v>
      </c>
      <c r="L102" s="18">
        <f t="shared" si="11"/>
        <v>40.090000000000003</v>
      </c>
      <c r="M102" s="18">
        <f t="shared" si="18"/>
        <v>0</v>
      </c>
      <c r="N102" s="18">
        <f t="shared" si="12"/>
        <v>40.090000000000003</v>
      </c>
      <c r="O102" s="8"/>
    </row>
    <row r="103" spans="1:15">
      <c r="A103" s="1" t="s">
        <v>93</v>
      </c>
      <c r="B103" s="11" t="s">
        <v>138</v>
      </c>
      <c r="C103" s="11">
        <v>0</v>
      </c>
      <c r="D103" s="11">
        <v>0</v>
      </c>
      <c r="E103" s="11">
        <v>0</v>
      </c>
      <c r="F103" s="11">
        <f t="shared" si="10"/>
        <v>0</v>
      </c>
      <c r="G103" s="17">
        <f t="shared" si="13"/>
        <v>11.79</v>
      </c>
      <c r="H103" s="17">
        <f t="shared" si="14"/>
        <v>0</v>
      </c>
      <c r="I103" s="17">
        <f t="shared" si="15"/>
        <v>0</v>
      </c>
      <c r="J103" s="18">
        <f t="shared" si="16"/>
        <v>0</v>
      </c>
      <c r="K103" s="18">
        <f t="shared" si="17"/>
        <v>0</v>
      </c>
      <c r="L103" s="18">
        <f t="shared" si="11"/>
        <v>11.79</v>
      </c>
      <c r="M103" s="18">
        <f t="shared" si="18"/>
        <v>0</v>
      </c>
      <c r="N103" s="18">
        <f t="shared" si="12"/>
        <v>11.79</v>
      </c>
      <c r="O103" s="8"/>
    </row>
    <row r="104" spans="1:15">
      <c r="A104" s="1" t="s">
        <v>94</v>
      </c>
      <c r="B104" s="11" t="s">
        <v>138</v>
      </c>
      <c r="C104" s="11">
        <v>0</v>
      </c>
      <c r="D104" s="11">
        <v>0</v>
      </c>
      <c r="E104" s="11">
        <v>0</v>
      </c>
      <c r="F104" s="11">
        <f t="shared" si="10"/>
        <v>0</v>
      </c>
      <c r="G104" s="17">
        <f t="shared" si="13"/>
        <v>11.79</v>
      </c>
      <c r="H104" s="17">
        <f t="shared" si="14"/>
        <v>0</v>
      </c>
      <c r="I104" s="17">
        <f t="shared" si="15"/>
        <v>0</v>
      </c>
      <c r="J104" s="18">
        <f t="shared" si="16"/>
        <v>0</v>
      </c>
      <c r="K104" s="18">
        <f t="shared" si="17"/>
        <v>0</v>
      </c>
      <c r="L104" s="18">
        <f t="shared" si="11"/>
        <v>11.79</v>
      </c>
      <c r="M104" s="18">
        <f t="shared" si="18"/>
        <v>0</v>
      </c>
      <c r="N104" s="18">
        <f t="shared" si="12"/>
        <v>11.79</v>
      </c>
      <c r="O104" s="8"/>
    </row>
    <row r="105" spans="1:15">
      <c r="A105" s="1" t="s">
        <v>95</v>
      </c>
      <c r="B105" s="11" t="s">
        <v>138</v>
      </c>
      <c r="C105" s="11">
        <v>0</v>
      </c>
      <c r="D105" s="11">
        <v>0</v>
      </c>
      <c r="E105" s="11">
        <v>0</v>
      </c>
      <c r="F105" s="11">
        <f t="shared" si="10"/>
        <v>0</v>
      </c>
      <c r="G105" s="17">
        <f t="shared" si="13"/>
        <v>11.79</v>
      </c>
      <c r="H105" s="17">
        <f t="shared" si="14"/>
        <v>0</v>
      </c>
      <c r="I105" s="17">
        <f t="shared" si="15"/>
        <v>0</v>
      </c>
      <c r="J105" s="18">
        <f t="shared" si="16"/>
        <v>0</v>
      </c>
      <c r="K105" s="18">
        <f t="shared" si="17"/>
        <v>0</v>
      </c>
      <c r="L105" s="18">
        <f t="shared" si="11"/>
        <v>11.79</v>
      </c>
      <c r="M105" s="18">
        <f t="shared" si="18"/>
        <v>0</v>
      </c>
      <c r="N105" s="18">
        <f t="shared" si="12"/>
        <v>11.79</v>
      </c>
      <c r="O105" s="8"/>
    </row>
    <row r="106" spans="1:15">
      <c r="A106" s="1" t="s">
        <v>96</v>
      </c>
      <c r="B106" s="11"/>
      <c r="C106" s="11">
        <v>1808000</v>
      </c>
      <c r="D106" s="11">
        <v>1824000</v>
      </c>
      <c r="E106" s="11">
        <v>0</v>
      </c>
      <c r="F106" s="11">
        <f t="shared" si="10"/>
        <v>16000</v>
      </c>
      <c r="G106" s="17">
        <f t="shared" si="13"/>
        <v>40.090000000000003</v>
      </c>
      <c r="H106" s="17">
        <f t="shared" si="14"/>
        <v>13.080000000000002</v>
      </c>
      <c r="I106" s="17">
        <f t="shared" si="15"/>
        <v>0</v>
      </c>
      <c r="J106" s="18">
        <f t="shared" si="16"/>
        <v>0</v>
      </c>
      <c r="K106" s="18">
        <f t="shared" si="17"/>
        <v>0</v>
      </c>
      <c r="L106" s="18">
        <f t="shared" si="11"/>
        <v>53.17</v>
      </c>
      <c r="M106" s="18">
        <f t="shared" si="18"/>
        <v>0</v>
      </c>
      <c r="N106" s="18">
        <f t="shared" si="12"/>
        <v>53.17</v>
      </c>
      <c r="O106" s="8"/>
    </row>
    <row r="107" spans="1:15">
      <c r="A107" s="1" t="s">
        <v>97</v>
      </c>
      <c r="B107" s="11" t="s">
        <v>138</v>
      </c>
      <c r="C107" s="11">
        <v>0</v>
      </c>
      <c r="D107" s="11">
        <v>0</v>
      </c>
      <c r="E107" s="11">
        <v>0</v>
      </c>
      <c r="F107" s="11">
        <f t="shared" si="10"/>
        <v>0</v>
      </c>
      <c r="G107" s="17">
        <f t="shared" si="13"/>
        <v>11.79</v>
      </c>
      <c r="H107" s="17">
        <f t="shared" si="14"/>
        <v>0</v>
      </c>
      <c r="I107" s="17">
        <f t="shared" si="15"/>
        <v>0</v>
      </c>
      <c r="J107" s="18">
        <f t="shared" si="16"/>
        <v>0</v>
      </c>
      <c r="K107" s="18">
        <f t="shared" si="17"/>
        <v>0</v>
      </c>
      <c r="L107" s="18">
        <f t="shared" si="11"/>
        <v>11.79</v>
      </c>
      <c r="M107" s="18">
        <f t="shared" si="18"/>
        <v>0</v>
      </c>
      <c r="N107" s="18">
        <f t="shared" si="12"/>
        <v>11.79</v>
      </c>
      <c r="O107" s="8"/>
    </row>
    <row r="108" spans="1:15">
      <c r="A108" s="1" t="s">
        <v>98</v>
      </c>
      <c r="B108" s="11" t="s">
        <v>138</v>
      </c>
      <c r="C108" s="11">
        <v>0</v>
      </c>
      <c r="D108" s="11">
        <v>0</v>
      </c>
      <c r="E108" s="11">
        <v>0</v>
      </c>
      <c r="F108" s="11">
        <f t="shared" si="10"/>
        <v>0</v>
      </c>
      <c r="G108" s="17">
        <f t="shared" si="13"/>
        <v>11.79</v>
      </c>
      <c r="H108" s="17">
        <f t="shared" si="14"/>
        <v>0</v>
      </c>
      <c r="I108" s="17">
        <f t="shared" si="15"/>
        <v>0</v>
      </c>
      <c r="J108" s="18">
        <f t="shared" si="16"/>
        <v>0</v>
      </c>
      <c r="K108" s="18">
        <f t="shared" si="17"/>
        <v>0</v>
      </c>
      <c r="L108" s="18">
        <f t="shared" si="11"/>
        <v>11.79</v>
      </c>
      <c r="M108" s="18">
        <f t="shared" si="18"/>
        <v>0</v>
      </c>
      <c r="N108" s="18">
        <f t="shared" si="12"/>
        <v>11.79</v>
      </c>
      <c r="O108" s="8"/>
    </row>
    <row r="109" spans="1:15">
      <c r="A109" s="1" t="s">
        <v>99</v>
      </c>
      <c r="B109" s="11"/>
      <c r="C109" s="11">
        <v>1648000</v>
      </c>
      <c r="D109" s="11">
        <v>1655000</v>
      </c>
      <c r="E109" s="11">
        <v>0</v>
      </c>
      <c r="F109" s="11">
        <f t="shared" si="10"/>
        <v>7000</v>
      </c>
      <c r="G109" s="17">
        <f t="shared" si="13"/>
        <v>40.090000000000003</v>
      </c>
      <c r="H109" s="17">
        <f t="shared" si="14"/>
        <v>0</v>
      </c>
      <c r="I109" s="17">
        <f t="shared" si="15"/>
        <v>0</v>
      </c>
      <c r="J109" s="18">
        <f t="shared" si="16"/>
        <v>0</v>
      </c>
      <c r="K109" s="18">
        <f t="shared" si="17"/>
        <v>0</v>
      </c>
      <c r="L109" s="18">
        <f t="shared" si="11"/>
        <v>40.090000000000003</v>
      </c>
      <c r="M109" s="18">
        <f t="shared" si="18"/>
        <v>0</v>
      </c>
      <c r="N109" s="18">
        <f t="shared" si="12"/>
        <v>40.090000000000003</v>
      </c>
      <c r="O109" s="8"/>
    </row>
    <row r="110" spans="1:15">
      <c r="A110" s="1" t="s">
        <v>100</v>
      </c>
      <c r="B110" s="11"/>
      <c r="C110" s="11">
        <v>497000</v>
      </c>
      <c r="D110" s="11">
        <v>502000</v>
      </c>
      <c r="E110" s="11">
        <v>0</v>
      </c>
      <c r="F110" s="11">
        <f t="shared" si="10"/>
        <v>5000</v>
      </c>
      <c r="G110" s="17">
        <f t="shared" si="13"/>
        <v>40.090000000000003</v>
      </c>
      <c r="H110" s="17">
        <f t="shared" si="14"/>
        <v>0</v>
      </c>
      <c r="I110" s="17">
        <f t="shared" si="15"/>
        <v>0</v>
      </c>
      <c r="J110" s="18">
        <f t="shared" si="16"/>
        <v>0</v>
      </c>
      <c r="K110" s="18">
        <f t="shared" si="17"/>
        <v>0</v>
      </c>
      <c r="L110" s="18">
        <f t="shared" si="11"/>
        <v>40.090000000000003</v>
      </c>
      <c r="M110" s="18">
        <f t="shared" si="18"/>
        <v>0</v>
      </c>
      <c r="N110" s="18">
        <f t="shared" si="12"/>
        <v>40.090000000000003</v>
      </c>
      <c r="O110" s="8"/>
    </row>
    <row r="111" spans="1:15">
      <c r="A111" s="1" t="s">
        <v>101</v>
      </c>
      <c r="B111" s="11"/>
      <c r="C111" s="11">
        <v>4504000</v>
      </c>
      <c r="D111" s="11">
        <v>4532000</v>
      </c>
      <c r="E111" s="11">
        <v>0</v>
      </c>
      <c r="F111" s="11">
        <f t="shared" si="10"/>
        <v>28000</v>
      </c>
      <c r="G111" s="17">
        <f t="shared" si="13"/>
        <v>40.090000000000003</v>
      </c>
      <c r="H111" s="17">
        <f t="shared" si="14"/>
        <v>21.8</v>
      </c>
      <c r="I111" s="17">
        <f t="shared" si="15"/>
        <v>20.239999999999998</v>
      </c>
      <c r="J111" s="18">
        <f t="shared" si="16"/>
        <v>0</v>
      </c>
      <c r="K111" s="18">
        <f t="shared" si="17"/>
        <v>0</v>
      </c>
      <c r="L111" s="18">
        <f t="shared" si="11"/>
        <v>82.13</v>
      </c>
      <c r="M111" s="18">
        <f t="shared" si="18"/>
        <v>0</v>
      </c>
      <c r="N111" s="18">
        <f t="shared" si="12"/>
        <v>82.13</v>
      </c>
      <c r="O111" s="8"/>
    </row>
    <row r="112" spans="1:15">
      <c r="A112" s="1" t="s">
        <v>102</v>
      </c>
      <c r="B112" s="11" t="s">
        <v>138</v>
      </c>
      <c r="C112" s="11">
        <v>0</v>
      </c>
      <c r="D112" s="11">
        <v>0</v>
      </c>
      <c r="E112" s="11">
        <v>0</v>
      </c>
      <c r="F112" s="11">
        <f t="shared" si="10"/>
        <v>0</v>
      </c>
      <c r="G112" s="17">
        <f t="shared" si="13"/>
        <v>11.79</v>
      </c>
      <c r="H112" s="17">
        <f t="shared" si="14"/>
        <v>0</v>
      </c>
      <c r="I112" s="17">
        <f t="shared" si="15"/>
        <v>0</v>
      </c>
      <c r="J112" s="18">
        <f t="shared" si="16"/>
        <v>0</v>
      </c>
      <c r="K112" s="18">
        <f t="shared" si="17"/>
        <v>0</v>
      </c>
      <c r="L112" s="18">
        <f t="shared" si="11"/>
        <v>11.79</v>
      </c>
      <c r="M112" s="18">
        <f t="shared" si="18"/>
        <v>0</v>
      </c>
      <c r="N112" s="18">
        <f t="shared" si="12"/>
        <v>11.79</v>
      </c>
      <c r="O112" s="8"/>
    </row>
    <row r="113" spans="1:15">
      <c r="A113" s="1" t="s">
        <v>103</v>
      </c>
      <c r="B113" s="11"/>
      <c r="C113" s="11">
        <v>1137000</v>
      </c>
      <c r="D113" s="11">
        <v>1176000</v>
      </c>
      <c r="E113" s="11">
        <v>0</v>
      </c>
      <c r="F113" s="11">
        <f t="shared" si="10"/>
        <v>39000</v>
      </c>
      <c r="G113" s="17">
        <f t="shared" si="13"/>
        <v>40.090000000000003</v>
      </c>
      <c r="H113" s="17">
        <f t="shared" si="14"/>
        <v>21.8</v>
      </c>
      <c r="I113" s="17">
        <f t="shared" si="15"/>
        <v>25.299999999999997</v>
      </c>
      <c r="J113" s="18">
        <f t="shared" si="16"/>
        <v>26.55</v>
      </c>
      <c r="K113" s="18">
        <f t="shared" si="17"/>
        <v>0</v>
      </c>
      <c r="L113" s="18">
        <f t="shared" si="11"/>
        <v>113.74</v>
      </c>
      <c r="M113" s="18">
        <f t="shared" ref="M113:M136" si="19">IF(   $H$5=1,    IF((F113-$H$6)&gt;0,((F113-$H$6)/$N$7)*$E$8,0),   IF(F113&gt;0,(F113/$N$4)*$E$8,0)    )</f>
        <v>5.1664922870556671</v>
      </c>
      <c r="N113" s="18">
        <f t="shared" si="12"/>
        <v>118.90649228705566</v>
      </c>
      <c r="O113" s="8"/>
    </row>
    <row r="114" spans="1:15">
      <c r="A114" s="1" t="s">
        <v>104</v>
      </c>
      <c r="B114" s="11" t="s">
        <v>138</v>
      </c>
      <c r="C114" s="11">
        <v>0</v>
      </c>
      <c r="D114" s="11">
        <v>0</v>
      </c>
      <c r="E114" s="11">
        <v>0</v>
      </c>
      <c r="F114" s="11">
        <f t="shared" si="10"/>
        <v>0</v>
      </c>
      <c r="G114" s="17">
        <f t="shared" si="13"/>
        <v>11.79</v>
      </c>
      <c r="H114" s="17">
        <f t="shared" si="14"/>
        <v>0</v>
      </c>
      <c r="I114" s="17">
        <f t="shared" si="15"/>
        <v>0</v>
      </c>
      <c r="J114" s="18">
        <f t="shared" si="16"/>
        <v>0</v>
      </c>
      <c r="K114" s="18">
        <f t="shared" si="17"/>
        <v>0</v>
      </c>
      <c r="L114" s="18">
        <f t="shared" si="11"/>
        <v>11.79</v>
      </c>
      <c r="M114" s="18">
        <f t="shared" si="19"/>
        <v>0</v>
      </c>
      <c r="N114" s="18">
        <f t="shared" si="12"/>
        <v>11.79</v>
      </c>
      <c r="O114" s="8"/>
    </row>
    <row r="115" spans="1:15">
      <c r="A115" s="1" t="s">
        <v>105</v>
      </c>
      <c r="B115" s="11"/>
      <c r="C115" s="11">
        <v>1387000</v>
      </c>
      <c r="D115" s="11">
        <v>1437000</v>
      </c>
      <c r="E115" s="11">
        <v>0</v>
      </c>
      <c r="F115" s="11">
        <f t="shared" si="10"/>
        <v>50000</v>
      </c>
      <c r="G115" s="17">
        <f t="shared" si="13"/>
        <v>40.090000000000003</v>
      </c>
      <c r="H115" s="17">
        <f t="shared" si="14"/>
        <v>21.8</v>
      </c>
      <c r="I115" s="17">
        <f t="shared" si="15"/>
        <v>25.299999999999997</v>
      </c>
      <c r="J115" s="18">
        <f t="shared" si="16"/>
        <v>29.5</v>
      </c>
      <c r="K115" s="18">
        <f t="shared" si="17"/>
        <v>34.200000000000003</v>
      </c>
      <c r="L115" s="18">
        <f t="shared" si="11"/>
        <v>150.88999999999999</v>
      </c>
      <c r="M115" s="18">
        <f t="shared" si="19"/>
        <v>19.374346076458753</v>
      </c>
      <c r="N115" s="18">
        <f t="shared" si="12"/>
        <v>170.26434607645874</v>
      </c>
      <c r="O115" s="8"/>
    </row>
    <row r="116" spans="1:15">
      <c r="A116" s="1" t="s">
        <v>106</v>
      </c>
      <c r="B116" s="11"/>
      <c r="C116" s="11">
        <v>1785000</v>
      </c>
      <c r="D116" s="11">
        <v>1787000</v>
      </c>
      <c r="E116" s="11">
        <v>0</v>
      </c>
      <c r="F116" s="11">
        <f t="shared" si="10"/>
        <v>2000</v>
      </c>
      <c r="G116" s="17">
        <f t="shared" si="13"/>
        <v>40.090000000000003</v>
      </c>
      <c r="H116" s="17">
        <f t="shared" si="14"/>
        <v>0</v>
      </c>
      <c r="I116" s="17">
        <f t="shared" si="15"/>
        <v>0</v>
      </c>
      <c r="J116" s="18">
        <f t="shared" si="16"/>
        <v>0</v>
      </c>
      <c r="K116" s="18">
        <f t="shared" si="17"/>
        <v>0</v>
      </c>
      <c r="L116" s="18">
        <f t="shared" si="11"/>
        <v>40.090000000000003</v>
      </c>
      <c r="M116" s="18">
        <f t="shared" si="19"/>
        <v>0</v>
      </c>
      <c r="N116" s="18">
        <f t="shared" si="12"/>
        <v>40.090000000000003</v>
      </c>
      <c r="O116" s="8"/>
    </row>
    <row r="117" spans="1:15">
      <c r="A117" s="1" t="s">
        <v>107</v>
      </c>
      <c r="B117" s="11"/>
      <c r="C117" s="11">
        <v>314000</v>
      </c>
      <c r="D117" s="11">
        <v>316000</v>
      </c>
      <c r="E117" s="11">
        <v>0</v>
      </c>
      <c r="F117" s="11">
        <f t="shared" si="10"/>
        <v>2000</v>
      </c>
      <c r="G117" s="17">
        <f t="shared" si="13"/>
        <v>40.090000000000003</v>
      </c>
      <c r="H117" s="17">
        <f t="shared" si="14"/>
        <v>0</v>
      </c>
      <c r="I117" s="17">
        <f t="shared" si="15"/>
        <v>0</v>
      </c>
      <c r="J117" s="18">
        <f t="shared" si="16"/>
        <v>0</v>
      </c>
      <c r="K117" s="18">
        <f t="shared" si="17"/>
        <v>0</v>
      </c>
      <c r="L117" s="18">
        <f t="shared" si="11"/>
        <v>40.090000000000003</v>
      </c>
      <c r="M117" s="18">
        <f t="shared" si="19"/>
        <v>0</v>
      </c>
      <c r="N117" s="18">
        <f t="shared" si="12"/>
        <v>40.090000000000003</v>
      </c>
      <c r="O117" s="8"/>
    </row>
    <row r="118" spans="1:15">
      <c r="A118" s="1" t="s">
        <v>108</v>
      </c>
      <c r="B118" s="11"/>
      <c r="C118" s="11">
        <v>2540000</v>
      </c>
      <c r="D118" s="11">
        <v>2563000</v>
      </c>
      <c r="E118" s="11">
        <v>0</v>
      </c>
      <c r="F118" s="11">
        <f t="shared" si="10"/>
        <v>23000</v>
      </c>
      <c r="G118" s="17">
        <f t="shared" si="13"/>
        <v>40.090000000000003</v>
      </c>
      <c r="H118" s="17">
        <f t="shared" si="14"/>
        <v>21.8</v>
      </c>
      <c r="I118" s="17">
        <f t="shared" si="15"/>
        <v>7.59</v>
      </c>
      <c r="J118" s="18">
        <f t="shared" si="16"/>
        <v>0</v>
      </c>
      <c r="K118" s="18">
        <f t="shared" si="17"/>
        <v>0</v>
      </c>
      <c r="L118" s="18">
        <f t="shared" si="11"/>
        <v>69.48</v>
      </c>
      <c r="M118" s="18">
        <f t="shared" si="19"/>
        <v>0</v>
      </c>
      <c r="N118" s="18">
        <f t="shared" si="12"/>
        <v>69.48</v>
      </c>
      <c r="O118" s="8"/>
    </row>
    <row r="119" spans="1:15">
      <c r="A119" s="1" t="s">
        <v>109</v>
      </c>
      <c r="B119" s="11" t="s">
        <v>138</v>
      </c>
      <c r="C119" s="11">
        <v>0</v>
      </c>
      <c r="D119" s="11">
        <v>0</v>
      </c>
      <c r="E119" s="11">
        <v>0</v>
      </c>
      <c r="F119" s="11">
        <f t="shared" si="10"/>
        <v>0</v>
      </c>
      <c r="G119" s="17">
        <f t="shared" si="13"/>
        <v>11.79</v>
      </c>
      <c r="H119" s="17">
        <f t="shared" si="14"/>
        <v>0</v>
      </c>
      <c r="I119" s="17">
        <f t="shared" si="15"/>
        <v>0</v>
      </c>
      <c r="J119" s="18">
        <f t="shared" si="16"/>
        <v>0</v>
      </c>
      <c r="K119" s="18">
        <f t="shared" si="17"/>
        <v>0</v>
      </c>
      <c r="L119" s="18">
        <f t="shared" si="11"/>
        <v>11.79</v>
      </c>
      <c r="M119" s="18">
        <f t="shared" si="19"/>
        <v>0</v>
      </c>
      <c r="N119" s="18">
        <f t="shared" si="12"/>
        <v>11.79</v>
      </c>
      <c r="O119" s="8"/>
    </row>
    <row r="120" spans="1:15">
      <c r="A120" s="1" t="s">
        <v>110</v>
      </c>
      <c r="B120" s="11"/>
      <c r="C120" s="11">
        <v>3764000</v>
      </c>
      <c r="D120" s="11">
        <v>3772000</v>
      </c>
      <c r="E120" s="11">
        <v>0</v>
      </c>
      <c r="F120" s="11">
        <f t="shared" si="10"/>
        <v>8000</v>
      </c>
      <c r="G120" s="17">
        <f t="shared" si="13"/>
        <v>40.090000000000003</v>
      </c>
      <c r="H120" s="17">
        <f t="shared" si="14"/>
        <v>0</v>
      </c>
      <c r="I120" s="17">
        <f t="shared" si="15"/>
        <v>0</v>
      </c>
      <c r="J120" s="18">
        <f t="shared" si="16"/>
        <v>0</v>
      </c>
      <c r="K120" s="18">
        <f t="shared" si="17"/>
        <v>0</v>
      </c>
      <c r="L120" s="18">
        <f t="shared" si="11"/>
        <v>40.090000000000003</v>
      </c>
      <c r="M120" s="18">
        <f t="shared" si="19"/>
        <v>0</v>
      </c>
      <c r="N120" s="18">
        <f t="shared" si="12"/>
        <v>40.090000000000003</v>
      </c>
      <c r="O120" s="8"/>
    </row>
    <row r="121" spans="1:15">
      <c r="A121" s="1" t="s">
        <v>111</v>
      </c>
      <c r="B121" s="11"/>
      <c r="C121" s="11">
        <v>3430000</v>
      </c>
      <c r="D121" s="11">
        <v>3488000</v>
      </c>
      <c r="E121" s="11">
        <v>0</v>
      </c>
      <c r="F121" s="11">
        <f t="shared" si="10"/>
        <v>58000</v>
      </c>
      <c r="G121" s="17">
        <f t="shared" si="13"/>
        <v>40.090000000000003</v>
      </c>
      <c r="H121" s="17">
        <f t="shared" si="14"/>
        <v>21.8</v>
      </c>
      <c r="I121" s="17">
        <f t="shared" si="15"/>
        <v>25.299999999999997</v>
      </c>
      <c r="J121" s="18">
        <f t="shared" si="16"/>
        <v>29.5</v>
      </c>
      <c r="K121" s="18">
        <f t="shared" si="17"/>
        <v>61.56</v>
      </c>
      <c r="L121" s="18">
        <f t="shared" si="11"/>
        <v>178.25</v>
      </c>
      <c r="M121" s="18">
        <f t="shared" si="19"/>
        <v>29.707330650570086</v>
      </c>
      <c r="N121" s="18">
        <f t="shared" si="12"/>
        <v>207.9573306505701</v>
      </c>
      <c r="O121" s="8"/>
    </row>
    <row r="122" spans="1:15">
      <c r="A122" s="1" t="s">
        <v>112</v>
      </c>
      <c r="B122" s="11"/>
      <c r="C122" s="11">
        <v>335000</v>
      </c>
      <c r="D122" s="11">
        <v>336000</v>
      </c>
      <c r="E122" s="11">
        <v>0</v>
      </c>
      <c r="F122" s="11">
        <f t="shared" si="10"/>
        <v>1000</v>
      </c>
      <c r="G122" s="17">
        <f t="shared" si="13"/>
        <v>40.090000000000003</v>
      </c>
      <c r="H122" s="17">
        <f t="shared" si="14"/>
        <v>0</v>
      </c>
      <c r="I122" s="17">
        <f t="shared" si="15"/>
        <v>0</v>
      </c>
      <c r="J122" s="18">
        <f t="shared" si="16"/>
        <v>0</v>
      </c>
      <c r="K122" s="18">
        <f t="shared" si="17"/>
        <v>0</v>
      </c>
      <c r="L122" s="18">
        <f t="shared" si="11"/>
        <v>40.090000000000003</v>
      </c>
      <c r="M122" s="18">
        <f t="shared" si="19"/>
        <v>0</v>
      </c>
      <c r="N122" s="18">
        <f t="shared" si="12"/>
        <v>40.090000000000003</v>
      </c>
      <c r="O122" s="8"/>
    </row>
    <row r="123" spans="1:15">
      <c r="A123" s="1" t="s">
        <v>113</v>
      </c>
      <c r="B123" s="11"/>
      <c r="C123" s="11">
        <v>1391000</v>
      </c>
      <c r="D123" s="11">
        <v>1419000</v>
      </c>
      <c r="E123" s="11">
        <v>0</v>
      </c>
      <c r="F123" s="11">
        <f t="shared" si="10"/>
        <v>28000</v>
      </c>
      <c r="G123" s="17">
        <f t="shared" si="13"/>
        <v>40.090000000000003</v>
      </c>
      <c r="H123" s="17">
        <f t="shared" si="14"/>
        <v>21.8</v>
      </c>
      <c r="I123" s="17">
        <f t="shared" si="15"/>
        <v>20.239999999999998</v>
      </c>
      <c r="J123" s="18">
        <f t="shared" si="16"/>
        <v>0</v>
      </c>
      <c r="K123" s="18">
        <f t="shared" si="17"/>
        <v>0</v>
      </c>
      <c r="L123" s="18">
        <f t="shared" si="11"/>
        <v>82.13</v>
      </c>
      <c r="M123" s="18">
        <f t="shared" si="19"/>
        <v>0</v>
      </c>
      <c r="N123" s="18">
        <f t="shared" si="12"/>
        <v>82.13</v>
      </c>
      <c r="O123" s="8"/>
    </row>
    <row r="124" spans="1:15">
      <c r="A124" s="1" t="s">
        <v>114</v>
      </c>
      <c r="B124" s="11"/>
      <c r="C124" s="11">
        <v>2558000</v>
      </c>
      <c r="D124" s="11">
        <v>2570000</v>
      </c>
      <c r="E124" s="11">
        <v>0</v>
      </c>
      <c r="F124" s="11">
        <f t="shared" si="10"/>
        <v>12000</v>
      </c>
      <c r="G124" s="17">
        <f t="shared" si="13"/>
        <v>40.090000000000003</v>
      </c>
      <c r="H124" s="17">
        <f t="shared" si="14"/>
        <v>4.3600000000000003</v>
      </c>
      <c r="I124" s="17">
        <f t="shared" si="15"/>
        <v>0</v>
      </c>
      <c r="J124" s="18">
        <f t="shared" si="16"/>
        <v>0</v>
      </c>
      <c r="K124" s="18">
        <f t="shared" si="17"/>
        <v>0</v>
      </c>
      <c r="L124" s="18">
        <f t="shared" si="11"/>
        <v>44.45</v>
      </c>
      <c r="M124" s="18">
        <f t="shared" si="19"/>
        <v>0</v>
      </c>
      <c r="N124" s="18">
        <f t="shared" si="12"/>
        <v>44.45</v>
      </c>
      <c r="O124" s="8"/>
    </row>
    <row r="125" spans="1:15">
      <c r="A125" s="1" t="s">
        <v>115</v>
      </c>
      <c r="B125" s="11"/>
      <c r="C125" s="11">
        <v>2410000</v>
      </c>
      <c r="D125" s="11">
        <v>2432000</v>
      </c>
      <c r="E125" s="11">
        <v>0</v>
      </c>
      <c r="F125" s="11">
        <f t="shared" si="10"/>
        <v>22000</v>
      </c>
      <c r="G125" s="17">
        <f t="shared" si="13"/>
        <v>40.090000000000003</v>
      </c>
      <c r="H125" s="17">
        <f t="shared" si="14"/>
        <v>21.8</v>
      </c>
      <c r="I125" s="17">
        <f t="shared" si="15"/>
        <v>5.0599999999999996</v>
      </c>
      <c r="J125" s="18">
        <f t="shared" si="16"/>
        <v>0</v>
      </c>
      <c r="K125" s="18">
        <f t="shared" si="17"/>
        <v>0</v>
      </c>
      <c r="L125" s="18">
        <f t="shared" si="11"/>
        <v>66.95</v>
      </c>
      <c r="M125" s="18">
        <f t="shared" si="19"/>
        <v>0</v>
      </c>
      <c r="N125" s="18">
        <f t="shared" si="12"/>
        <v>66.95</v>
      </c>
      <c r="O125" s="8"/>
    </row>
    <row r="126" spans="1:15">
      <c r="A126" s="1" t="s">
        <v>116</v>
      </c>
      <c r="B126" s="11"/>
      <c r="C126" s="11">
        <v>4242000</v>
      </c>
      <c r="D126" s="11">
        <v>4246000</v>
      </c>
      <c r="E126" s="11">
        <v>0</v>
      </c>
      <c r="F126" s="11">
        <f t="shared" si="10"/>
        <v>4000</v>
      </c>
      <c r="G126" s="17">
        <f t="shared" si="13"/>
        <v>40.090000000000003</v>
      </c>
      <c r="H126" s="17">
        <f t="shared" si="14"/>
        <v>0</v>
      </c>
      <c r="I126" s="17">
        <f t="shared" si="15"/>
        <v>0</v>
      </c>
      <c r="J126" s="18">
        <f t="shared" si="16"/>
        <v>0</v>
      </c>
      <c r="K126" s="18">
        <f t="shared" si="17"/>
        <v>0</v>
      </c>
      <c r="L126" s="18">
        <f t="shared" si="11"/>
        <v>40.090000000000003</v>
      </c>
      <c r="M126" s="18">
        <f t="shared" si="19"/>
        <v>0</v>
      </c>
      <c r="N126" s="18">
        <f t="shared" si="12"/>
        <v>40.090000000000003</v>
      </c>
      <c r="O126" s="8"/>
    </row>
    <row r="127" spans="1:15">
      <c r="A127" s="1" t="s">
        <v>117</v>
      </c>
      <c r="B127" s="11"/>
      <c r="C127" s="11">
        <v>1871000</v>
      </c>
      <c r="D127" s="11">
        <v>1879000</v>
      </c>
      <c r="E127" s="11">
        <v>0</v>
      </c>
      <c r="F127" s="11">
        <f t="shared" si="10"/>
        <v>8000</v>
      </c>
      <c r="G127" s="17">
        <f t="shared" si="13"/>
        <v>40.090000000000003</v>
      </c>
      <c r="H127" s="17">
        <f t="shared" si="14"/>
        <v>0</v>
      </c>
      <c r="I127" s="17">
        <f t="shared" si="15"/>
        <v>0</v>
      </c>
      <c r="J127" s="18">
        <f t="shared" si="16"/>
        <v>0</v>
      </c>
      <c r="K127" s="18">
        <f t="shared" si="17"/>
        <v>0</v>
      </c>
      <c r="L127" s="18">
        <f t="shared" si="11"/>
        <v>40.090000000000003</v>
      </c>
      <c r="M127" s="18">
        <f t="shared" si="19"/>
        <v>0</v>
      </c>
      <c r="N127" s="18">
        <f t="shared" si="12"/>
        <v>40.090000000000003</v>
      </c>
      <c r="O127" s="8"/>
    </row>
    <row r="128" spans="1:15">
      <c r="A128" s="14" t="s">
        <v>118</v>
      </c>
      <c r="B128" s="15"/>
      <c r="C128" s="15">
        <v>1153000</v>
      </c>
      <c r="D128" s="15">
        <v>1164000</v>
      </c>
      <c r="E128" s="15">
        <v>0</v>
      </c>
      <c r="F128" s="15">
        <f t="shared" si="10"/>
        <v>11000</v>
      </c>
      <c r="G128" s="19">
        <f t="shared" si="13"/>
        <v>40.090000000000003</v>
      </c>
      <c r="H128" s="19">
        <f t="shared" si="14"/>
        <v>2.1800000000000002</v>
      </c>
      <c r="I128" s="19">
        <f t="shared" si="15"/>
        <v>0</v>
      </c>
      <c r="J128" s="20">
        <f t="shared" si="16"/>
        <v>0</v>
      </c>
      <c r="K128" s="20">
        <f t="shared" si="17"/>
        <v>0</v>
      </c>
      <c r="L128" s="18">
        <f t="shared" si="11"/>
        <v>42.27</v>
      </c>
      <c r="M128" s="18">
        <f t="shared" si="19"/>
        <v>0</v>
      </c>
      <c r="N128" s="18">
        <f t="shared" si="12"/>
        <v>42.27</v>
      </c>
      <c r="O128" s="16" t="s">
        <v>153</v>
      </c>
    </row>
    <row r="129" spans="1:15">
      <c r="A129" s="1" t="s">
        <v>119</v>
      </c>
      <c r="B129" s="11"/>
      <c r="C129" s="11">
        <v>6661000</v>
      </c>
      <c r="D129" s="11">
        <v>6817000</v>
      </c>
      <c r="E129" s="11">
        <v>0</v>
      </c>
      <c r="F129" s="11">
        <f t="shared" si="10"/>
        <v>156000</v>
      </c>
      <c r="G129" s="17">
        <f t="shared" si="13"/>
        <v>40.090000000000003</v>
      </c>
      <c r="H129" s="17">
        <f t="shared" si="14"/>
        <v>21.8</v>
      </c>
      <c r="I129" s="17">
        <f t="shared" si="15"/>
        <v>25.299999999999997</v>
      </c>
      <c r="J129" s="18">
        <f t="shared" si="16"/>
        <v>29.5</v>
      </c>
      <c r="K129" s="18">
        <f t="shared" si="17"/>
        <v>396.71999999999997</v>
      </c>
      <c r="L129" s="18">
        <f t="shared" si="11"/>
        <v>513.41</v>
      </c>
      <c r="M129" s="18">
        <f t="shared" si="19"/>
        <v>156.28639168343392</v>
      </c>
      <c r="N129" s="18">
        <f t="shared" si="12"/>
        <v>669.69639168343383</v>
      </c>
      <c r="O129" s="8"/>
    </row>
    <row r="130" spans="1:15">
      <c r="A130" s="1" t="s">
        <v>120</v>
      </c>
      <c r="B130" s="11"/>
      <c r="C130" s="11">
        <v>3659000</v>
      </c>
      <c r="D130" s="11">
        <v>3674000</v>
      </c>
      <c r="E130" s="11">
        <v>0</v>
      </c>
      <c r="F130" s="11">
        <f t="shared" si="10"/>
        <v>15000</v>
      </c>
      <c r="G130" s="17">
        <f t="shared" si="13"/>
        <v>40.090000000000003</v>
      </c>
      <c r="H130" s="17">
        <f t="shared" si="14"/>
        <v>10.9</v>
      </c>
      <c r="I130" s="17">
        <f t="shared" si="15"/>
        <v>0</v>
      </c>
      <c r="J130" s="18">
        <f t="shared" si="16"/>
        <v>0</v>
      </c>
      <c r="K130" s="18">
        <f t="shared" si="17"/>
        <v>0</v>
      </c>
      <c r="L130" s="18">
        <f t="shared" si="11"/>
        <v>50.99</v>
      </c>
      <c r="M130" s="18">
        <f t="shared" si="19"/>
        <v>0</v>
      </c>
      <c r="N130" s="18">
        <f t="shared" si="12"/>
        <v>50.99</v>
      </c>
      <c r="O130" s="8"/>
    </row>
    <row r="131" spans="1:15">
      <c r="A131" s="1" t="s">
        <v>121</v>
      </c>
      <c r="B131" s="11" t="s">
        <v>138</v>
      </c>
      <c r="C131" s="11">
        <v>0</v>
      </c>
      <c r="D131" s="11">
        <v>0</v>
      </c>
      <c r="E131" s="11">
        <v>0</v>
      </c>
      <c r="F131" s="11">
        <f t="shared" si="10"/>
        <v>0</v>
      </c>
      <c r="G131" s="17">
        <f t="shared" si="13"/>
        <v>11.79</v>
      </c>
      <c r="H131" s="17">
        <f t="shared" si="14"/>
        <v>0</v>
      </c>
      <c r="I131" s="17">
        <f t="shared" si="15"/>
        <v>0</v>
      </c>
      <c r="J131" s="18">
        <f t="shared" si="16"/>
        <v>0</v>
      </c>
      <c r="K131" s="18">
        <f t="shared" si="17"/>
        <v>0</v>
      </c>
      <c r="L131" s="18">
        <f t="shared" si="11"/>
        <v>11.79</v>
      </c>
      <c r="M131" s="18">
        <f t="shared" si="19"/>
        <v>0</v>
      </c>
      <c r="N131" s="18">
        <f t="shared" si="12"/>
        <v>11.79</v>
      </c>
      <c r="O131" s="8"/>
    </row>
    <row r="132" spans="1:15">
      <c r="A132" s="1" t="s">
        <v>122</v>
      </c>
      <c r="B132" s="11"/>
      <c r="C132" s="11">
        <v>1247000</v>
      </c>
      <c r="D132" s="11">
        <v>1264000</v>
      </c>
      <c r="E132" s="11">
        <v>0</v>
      </c>
      <c r="F132" s="11">
        <f t="shared" si="10"/>
        <v>17000</v>
      </c>
      <c r="G132" s="17">
        <f t="shared" si="13"/>
        <v>40.090000000000003</v>
      </c>
      <c r="H132" s="17">
        <f t="shared" si="14"/>
        <v>15.260000000000002</v>
      </c>
      <c r="I132" s="17">
        <f t="shared" si="15"/>
        <v>0</v>
      </c>
      <c r="J132" s="18">
        <f t="shared" si="16"/>
        <v>0</v>
      </c>
      <c r="K132" s="18">
        <f t="shared" si="17"/>
        <v>0</v>
      </c>
      <c r="L132" s="18">
        <f t="shared" si="11"/>
        <v>55.350000000000009</v>
      </c>
      <c r="M132" s="18">
        <f t="shared" si="19"/>
        <v>0</v>
      </c>
      <c r="N132" s="18">
        <f t="shared" si="12"/>
        <v>55.350000000000009</v>
      </c>
      <c r="O132" s="8"/>
    </row>
    <row r="133" spans="1:15">
      <c r="A133" s="1" t="s">
        <v>123</v>
      </c>
      <c r="B133" s="11" t="s">
        <v>138</v>
      </c>
      <c r="C133" s="11">
        <v>0</v>
      </c>
      <c r="D133" s="11">
        <v>0</v>
      </c>
      <c r="E133" s="11">
        <v>0</v>
      </c>
      <c r="F133" s="11">
        <f t="shared" si="10"/>
        <v>0</v>
      </c>
      <c r="G133" s="17">
        <f t="shared" si="13"/>
        <v>11.79</v>
      </c>
      <c r="H133" s="17">
        <f t="shared" si="14"/>
        <v>0</v>
      </c>
      <c r="I133" s="17">
        <f t="shared" si="15"/>
        <v>0</v>
      </c>
      <c r="J133" s="18">
        <f t="shared" si="16"/>
        <v>0</v>
      </c>
      <c r="K133" s="18">
        <f t="shared" si="17"/>
        <v>0</v>
      </c>
      <c r="L133" s="18">
        <f t="shared" si="11"/>
        <v>11.79</v>
      </c>
      <c r="M133" s="18">
        <f t="shared" si="19"/>
        <v>0</v>
      </c>
      <c r="N133" s="18">
        <f t="shared" si="12"/>
        <v>11.79</v>
      </c>
      <c r="O133" s="8"/>
    </row>
    <row r="134" spans="1:15">
      <c r="A134" s="1" t="s">
        <v>124</v>
      </c>
      <c r="B134" s="11" t="s">
        <v>138</v>
      </c>
      <c r="C134" s="11">
        <v>0</v>
      </c>
      <c r="D134" s="11">
        <v>0</v>
      </c>
      <c r="E134" s="11">
        <v>0</v>
      </c>
      <c r="F134" s="11">
        <f t="shared" si="10"/>
        <v>0</v>
      </c>
      <c r="G134" s="17">
        <f t="shared" si="13"/>
        <v>11.79</v>
      </c>
      <c r="H134" s="17">
        <f t="shared" si="14"/>
        <v>0</v>
      </c>
      <c r="I134" s="17">
        <f t="shared" si="15"/>
        <v>0</v>
      </c>
      <c r="J134" s="18">
        <f t="shared" si="16"/>
        <v>0</v>
      </c>
      <c r="K134" s="18">
        <f t="shared" si="17"/>
        <v>0</v>
      </c>
      <c r="L134" s="18">
        <f t="shared" si="11"/>
        <v>11.79</v>
      </c>
      <c r="M134" s="18">
        <f t="shared" si="19"/>
        <v>0</v>
      </c>
      <c r="N134" s="18">
        <f t="shared" si="12"/>
        <v>11.79</v>
      </c>
      <c r="O134" s="8"/>
    </row>
    <row r="135" spans="1:15">
      <c r="A135" s="1" t="s">
        <v>125</v>
      </c>
      <c r="B135" s="11" t="s">
        <v>138</v>
      </c>
      <c r="C135" s="11">
        <v>0</v>
      </c>
      <c r="D135" s="11">
        <v>0</v>
      </c>
      <c r="E135" s="11">
        <v>0</v>
      </c>
      <c r="F135" s="11">
        <f t="shared" si="10"/>
        <v>0</v>
      </c>
      <c r="G135" s="17">
        <f t="shared" si="13"/>
        <v>11.79</v>
      </c>
      <c r="H135" s="17">
        <f t="shared" si="14"/>
        <v>0</v>
      </c>
      <c r="I135" s="17">
        <f t="shared" si="15"/>
        <v>0</v>
      </c>
      <c r="J135" s="18">
        <f t="shared" si="16"/>
        <v>0</v>
      </c>
      <c r="K135" s="18">
        <f t="shared" si="17"/>
        <v>0</v>
      </c>
      <c r="L135" s="18">
        <f t="shared" si="11"/>
        <v>11.79</v>
      </c>
      <c r="M135" s="18">
        <f t="shared" si="19"/>
        <v>0</v>
      </c>
      <c r="N135" s="18">
        <f t="shared" si="12"/>
        <v>11.79</v>
      </c>
      <c r="O135" s="8"/>
    </row>
    <row r="136" spans="1:15">
      <c r="A136" s="1" t="s">
        <v>126</v>
      </c>
      <c r="B136" s="11"/>
      <c r="C136" s="11">
        <v>946000</v>
      </c>
      <c r="D136" s="11">
        <v>970000</v>
      </c>
      <c r="E136" s="11">
        <v>0</v>
      </c>
      <c r="F136" s="11">
        <f t="shared" si="10"/>
        <v>24000</v>
      </c>
      <c r="G136" s="17">
        <f t="shared" si="13"/>
        <v>40.090000000000003</v>
      </c>
      <c r="H136" s="17">
        <f t="shared" si="14"/>
        <v>21.8</v>
      </c>
      <c r="I136" s="17">
        <f t="shared" si="15"/>
        <v>10.119999999999999</v>
      </c>
      <c r="J136" s="18">
        <f t="shared" si="16"/>
        <v>0</v>
      </c>
      <c r="K136" s="18">
        <f t="shared" si="17"/>
        <v>0</v>
      </c>
      <c r="L136" s="18">
        <f t="shared" si="11"/>
        <v>72.010000000000005</v>
      </c>
      <c r="M136" s="18">
        <f t="shared" si="19"/>
        <v>0</v>
      </c>
      <c r="N136" s="18">
        <f t="shared" si="12"/>
        <v>72.010000000000005</v>
      </c>
      <c r="O136" s="8"/>
    </row>
    <row r="137" spans="1:15">
      <c r="B137" s="11"/>
      <c r="C137" s="11"/>
      <c r="D137" s="11"/>
      <c r="E137" s="11"/>
      <c r="F137" s="11"/>
      <c r="G137" s="17"/>
      <c r="H137" s="17"/>
      <c r="I137" s="17"/>
      <c r="J137" s="18"/>
      <c r="K137" s="18"/>
      <c r="L137" s="18"/>
      <c r="M137" s="18"/>
      <c r="N137" s="18"/>
      <c r="O137" s="8"/>
    </row>
    <row r="138" spans="1:15">
      <c r="J138" s="1" t="s">
        <v>136</v>
      </c>
      <c r="M138" s="27">
        <f>SUM(M11:M136)</f>
        <v>1925.81</v>
      </c>
      <c r="N138" s="5">
        <f>SUM(N11:N136)</f>
        <v>13446.270000000026</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3420500</v>
      </c>
      <c r="G140" s="75">
        <f t="shared" si="20"/>
        <v>4196.7500000000045</v>
      </c>
      <c r="H140" s="75">
        <f t="shared" si="20"/>
        <v>1496.3299999999981</v>
      </c>
      <c r="I140" s="75">
        <f t="shared" si="20"/>
        <v>996.81999999999937</v>
      </c>
      <c r="J140" s="75">
        <f t="shared" si="20"/>
        <v>784.7</v>
      </c>
      <c r="K140" s="75">
        <f t="shared" si="20"/>
        <v>4045.86</v>
      </c>
      <c r="L140" s="75">
        <f t="shared" si="20"/>
        <v>11520.460000000012</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935.13510395707567</v>
      </c>
      <c r="G143" s="25">
        <f>SUM(G18:G130)-G145</f>
        <v>3287.3800000000028</v>
      </c>
      <c r="H143" s="80">
        <f>SUM(H18:H130)-H145</f>
        <v>1009.3399999999993</v>
      </c>
      <c r="I143" s="25">
        <f>SUM(I18:I130)-I145</f>
        <v>885.49999999999955</v>
      </c>
      <c r="J143" s="25">
        <f>SUM(J18:J130)-J145</f>
        <v>666.7</v>
      </c>
      <c r="K143" s="25">
        <f>SUM(K18:K130)-K145</f>
        <v>2123.8199999999997</v>
      </c>
      <c r="L143" s="25">
        <f>SUM(F143:K143)</f>
        <v>7972.7400000000007</v>
      </c>
      <c r="M143" s="1"/>
    </row>
    <row r="144" spans="1:15" customFormat="1">
      <c r="A144" t="s">
        <v>255</v>
      </c>
      <c r="D144">
        <v>8</v>
      </c>
      <c r="E144" s="25">
        <f>SUM(M11:M15)+M17+SUM(M131:M136)</f>
        <v>751.72462776659961</v>
      </c>
      <c r="G144" s="34">
        <f>SUM(G11:G15)+G17+G132+G136</f>
        <v>320.72000000000003</v>
      </c>
      <c r="H144" s="34">
        <f>SUM(H11:H15)+H17+H132+H136</f>
        <v>137.34</v>
      </c>
      <c r="I144" s="34">
        <f>SUM(I11:I15)+I17+I132+I136</f>
        <v>111.32</v>
      </c>
      <c r="J144" s="34">
        <f>SUM(J11:J15)+J17+J132+J136</f>
        <v>118</v>
      </c>
      <c r="K144" s="34">
        <f>SUM(K11:K15)+K17+K132+K136</f>
        <v>1922.04</v>
      </c>
      <c r="L144" s="25">
        <f t="shared" ref="L144:L147" si="21">SUM(F144:K144)</f>
        <v>2609.42</v>
      </c>
      <c r="M144" s="1"/>
    </row>
    <row r="145" spans="1:13"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365.49000000000007</v>
      </c>
      <c r="M145" s="1"/>
    </row>
    <row r="146" spans="1:13" customFormat="1">
      <c r="A146" t="s">
        <v>261</v>
      </c>
      <c r="D146">
        <v>4</v>
      </c>
      <c r="E146" s="25">
        <v>0</v>
      </c>
      <c r="G146" s="25">
        <f>G135+G134+G133+G131</f>
        <v>47.16</v>
      </c>
      <c r="H146" s="25">
        <f>H135+H134+H133+H131</f>
        <v>0</v>
      </c>
      <c r="I146" s="25">
        <f>I135+I134+I133+I131</f>
        <v>0</v>
      </c>
      <c r="J146" s="25">
        <f>J135+J134+J133+J131</f>
        <v>0</v>
      </c>
      <c r="K146" s="25">
        <f>K135+K134+K133+K131</f>
        <v>0</v>
      </c>
      <c r="L146" s="25">
        <f t="shared" si="21"/>
        <v>47.16</v>
      </c>
      <c r="M146" s="1"/>
    </row>
    <row r="147" spans="1:13" customFormat="1">
      <c r="A147" t="s">
        <v>253</v>
      </c>
      <c r="D147">
        <v>1</v>
      </c>
      <c r="E147" s="25">
        <f>M16</f>
        <v>238.95026827632461</v>
      </c>
      <c r="G147" s="25">
        <f>G16</f>
        <v>176</v>
      </c>
      <c r="H147" s="25">
        <f>H16</f>
        <v>349.65</v>
      </c>
      <c r="I147" s="25">
        <f>I16</f>
        <v>0</v>
      </c>
      <c r="J147" s="25">
        <f>J16</f>
        <v>0</v>
      </c>
      <c r="K147" s="25">
        <f>K16</f>
        <v>0</v>
      </c>
      <c r="L147" s="25">
        <f t="shared" si="21"/>
        <v>525.65</v>
      </c>
      <c r="M147" s="1"/>
    </row>
    <row r="148" spans="1:13" customFormat="1" ht="15.75" thickBot="1">
      <c r="B148" t="s">
        <v>257</v>
      </c>
      <c r="D148" s="73">
        <f>SUM(D143:D147)</f>
        <v>126</v>
      </c>
      <c r="E148" s="74">
        <f>SUM(E143:E147)</f>
        <v>1925.81</v>
      </c>
      <c r="F148" s="73"/>
      <c r="G148" s="74">
        <f t="shared" ref="G148:L148" si="22">SUM(G143:G147)</f>
        <v>4196.7500000000036</v>
      </c>
      <c r="H148" s="74">
        <f t="shared" si="22"/>
        <v>1496.3299999999995</v>
      </c>
      <c r="I148" s="74">
        <f t="shared" si="22"/>
        <v>996.81999999999948</v>
      </c>
      <c r="J148" s="74">
        <f t="shared" si="22"/>
        <v>784.7</v>
      </c>
      <c r="K148" s="74">
        <f t="shared" si="22"/>
        <v>4045.8599999999997</v>
      </c>
      <c r="L148" s="74">
        <f t="shared" si="22"/>
        <v>11520.46</v>
      </c>
      <c r="M148" s="1"/>
    </row>
    <row r="149" spans="1:13" customFormat="1" ht="16.5" thickTop="1" thickBot="1">
      <c r="D149" s="78"/>
      <c r="E149" s="78"/>
      <c r="F149" s="78"/>
      <c r="G149" s="79"/>
      <c r="H149" s="79"/>
      <c r="I149" s="79"/>
      <c r="J149" s="79"/>
      <c r="K149" s="79"/>
      <c r="L149" s="79"/>
      <c r="M149" s="1"/>
    </row>
    <row r="150" spans="1:13" customFormat="1">
      <c r="D150" s="188" t="s">
        <v>376</v>
      </c>
      <c r="E150" s="78"/>
      <c r="F150" s="78"/>
      <c r="G150" s="79"/>
      <c r="H150" s="79"/>
      <c r="I150" s="79"/>
      <c r="J150" s="79"/>
      <c r="K150" s="79"/>
      <c r="L150" s="79"/>
      <c r="M150" s="1"/>
    </row>
    <row r="151" spans="1:13" customFormat="1" ht="15.75" thickBot="1">
      <c r="D151" s="189" t="s">
        <v>375</v>
      </c>
      <c r="E151" s="78"/>
      <c r="F151" s="78"/>
      <c r="G151" s="79"/>
      <c r="H151" s="79"/>
      <c r="I151" s="79"/>
      <c r="J151" s="79"/>
      <c r="K151" s="79"/>
      <c r="L151" s="79"/>
      <c r="M151" s="1"/>
    </row>
    <row r="152" spans="1:13" customFormat="1">
      <c r="A152" t="s">
        <v>262</v>
      </c>
      <c r="D152" s="81">
        <f>COUNTIF(M18:M130,"&gt;0")</f>
        <v>24</v>
      </c>
      <c r="E152" s="81">
        <f>E143/E148*N7</f>
        <v>723999.99999999988</v>
      </c>
      <c r="F152" s="75"/>
      <c r="G152" s="81">
        <f>F140-G153-G154-(SUM(H155:K155))</f>
        <v>696500.00000000047</v>
      </c>
      <c r="H152" s="81">
        <f>H143/2.18*1000</f>
        <v>462999.99999999965</v>
      </c>
      <c r="I152" s="81">
        <f>I143/2.53*1000</f>
        <v>349999.99999999983</v>
      </c>
      <c r="J152" s="81">
        <f>J143/2.95*1000</f>
        <v>226000</v>
      </c>
      <c r="K152" s="81">
        <f>K143/3.42*1000</f>
        <v>620999.99999999988</v>
      </c>
      <c r="L152" s="81">
        <f>SUM(G152:K152)</f>
        <v>2356499.9999999995</v>
      </c>
      <c r="M152" s="1"/>
    </row>
    <row r="153" spans="1:13" customFormat="1">
      <c r="A153" t="s">
        <v>263</v>
      </c>
      <c r="D153" s="81">
        <v>7</v>
      </c>
      <c r="E153" s="81">
        <f>E144/E148*N7</f>
        <v>582000</v>
      </c>
      <c r="F153" s="75"/>
      <c r="G153" s="81">
        <f>(SUM(F11:F15)+F17+SUM(F131:F136)-H153-I153-J153-K153)</f>
        <v>70000</v>
      </c>
      <c r="H153" s="81">
        <f>H144/2.18*1000</f>
        <v>63000</v>
      </c>
      <c r="I153" s="81">
        <f>I144/2.53*1000</f>
        <v>44000</v>
      </c>
      <c r="J153" s="81">
        <f>J144/2.95*1000</f>
        <v>40000</v>
      </c>
      <c r="K153" s="81">
        <f>K144/3.42*1000</f>
        <v>562000</v>
      </c>
      <c r="L153" s="81">
        <f>SUM(G153:K153)</f>
        <v>779000</v>
      </c>
      <c r="M153" s="1"/>
    </row>
    <row r="154" spans="1:13" customFormat="1">
      <c r="A154" t="s">
        <v>264</v>
      </c>
      <c r="D154" s="81">
        <v>0</v>
      </c>
      <c r="E154" s="81">
        <f>E147/E148*N7</f>
        <v>185000</v>
      </c>
      <c r="F154" s="75"/>
      <c r="G154" s="81">
        <f>IF(F16&gt;100000,100000,F16)</f>
        <v>100000</v>
      </c>
      <c r="H154" s="81">
        <f>H147/1.89*1000</f>
        <v>185000</v>
      </c>
      <c r="I154" s="81" t="s">
        <v>259</v>
      </c>
      <c r="J154" s="81" t="s">
        <v>259</v>
      </c>
      <c r="K154" s="81" t="s">
        <v>259</v>
      </c>
      <c r="L154" s="81">
        <f>SUM(G154:K154)</f>
        <v>285000</v>
      </c>
      <c r="M154" s="1"/>
    </row>
    <row r="155" spans="1:13" customFormat="1" ht="15.75" thickBot="1">
      <c r="B155" t="s">
        <v>265</v>
      </c>
      <c r="D155" s="82"/>
      <c r="E155" s="82">
        <f>SUM(E152:E154)</f>
        <v>1491000</v>
      </c>
      <c r="F155" s="77"/>
      <c r="G155" s="82">
        <f>G152+G153+G154</f>
        <v>866500.00000000047</v>
      </c>
      <c r="H155" s="82">
        <f>SUM(H152:H154)</f>
        <v>710999.99999999965</v>
      </c>
      <c r="I155" s="82">
        <f>SUM(I152:I154)</f>
        <v>393999.99999999983</v>
      </c>
      <c r="J155" s="82">
        <f>SUM(J152:J154)</f>
        <v>266000</v>
      </c>
      <c r="K155" s="82">
        <f>SUM(K152:K154)</f>
        <v>1183000</v>
      </c>
      <c r="L155" s="82">
        <f>SUM(L152:L154)</f>
        <v>3420499.9999999995</v>
      </c>
      <c r="M155" s="1"/>
    </row>
    <row r="156" spans="1:13" ht="15.75" thickTop="1">
      <c r="E156" s="1" t="s">
        <v>274</v>
      </c>
    </row>
    <row r="157" spans="1:13">
      <c r="E157" s="75" t="s">
        <v>275</v>
      </c>
    </row>
    <row r="158" spans="1:13">
      <c r="E158" s="75" t="s">
        <v>273</v>
      </c>
    </row>
    <row r="159" spans="1:13">
      <c r="E159"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O159"/>
  <sheetViews>
    <sheetView zoomScaleNormal="100" zoomScalePageLayoutView="8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4">
        <v>40756</v>
      </c>
      <c r="D4" s="1" t="s">
        <v>146</v>
      </c>
      <c r="G4" s="1" t="s">
        <v>156</v>
      </c>
      <c r="K4" s="1" t="s">
        <v>149</v>
      </c>
      <c r="N4" s="1">
        <f>SUM(F11:F137)</f>
        <v>2807900</v>
      </c>
    </row>
    <row r="5" spans="1:15">
      <c r="B5" s="4"/>
      <c r="D5" s="1" t="s">
        <v>144</v>
      </c>
      <c r="E5" s="1">
        <v>4773900</v>
      </c>
      <c r="G5" s="1" t="s">
        <v>155</v>
      </c>
      <c r="H5" s="1">
        <v>1</v>
      </c>
      <c r="K5" s="1" t="s">
        <v>154</v>
      </c>
      <c r="N5" s="1">
        <f>N4-F16</f>
        <v>2772900</v>
      </c>
    </row>
    <row r="6" spans="1:15">
      <c r="B6" s="4"/>
      <c r="D6" s="1" t="s">
        <v>145</v>
      </c>
      <c r="E6" s="1">
        <v>6031500</v>
      </c>
      <c r="G6" s="1" t="s">
        <v>158</v>
      </c>
      <c r="H6" s="1">
        <v>10000</v>
      </c>
      <c r="K6" s="1" t="s">
        <v>160</v>
      </c>
      <c r="N6" s="1">
        <f>SUMIF(F11:F15,"&gt;" &amp; $H$6)+SUMIF(F17:F136,"&gt;" &amp; $H$6)+SUMIF(F16,"&gt;" &amp; $H$7)</f>
        <v>2637000</v>
      </c>
    </row>
    <row r="7" spans="1:15">
      <c r="B7" s="4"/>
      <c r="D7" s="1" t="s">
        <v>150</v>
      </c>
      <c r="E7" s="12">
        <f>E6-E5</f>
        <v>1257600</v>
      </c>
      <c r="G7" s="1" t="s">
        <v>159</v>
      </c>
      <c r="H7" s="12">
        <v>10000</v>
      </c>
      <c r="K7" s="1" t="s">
        <v>161</v>
      </c>
      <c r="N7" s="1">
        <f>(SUMIF(F11:F15,"&gt;" &amp; $H$6)-(COUNTIF(F11:F15,"&gt;" &amp; $H$6)*$H$6))+(SUMIF(F17:F136,"&gt;" &amp; $H$6)-(COUNTIF(F17:F136,"&gt;" &amp; $H$6)*$H$6))+(SUMIF(F16,"&gt;" &amp; $H$7)-(COUNTIF(F16,"&gt;" &amp; $H$7)*$H$7))</f>
        <v>2047000</v>
      </c>
    </row>
    <row r="8" spans="1:15">
      <c r="D8" s="1" t="s">
        <v>147</v>
      </c>
      <c r="E8" s="6">
        <v>2666.11</v>
      </c>
      <c r="H8" s="6"/>
    </row>
    <row r="10" spans="1:15">
      <c r="A10" s="7" t="s">
        <v>0</v>
      </c>
      <c r="B10" s="10" t="s">
        <v>137</v>
      </c>
      <c r="C10" s="13" t="s">
        <v>151</v>
      </c>
      <c r="D10" s="13" t="s">
        <v>152</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6929000</v>
      </c>
      <c r="D11" s="11">
        <v>7170000</v>
      </c>
      <c r="E11" s="11">
        <v>0</v>
      </c>
      <c r="F11" s="11">
        <f>($D11-$C11)+$E11</f>
        <v>241000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687.42</v>
      </c>
      <c r="L11" s="18">
        <f>SUM(G11:K11)</f>
        <v>804.1099999999999</v>
      </c>
      <c r="M11" s="18">
        <f>IF(   $H$5=1,    IF((F11-$H$6)&gt;0,((F11-$H$6)/$N$7)*$E$8,0),   IF(F11&gt;0,(F11/$N$4)*$E$8,0)    )</f>
        <v>300.8653688324377</v>
      </c>
      <c r="N11" s="18">
        <f>SUM(L11:M11)</f>
        <v>1104.9753688324377</v>
      </c>
      <c r="O11" s="8"/>
    </row>
    <row r="12" spans="1:15">
      <c r="A12" s="1" t="s">
        <v>2</v>
      </c>
      <c r="B12" s="11"/>
      <c r="C12" s="11">
        <v>6240000</v>
      </c>
      <c r="D12" s="11">
        <v>6364000</v>
      </c>
      <c r="E12" s="11">
        <v>0</v>
      </c>
      <c r="F12" s="11">
        <f t="shared" ref="F12:F75" si="0">($D12-$C12)+$E12</f>
        <v>124000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287.27999999999997</v>
      </c>
      <c r="L12" s="18">
        <f t="shared" ref="L12:L75" si="1">SUM(G12:K12)</f>
        <v>403.96999999999997</v>
      </c>
      <c r="M12" s="18">
        <f>IF(   $H$5=1,    IF((F12-$H$6)&gt;0,((F12-$H$6)/$N$7)*$E$8,0),   IF(F12&gt;0,(F12/$N$4)*$E$8,0)    )</f>
        <v>148.47901319003421</v>
      </c>
      <c r="N12" s="18">
        <f t="shared" ref="N12:N75" si="2">SUM(L12:M12)</f>
        <v>552.44901319003418</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2826000</v>
      </c>
      <c r="D14" s="11">
        <v>2988000</v>
      </c>
      <c r="E14" s="11">
        <v>0</v>
      </c>
      <c r="F14" s="11">
        <f t="shared" si="0"/>
        <v>162000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417.24</v>
      </c>
      <c r="L14" s="18">
        <f t="shared" si="1"/>
        <v>533.93000000000006</v>
      </c>
      <c r="M14" s="18">
        <f>IF(   $H$5=1,    IF((F14-$H$6)&gt;0,((F14-$H$6)/$N$7)*$E$8,0),   IF(F14&gt;0,(F14/$N$4)*$E$8,0)    )</f>
        <v>197.97201758671227</v>
      </c>
      <c r="N14" s="18">
        <f t="shared" si="2"/>
        <v>731.9020175867123</v>
      </c>
      <c r="O14" s="8"/>
    </row>
    <row r="15" spans="1:15">
      <c r="A15" s="1" t="s">
        <v>5</v>
      </c>
      <c r="B15" s="11"/>
      <c r="C15" s="11">
        <v>1937000</v>
      </c>
      <c r="D15" s="11">
        <v>2030000</v>
      </c>
      <c r="E15" s="11">
        <v>0</v>
      </c>
      <c r="F15" s="11">
        <f t="shared" si="0"/>
        <v>93000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181.26</v>
      </c>
      <c r="L15" s="18">
        <f t="shared" si="1"/>
        <v>297.95</v>
      </c>
      <c r="M15" s="18">
        <f>IF(   $H$5=1,    IF((F15-$H$6)&gt;0,((F15-$H$6)/$N$7)*$E$8,0),   IF(F15&gt;0,(F15/$N$4)*$E$8,0)    )</f>
        <v>108.10314118221788</v>
      </c>
      <c r="N15" s="18">
        <f t="shared" si="2"/>
        <v>406.05314118221787</v>
      </c>
      <c r="O15" s="8"/>
    </row>
    <row r="16" spans="1:15">
      <c r="A16" s="1" t="s">
        <v>6</v>
      </c>
      <c r="B16" s="11"/>
      <c r="C16" s="11">
        <v>24267000</v>
      </c>
      <c r="D16" s="11">
        <v>24443000</v>
      </c>
      <c r="E16" s="11">
        <v>0</v>
      </c>
      <c r="F16" s="11">
        <v>35000</v>
      </c>
      <c r="G16" s="17">
        <v>176</v>
      </c>
      <c r="H16" s="17">
        <f>IF(($F16-100000)&gt;=0,($F16-100000)/1000*1.89,0)</f>
        <v>0</v>
      </c>
      <c r="I16" s="17"/>
      <c r="J16" s="18"/>
      <c r="K16" s="18"/>
      <c r="L16" s="18">
        <f t="shared" si="1"/>
        <v>176</v>
      </c>
      <c r="M16" s="18">
        <f>IF(   $H$5=1,     IF((F16-$H$7)&gt;0,((F16-$H$7)/$N$7)*$E$8,0),   IF(F16&gt;0,(F16/$N$4)*$E$8,0)    )</f>
        <v>32.561187103077678</v>
      </c>
      <c r="N16" s="18">
        <f t="shared" si="2"/>
        <v>208.56118710307769</v>
      </c>
      <c r="O16" s="8" t="s">
        <v>133</v>
      </c>
    </row>
    <row r="17" spans="1:15">
      <c r="A17" s="1" t="s">
        <v>7</v>
      </c>
      <c r="B17" s="11"/>
      <c r="C17" s="11">
        <v>481000</v>
      </c>
      <c r="D17" s="11">
        <v>493000</v>
      </c>
      <c r="E17" s="11">
        <v>0</v>
      </c>
      <c r="F17" s="11">
        <f t="shared" si="0"/>
        <v>12000</v>
      </c>
      <c r="G17" s="17">
        <f t="shared" ref="G17:G80" si="3">IF(OR($F17&gt;0,$B17=""),40.09,11.79)</f>
        <v>40.090000000000003</v>
      </c>
      <c r="H17" s="17">
        <f t="shared" ref="H17:H80" si="4">IF(AND((($F17-10000)&gt;=0),(($F17-10000)&lt;= 10000)),($F17-10000)/1000*2.18,IF(($F17-10000)&gt;=10000,2.18*10,0))</f>
        <v>4.3600000000000003</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44.45</v>
      </c>
      <c r="M17" s="18">
        <f t="shared" ref="M17:M80" si="8">IF(   $H$5=1,    IF((F17-$H$6)&gt;0,((F17-$H$6)/$N$7)*$E$8,0),   IF(F17&gt;0,(F17/$N$4)*$E$8,0)    )</f>
        <v>2.6048949682462141</v>
      </c>
      <c r="N17" s="18">
        <f t="shared" si="2"/>
        <v>47.054894968246217</v>
      </c>
      <c r="O17" s="8"/>
    </row>
    <row r="18" spans="1:15">
      <c r="A18" s="1" t="s">
        <v>8</v>
      </c>
      <c r="B18" s="11"/>
      <c r="C18" s="11">
        <v>2150000</v>
      </c>
      <c r="D18" s="11">
        <v>2173000</v>
      </c>
      <c r="E18" s="11">
        <v>0</v>
      </c>
      <c r="F18" s="11">
        <f t="shared" si="0"/>
        <v>23000</v>
      </c>
      <c r="G18" s="17">
        <f t="shared" si="3"/>
        <v>40.090000000000003</v>
      </c>
      <c r="H18" s="17">
        <f t="shared" si="4"/>
        <v>21.8</v>
      </c>
      <c r="I18" s="17">
        <f t="shared" si="5"/>
        <v>7.59</v>
      </c>
      <c r="J18" s="18">
        <f t="shared" si="6"/>
        <v>0</v>
      </c>
      <c r="K18" s="18">
        <f t="shared" si="7"/>
        <v>0</v>
      </c>
      <c r="L18" s="18">
        <f t="shared" si="1"/>
        <v>69.48</v>
      </c>
      <c r="M18" s="18">
        <f t="shared" si="8"/>
        <v>16.931817293600393</v>
      </c>
      <c r="N18" s="18">
        <f t="shared" si="2"/>
        <v>86.411817293600393</v>
      </c>
      <c r="O18" s="8"/>
    </row>
    <row r="19" spans="1:15">
      <c r="A19" s="1" t="s">
        <v>9</v>
      </c>
      <c r="B19" s="11"/>
      <c r="C19" s="11">
        <v>91000</v>
      </c>
      <c r="D19" s="11">
        <v>121000</v>
      </c>
      <c r="E19" s="11">
        <v>0</v>
      </c>
      <c r="F19" s="11">
        <f t="shared" si="0"/>
        <v>30000</v>
      </c>
      <c r="G19" s="17">
        <f t="shared" si="3"/>
        <v>40.090000000000003</v>
      </c>
      <c r="H19" s="17">
        <f t="shared" si="4"/>
        <v>21.8</v>
      </c>
      <c r="I19" s="17">
        <f t="shared" si="5"/>
        <v>25.299999999999997</v>
      </c>
      <c r="J19" s="18">
        <f t="shared" si="6"/>
        <v>0</v>
      </c>
      <c r="K19" s="18">
        <f t="shared" si="7"/>
        <v>0</v>
      </c>
      <c r="L19" s="18">
        <f t="shared" si="1"/>
        <v>87.19</v>
      </c>
      <c r="M19" s="18">
        <f t="shared" si="8"/>
        <v>26.04894968246214</v>
      </c>
      <c r="N19" s="18">
        <f t="shared" si="2"/>
        <v>113.23894968246213</v>
      </c>
      <c r="O19" s="8"/>
    </row>
    <row r="20" spans="1:15">
      <c r="A20" s="1" t="s">
        <v>10</v>
      </c>
      <c r="B20" s="11"/>
      <c r="C20" s="11">
        <v>1455000</v>
      </c>
      <c r="D20" s="11">
        <v>1475000</v>
      </c>
      <c r="E20" s="11">
        <v>0</v>
      </c>
      <c r="F20" s="11">
        <f t="shared" si="0"/>
        <v>20000</v>
      </c>
      <c r="G20" s="17">
        <f t="shared" si="3"/>
        <v>40.090000000000003</v>
      </c>
      <c r="H20" s="17">
        <f t="shared" si="4"/>
        <v>21.8</v>
      </c>
      <c r="I20" s="17">
        <f t="shared" si="5"/>
        <v>0</v>
      </c>
      <c r="J20" s="18">
        <f t="shared" si="6"/>
        <v>0</v>
      </c>
      <c r="K20" s="18">
        <f t="shared" si="7"/>
        <v>0</v>
      </c>
      <c r="L20" s="18">
        <f t="shared" si="1"/>
        <v>61.89</v>
      </c>
      <c r="M20" s="18">
        <f t="shared" si="8"/>
        <v>13.02447484123107</v>
      </c>
      <c r="N20" s="18">
        <f t="shared" si="2"/>
        <v>74.914474841231069</v>
      </c>
      <c r="O20" s="8"/>
    </row>
    <row r="21" spans="1:15">
      <c r="A21" s="1" t="s">
        <v>11</v>
      </c>
      <c r="B21" s="11"/>
      <c r="C21" s="11">
        <v>1924000</v>
      </c>
      <c r="D21" s="11">
        <v>1935000</v>
      </c>
      <c r="E21" s="11">
        <v>0</v>
      </c>
      <c r="F21" s="11">
        <f t="shared" si="0"/>
        <v>11000</v>
      </c>
      <c r="G21" s="17">
        <f t="shared" si="3"/>
        <v>40.090000000000003</v>
      </c>
      <c r="H21" s="17">
        <f t="shared" si="4"/>
        <v>2.1800000000000002</v>
      </c>
      <c r="I21" s="17">
        <f t="shared" si="5"/>
        <v>0</v>
      </c>
      <c r="J21" s="18">
        <f t="shared" si="6"/>
        <v>0</v>
      </c>
      <c r="K21" s="18">
        <f t="shared" si="7"/>
        <v>0</v>
      </c>
      <c r="L21" s="18">
        <f t="shared" si="1"/>
        <v>42.27</v>
      </c>
      <c r="M21" s="18">
        <f t="shared" si="8"/>
        <v>1.3024474841231071</v>
      </c>
      <c r="N21" s="18">
        <f t="shared" si="2"/>
        <v>43.57244748412311</v>
      </c>
      <c r="O21" s="8"/>
    </row>
    <row r="22" spans="1:15">
      <c r="A22" s="1" t="s">
        <v>12</v>
      </c>
      <c r="B22" s="11"/>
      <c r="C22" s="11">
        <v>2107000</v>
      </c>
      <c r="D22" s="11">
        <v>2135000</v>
      </c>
      <c r="E22" s="11">
        <v>0</v>
      </c>
      <c r="F22" s="11">
        <f t="shared" si="0"/>
        <v>28000</v>
      </c>
      <c r="G22" s="17">
        <f t="shared" si="3"/>
        <v>40.090000000000003</v>
      </c>
      <c r="H22" s="17">
        <f t="shared" si="4"/>
        <v>21.8</v>
      </c>
      <c r="I22" s="17">
        <f t="shared" si="5"/>
        <v>20.239999999999998</v>
      </c>
      <c r="J22" s="18">
        <f t="shared" si="6"/>
        <v>0</v>
      </c>
      <c r="K22" s="18">
        <f t="shared" si="7"/>
        <v>0</v>
      </c>
      <c r="L22" s="18">
        <f t="shared" si="1"/>
        <v>82.13</v>
      </c>
      <c r="M22" s="18">
        <f t="shared" si="8"/>
        <v>23.444054714215927</v>
      </c>
      <c r="N22" s="18">
        <f t="shared" si="2"/>
        <v>105.57405471421592</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6237000</v>
      </c>
      <c r="D24" s="11">
        <v>6306000</v>
      </c>
      <c r="E24" s="11">
        <v>0</v>
      </c>
      <c r="F24" s="11">
        <f t="shared" si="0"/>
        <v>69000</v>
      </c>
      <c r="G24" s="17">
        <f t="shared" si="3"/>
        <v>40.090000000000003</v>
      </c>
      <c r="H24" s="17">
        <f t="shared" si="4"/>
        <v>21.8</v>
      </c>
      <c r="I24" s="17">
        <f t="shared" si="5"/>
        <v>25.299999999999997</v>
      </c>
      <c r="J24" s="18">
        <f t="shared" si="6"/>
        <v>29.5</v>
      </c>
      <c r="K24" s="18">
        <f t="shared" si="7"/>
        <v>99.179999999999993</v>
      </c>
      <c r="L24" s="18">
        <f t="shared" si="1"/>
        <v>215.87</v>
      </c>
      <c r="M24" s="18">
        <f t="shared" si="8"/>
        <v>76.844401563263318</v>
      </c>
      <c r="N24" s="18">
        <f t="shared" si="2"/>
        <v>292.71440156326332</v>
      </c>
      <c r="O24" s="8"/>
    </row>
    <row r="25" spans="1:15">
      <c r="A25" s="1" t="s">
        <v>15</v>
      </c>
      <c r="B25" s="11"/>
      <c r="C25" s="11">
        <v>2548000</v>
      </c>
      <c r="D25" s="11">
        <v>2588000</v>
      </c>
      <c r="E25" s="11">
        <v>0</v>
      </c>
      <c r="F25" s="11">
        <f t="shared" si="0"/>
        <v>40000</v>
      </c>
      <c r="G25" s="17">
        <f t="shared" si="3"/>
        <v>40.090000000000003</v>
      </c>
      <c r="H25" s="17">
        <f t="shared" si="4"/>
        <v>21.8</v>
      </c>
      <c r="I25" s="17">
        <f t="shared" si="5"/>
        <v>25.299999999999997</v>
      </c>
      <c r="J25" s="18">
        <f t="shared" si="6"/>
        <v>29.5</v>
      </c>
      <c r="K25" s="18">
        <f t="shared" si="7"/>
        <v>0</v>
      </c>
      <c r="L25" s="18">
        <f t="shared" si="1"/>
        <v>116.69</v>
      </c>
      <c r="M25" s="18">
        <f t="shared" si="8"/>
        <v>39.073424523693213</v>
      </c>
      <c r="N25" s="18">
        <f t="shared" si="2"/>
        <v>155.7634245236932</v>
      </c>
      <c r="O25" s="8"/>
    </row>
    <row r="26" spans="1:15">
      <c r="A26" s="1" t="s">
        <v>16</v>
      </c>
      <c r="B26" s="11"/>
      <c r="C26" s="11">
        <v>1512000</v>
      </c>
      <c r="D26" s="11">
        <v>1541000</v>
      </c>
      <c r="E26" s="11">
        <v>0</v>
      </c>
      <c r="F26" s="11">
        <f t="shared" si="0"/>
        <v>29000</v>
      </c>
      <c r="G26" s="17">
        <f t="shared" si="3"/>
        <v>40.090000000000003</v>
      </c>
      <c r="H26" s="17">
        <f t="shared" si="4"/>
        <v>21.8</v>
      </c>
      <c r="I26" s="17">
        <f t="shared" si="5"/>
        <v>22.77</v>
      </c>
      <c r="J26" s="18">
        <f t="shared" si="6"/>
        <v>0</v>
      </c>
      <c r="K26" s="18">
        <f t="shared" si="7"/>
        <v>0</v>
      </c>
      <c r="L26" s="18">
        <f t="shared" si="1"/>
        <v>84.66</v>
      </c>
      <c r="M26" s="18">
        <f t="shared" si="8"/>
        <v>24.746502198339034</v>
      </c>
      <c r="N26" s="18">
        <f t="shared" si="2"/>
        <v>109.40650219833903</v>
      </c>
      <c r="O26" s="8"/>
    </row>
    <row r="27" spans="1:15">
      <c r="A27" s="1" t="s">
        <v>17</v>
      </c>
      <c r="B27" s="11"/>
      <c r="C27" s="11">
        <v>1141000</v>
      </c>
      <c r="D27" s="11">
        <v>1147000</v>
      </c>
      <c r="E27" s="11">
        <v>0</v>
      </c>
      <c r="F27" s="11">
        <f t="shared" si="0"/>
        <v>6000</v>
      </c>
      <c r="G27" s="17">
        <f t="shared" si="3"/>
        <v>40.090000000000003</v>
      </c>
      <c r="H27" s="17">
        <f t="shared" si="4"/>
        <v>0</v>
      </c>
      <c r="I27" s="17">
        <f t="shared" si="5"/>
        <v>0</v>
      </c>
      <c r="J27" s="18">
        <f t="shared" si="6"/>
        <v>0</v>
      </c>
      <c r="K27" s="18">
        <f t="shared" si="7"/>
        <v>0</v>
      </c>
      <c r="L27" s="18">
        <f t="shared" si="1"/>
        <v>40.090000000000003</v>
      </c>
      <c r="M27" s="18">
        <f t="shared" si="8"/>
        <v>0</v>
      </c>
      <c r="N27" s="18">
        <f t="shared" si="2"/>
        <v>40.090000000000003</v>
      </c>
      <c r="O27" s="8"/>
    </row>
    <row r="28" spans="1:15">
      <c r="A28" s="1" t="s">
        <v>18</v>
      </c>
      <c r="B28" s="11"/>
      <c r="C28" s="11">
        <v>3992000</v>
      </c>
      <c r="D28" s="11">
        <v>4007000</v>
      </c>
      <c r="E28" s="11">
        <v>0</v>
      </c>
      <c r="F28" s="11">
        <f t="shared" si="0"/>
        <v>15000</v>
      </c>
      <c r="G28" s="17">
        <f t="shared" si="3"/>
        <v>40.090000000000003</v>
      </c>
      <c r="H28" s="17">
        <f t="shared" si="4"/>
        <v>10.9</v>
      </c>
      <c r="I28" s="17">
        <f t="shared" si="5"/>
        <v>0</v>
      </c>
      <c r="J28" s="18">
        <f t="shared" si="6"/>
        <v>0</v>
      </c>
      <c r="K28" s="18">
        <f t="shared" si="7"/>
        <v>0</v>
      </c>
      <c r="L28" s="18">
        <f t="shared" si="1"/>
        <v>50.99</v>
      </c>
      <c r="M28" s="18">
        <f t="shared" si="8"/>
        <v>6.5122374206155351</v>
      </c>
      <c r="N28" s="18">
        <f t="shared" si="2"/>
        <v>57.502237420615536</v>
      </c>
      <c r="O28" s="8"/>
    </row>
    <row r="29" spans="1:15">
      <c r="A29" s="1" t="s">
        <v>19</v>
      </c>
      <c r="B29" s="11"/>
      <c r="C29" s="11">
        <v>1046000</v>
      </c>
      <c r="D29" s="11">
        <v>1099000</v>
      </c>
      <c r="E29" s="11">
        <v>0</v>
      </c>
      <c r="F29" s="11">
        <f t="shared" si="0"/>
        <v>53000</v>
      </c>
      <c r="G29" s="17">
        <f t="shared" si="3"/>
        <v>40.090000000000003</v>
      </c>
      <c r="H29" s="17">
        <f t="shared" si="4"/>
        <v>21.8</v>
      </c>
      <c r="I29" s="17">
        <f t="shared" si="5"/>
        <v>25.299999999999997</v>
      </c>
      <c r="J29" s="18">
        <f t="shared" si="6"/>
        <v>29.5</v>
      </c>
      <c r="K29" s="18">
        <f t="shared" si="7"/>
        <v>44.46</v>
      </c>
      <c r="L29" s="18">
        <f t="shared" si="1"/>
        <v>161.15</v>
      </c>
      <c r="M29" s="18">
        <f t="shared" si="8"/>
        <v>56.005241817293602</v>
      </c>
      <c r="N29" s="18">
        <f t="shared" si="2"/>
        <v>217.15524181729361</v>
      </c>
      <c r="O29" s="8"/>
    </row>
    <row r="30" spans="1:15">
      <c r="A30" s="1" t="s">
        <v>20</v>
      </c>
      <c r="B30" s="11"/>
      <c r="C30" s="11">
        <v>2153000</v>
      </c>
      <c r="D30" s="11">
        <v>2175000</v>
      </c>
      <c r="E30" s="11">
        <v>0</v>
      </c>
      <c r="F30" s="11">
        <f t="shared" si="0"/>
        <v>22000</v>
      </c>
      <c r="G30" s="17">
        <f t="shared" si="3"/>
        <v>40.090000000000003</v>
      </c>
      <c r="H30" s="17">
        <f t="shared" si="4"/>
        <v>21.8</v>
      </c>
      <c r="I30" s="17">
        <f t="shared" si="5"/>
        <v>5.0599999999999996</v>
      </c>
      <c r="J30" s="18">
        <f t="shared" si="6"/>
        <v>0</v>
      </c>
      <c r="K30" s="18">
        <f t="shared" si="7"/>
        <v>0</v>
      </c>
      <c r="L30" s="18">
        <f t="shared" si="1"/>
        <v>66.95</v>
      </c>
      <c r="M30" s="18">
        <f t="shared" si="8"/>
        <v>15.629369809477284</v>
      </c>
      <c r="N30" s="18">
        <f t="shared" si="2"/>
        <v>82.579369809477285</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583000</v>
      </c>
      <c r="D32" s="11">
        <v>592000</v>
      </c>
      <c r="E32" s="11">
        <v>0</v>
      </c>
      <c r="F32" s="11">
        <f t="shared" si="0"/>
        <v>9000</v>
      </c>
      <c r="G32" s="17">
        <f t="shared" si="3"/>
        <v>40.090000000000003</v>
      </c>
      <c r="H32" s="17">
        <f t="shared" si="4"/>
        <v>0</v>
      </c>
      <c r="I32" s="17">
        <f t="shared" si="5"/>
        <v>0</v>
      </c>
      <c r="J32" s="18">
        <f t="shared" si="6"/>
        <v>0</v>
      </c>
      <c r="K32" s="18">
        <f t="shared" si="7"/>
        <v>0</v>
      </c>
      <c r="L32" s="18">
        <f t="shared" si="1"/>
        <v>40.090000000000003</v>
      </c>
      <c r="M32" s="18">
        <f t="shared" si="8"/>
        <v>0</v>
      </c>
      <c r="N32" s="18">
        <f t="shared" si="2"/>
        <v>40.090000000000003</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2254000</v>
      </c>
      <c r="D35" s="11">
        <v>2290000</v>
      </c>
      <c r="E35" s="11">
        <v>0</v>
      </c>
      <c r="F35" s="11">
        <f t="shared" si="0"/>
        <v>36000</v>
      </c>
      <c r="G35" s="17">
        <f t="shared" si="3"/>
        <v>40.090000000000003</v>
      </c>
      <c r="H35" s="17">
        <f t="shared" si="4"/>
        <v>21.8</v>
      </c>
      <c r="I35" s="17">
        <f t="shared" si="5"/>
        <v>25.299999999999997</v>
      </c>
      <c r="J35" s="18">
        <f t="shared" si="6"/>
        <v>17.700000000000003</v>
      </c>
      <c r="K35" s="18">
        <f t="shared" si="7"/>
        <v>0</v>
      </c>
      <c r="L35" s="18">
        <f t="shared" si="1"/>
        <v>104.89</v>
      </c>
      <c r="M35" s="18">
        <f t="shared" si="8"/>
        <v>33.863634587200785</v>
      </c>
      <c r="N35" s="18">
        <f t="shared" si="2"/>
        <v>138.75363458720079</v>
      </c>
      <c r="O35" s="8"/>
    </row>
    <row r="36" spans="1:15">
      <c r="A36" s="1" t="s">
        <v>26</v>
      </c>
      <c r="B36" s="11"/>
      <c r="C36" s="11">
        <v>299000</v>
      </c>
      <c r="D36" s="11">
        <v>321000</v>
      </c>
      <c r="E36" s="11">
        <v>0</v>
      </c>
      <c r="F36" s="11">
        <f t="shared" si="0"/>
        <v>22000</v>
      </c>
      <c r="G36" s="17">
        <f t="shared" si="3"/>
        <v>40.090000000000003</v>
      </c>
      <c r="H36" s="17">
        <f t="shared" si="4"/>
        <v>21.8</v>
      </c>
      <c r="I36" s="17">
        <f t="shared" si="5"/>
        <v>5.0599999999999996</v>
      </c>
      <c r="J36" s="18">
        <f t="shared" si="6"/>
        <v>0</v>
      </c>
      <c r="K36" s="18">
        <f t="shared" si="7"/>
        <v>0</v>
      </c>
      <c r="L36" s="18">
        <f t="shared" si="1"/>
        <v>66.95</v>
      </c>
      <c r="M36" s="18">
        <f t="shared" si="8"/>
        <v>15.629369809477284</v>
      </c>
      <c r="N36" s="18">
        <f t="shared" si="2"/>
        <v>82.579369809477285</v>
      </c>
      <c r="O36" s="8"/>
    </row>
    <row r="37" spans="1:15">
      <c r="A37" s="1" t="s">
        <v>27</v>
      </c>
      <c r="B37" s="11"/>
      <c r="C37" s="11">
        <v>2117000</v>
      </c>
      <c r="D37" s="11">
        <v>2120000</v>
      </c>
      <c r="E37" s="11">
        <v>0</v>
      </c>
      <c r="F37" s="11">
        <f t="shared" si="0"/>
        <v>3000</v>
      </c>
      <c r="G37" s="17">
        <f t="shared" si="3"/>
        <v>40.090000000000003</v>
      </c>
      <c r="H37" s="17">
        <f t="shared" si="4"/>
        <v>0</v>
      </c>
      <c r="I37" s="17">
        <f t="shared" si="5"/>
        <v>0</v>
      </c>
      <c r="J37" s="18">
        <f t="shared" si="6"/>
        <v>0</v>
      </c>
      <c r="K37" s="18">
        <f t="shared" si="7"/>
        <v>0</v>
      </c>
      <c r="L37" s="18">
        <f t="shared" si="1"/>
        <v>40.090000000000003</v>
      </c>
      <c r="M37" s="18">
        <f t="shared" si="8"/>
        <v>0</v>
      </c>
      <c r="N37" s="18">
        <f t="shared" si="2"/>
        <v>40.090000000000003</v>
      </c>
      <c r="O37" s="8"/>
    </row>
    <row r="38" spans="1:15">
      <c r="A38" s="1" t="s">
        <v>28</v>
      </c>
      <c r="B38" s="11"/>
      <c r="C38" s="11">
        <v>1307000</v>
      </c>
      <c r="D38" s="11">
        <v>1320000</v>
      </c>
      <c r="E38" s="11">
        <v>0</v>
      </c>
      <c r="F38" s="11">
        <f t="shared" si="0"/>
        <v>13000</v>
      </c>
      <c r="G38" s="17">
        <f t="shared" si="3"/>
        <v>40.090000000000003</v>
      </c>
      <c r="H38" s="17">
        <f t="shared" si="4"/>
        <v>6.5400000000000009</v>
      </c>
      <c r="I38" s="17">
        <f t="shared" si="5"/>
        <v>0</v>
      </c>
      <c r="J38" s="18">
        <f t="shared" si="6"/>
        <v>0</v>
      </c>
      <c r="K38" s="18">
        <f t="shared" si="7"/>
        <v>0</v>
      </c>
      <c r="L38" s="18">
        <f t="shared" si="1"/>
        <v>46.63</v>
      </c>
      <c r="M38" s="18">
        <f t="shared" si="8"/>
        <v>3.907342452369321</v>
      </c>
      <c r="N38" s="18">
        <f t="shared" si="2"/>
        <v>50.537342452369323</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492000</v>
      </c>
      <c r="D41" s="11">
        <v>501000</v>
      </c>
      <c r="E41" s="11">
        <v>0</v>
      </c>
      <c r="F41" s="11">
        <f t="shared" si="0"/>
        <v>9000</v>
      </c>
      <c r="G41" s="17">
        <f t="shared" si="3"/>
        <v>40.090000000000003</v>
      </c>
      <c r="H41" s="17">
        <f t="shared" si="4"/>
        <v>0</v>
      </c>
      <c r="I41" s="17">
        <f t="shared" si="5"/>
        <v>0</v>
      </c>
      <c r="J41" s="18">
        <f t="shared" si="6"/>
        <v>0</v>
      </c>
      <c r="K41" s="18">
        <f t="shared" si="7"/>
        <v>0</v>
      </c>
      <c r="L41" s="18">
        <f t="shared" si="1"/>
        <v>40.090000000000003</v>
      </c>
      <c r="M41" s="18">
        <f t="shared" si="8"/>
        <v>0</v>
      </c>
      <c r="N41" s="18">
        <f t="shared" si="2"/>
        <v>40.090000000000003</v>
      </c>
      <c r="O41" s="8"/>
    </row>
    <row r="42" spans="1:15">
      <c r="A42" s="1" t="s">
        <v>32</v>
      </c>
      <c r="B42" s="11"/>
      <c r="C42" s="11">
        <v>3836000</v>
      </c>
      <c r="D42" s="11">
        <v>3855000</v>
      </c>
      <c r="E42" s="11">
        <v>0</v>
      </c>
      <c r="F42" s="11">
        <f t="shared" si="0"/>
        <v>19000</v>
      </c>
      <c r="G42" s="17">
        <f t="shared" si="3"/>
        <v>40.090000000000003</v>
      </c>
      <c r="H42" s="17">
        <f t="shared" si="4"/>
        <v>19.62</v>
      </c>
      <c r="I42" s="17">
        <f t="shared" si="5"/>
        <v>0</v>
      </c>
      <c r="J42" s="18">
        <f t="shared" si="6"/>
        <v>0</v>
      </c>
      <c r="K42" s="18">
        <f t="shared" si="7"/>
        <v>0</v>
      </c>
      <c r="L42" s="18">
        <f t="shared" si="1"/>
        <v>59.710000000000008</v>
      </c>
      <c r="M42" s="18">
        <f t="shared" si="8"/>
        <v>11.722027357107963</v>
      </c>
      <c r="N42" s="18">
        <f t="shared" si="2"/>
        <v>71.43202735710797</v>
      </c>
      <c r="O42" s="8"/>
    </row>
    <row r="43" spans="1:15">
      <c r="A43" s="1" t="s">
        <v>33</v>
      </c>
      <c r="B43" s="11"/>
      <c r="C43" s="11">
        <v>1148000</v>
      </c>
      <c r="D43" s="11">
        <v>1162000</v>
      </c>
      <c r="E43" s="11">
        <v>0</v>
      </c>
      <c r="F43" s="11">
        <f t="shared" si="0"/>
        <v>14000</v>
      </c>
      <c r="G43" s="17">
        <f t="shared" si="3"/>
        <v>40.090000000000003</v>
      </c>
      <c r="H43" s="17">
        <f t="shared" si="4"/>
        <v>8.7200000000000006</v>
      </c>
      <c r="I43" s="17">
        <f t="shared" si="5"/>
        <v>0</v>
      </c>
      <c r="J43" s="18">
        <f t="shared" si="6"/>
        <v>0</v>
      </c>
      <c r="K43" s="18">
        <f t="shared" si="7"/>
        <v>0</v>
      </c>
      <c r="L43" s="18">
        <f t="shared" si="1"/>
        <v>48.81</v>
      </c>
      <c r="M43" s="18">
        <f t="shared" si="8"/>
        <v>5.2097899364924283</v>
      </c>
      <c r="N43" s="18">
        <f t="shared" si="2"/>
        <v>54.01978993649243</v>
      </c>
      <c r="O43" s="8"/>
    </row>
    <row r="44" spans="1:15">
      <c r="A44" s="1" t="s">
        <v>34</v>
      </c>
      <c r="B44" s="11"/>
      <c r="C44" s="11">
        <v>78000</v>
      </c>
      <c r="D44" s="11">
        <v>122000</v>
      </c>
      <c r="E44" s="11"/>
      <c r="F44" s="11">
        <f t="shared" si="0"/>
        <v>44000</v>
      </c>
      <c r="G44" s="17">
        <f t="shared" si="3"/>
        <v>40.090000000000003</v>
      </c>
      <c r="H44" s="17">
        <f t="shared" si="4"/>
        <v>21.8</v>
      </c>
      <c r="I44" s="17">
        <f t="shared" si="5"/>
        <v>25.299999999999997</v>
      </c>
      <c r="J44" s="18">
        <f t="shared" si="6"/>
        <v>29.5</v>
      </c>
      <c r="K44" s="18">
        <f t="shared" si="7"/>
        <v>13.68</v>
      </c>
      <c r="L44" s="18">
        <f t="shared" si="1"/>
        <v>130.37</v>
      </c>
      <c r="M44" s="18">
        <f t="shared" si="8"/>
        <v>44.28321446018564</v>
      </c>
      <c r="N44" s="18">
        <f t="shared" si="2"/>
        <v>174.65321446018564</v>
      </c>
      <c r="O44" s="8"/>
    </row>
    <row r="45" spans="1:15">
      <c r="A45" s="1" t="s">
        <v>35</v>
      </c>
      <c r="B45" s="11"/>
      <c r="C45" s="11">
        <v>1362000</v>
      </c>
      <c r="D45" s="11">
        <v>1413000</v>
      </c>
      <c r="E45" s="11">
        <v>0</v>
      </c>
      <c r="F45" s="11">
        <f t="shared" si="0"/>
        <v>51000</v>
      </c>
      <c r="G45" s="17">
        <f t="shared" si="3"/>
        <v>40.090000000000003</v>
      </c>
      <c r="H45" s="17">
        <f t="shared" si="4"/>
        <v>21.8</v>
      </c>
      <c r="I45" s="17">
        <f t="shared" si="5"/>
        <v>25.299999999999997</v>
      </c>
      <c r="J45" s="18">
        <f t="shared" si="6"/>
        <v>29.5</v>
      </c>
      <c r="K45" s="18">
        <f t="shared" si="7"/>
        <v>37.619999999999997</v>
      </c>
      <c r="L45" s="18">
        <f t="shared" si="1"/>
        <v>154.31</v>
      </c>
      <c r="M45" s="18">
        <f t="shared" si="8"/>
        <v>53.400346849047388</v>
      </c>
      <c r="N45" s="18">
        <f t="shared" si="2"/>
        <v>207.7103468490474</v>
      </c>
      <c r="O45" s="8"/>
    </row>
    <row r="46" spans="1:15">
      <c r="A46" s="1" t="s">
        <v>36</v>
      </c>
      <c r="B46" s="11"/>
      <c r="C46" s="11">
        <v>1583000</v>
      </c>
      <c r="D46" s="11">
        <v>1586000</v>
      </c>
      <c r="E46" s="11">
        <v>0</v>
      </c>
      <c r="F46" s="11">
        <f t="shared" si="0"/>
        <v>3000</v>
      </c>
      <c r="G46" s="17">
        <f t="shared" si="3"/>
        <v>40.090000000000003</v>
      </c>
      <c r="H46" s="17">
        <f t="shared" si="4"/>
        <v>0</v>
      </c>
      <c r="I46" s="17">
        <f t="shared" si="5"/>
        <v>0</v>
      </c>
      <c r="J46" s="18">
        <f t="shared" si="6"/>
        <v>0</v>
      </c>
      <c r="K46" s="18">
        <f t="shared" si="7"/>
        <v>0</v>
      </c>
      <c r="L46" s="18">
        <f t="shared" si="1"/>
        <v>40.090000000000003</v>
      </c>
      <c r="M46" s="18">
        <f t="shared" si="8"/>
        <v>0</v>
      </c>
      <c r="N46" s="18">
        <f t="shared" si="2"/>
        <v>40.090000000000003</v>
      </c>
      <c r="O46" s="8"/>
    </row>
    <row r="47" spans="1:15">
      <c r="A47" s="1" t="s">
        <v>37</v>
      </c>
      <c r="B47" s="11"/>
      <c r="C47" s="11">
        <v>1657000</v>
      </c>
      <c r="D47" s="11">
        <v>1745000</v>
      </c>
      <c r="E47" s="11">
        <v>0</v>
      </c>
      <c r="F47" s="11">
        <f t="shared" si="0"/>
        <v>88000</v>
      </c>
      <c r="G47" s="17">
        <f t="shared" si="3"/>
        <v>40.090000000000003</v>
      </c>
      <c r="H47" s="17">
        <f t="shared" si="4"/>
        <v>21.8</v>
      </c>
      <c r="I47" s="17">
        <f t="shared" si="5"/>
        <v>25.299999999999997</v>
      </c>
      <c r="J47" s="18">
        <f t="shared" si="6"/>
        <v>29.5</v>
      </c>
      <c r="K47" s="18">
        <f t="shared" si="7"/>
        <v>164.16</v>
      </c>
      <c r="L47" s="18">
        <f t="shared" si="1"/>
        <v>280.85000000000002</v>
      </c>
      <c r="M47" s="18">
        <f t="shared" si="8"/>
        <v>101.59090376160235</v>
      </c>
      <c r="N47" s="18">
        <f t="shared" si="2"/>
        <v>382.44090376160239</v>
      </c>
      <c r="O47" s="8"/>
    </row>
    <row r="48" spans="1:15">
      <c r="A48" s="1" t="s">
        <v>38</v>
      </c>
      <c r="B48" s="11"/>
      <c r="C48" s="11">
        <v>1446000</v>
      </c>
      <c r="D48" s="11">
        <v>1525000</v>
      </c>
      <c r="E48" s="11">
        <v>0</v>
      </c>
      <c r="F48" s="11">
        <f t="shared" si="0"/>
        <v>79000</v>
      </c>
      <c r="G48" s="17">
        <f t="shared" si="3"/>
        <v>40.090000000000003</v>
      </c>
      <c r="H48" s="17">
        <f t="shared" si="4"/>
        <v>21.8</v>
      </c>
      <c r="I48" s="17">
        <f t="shared" si="5"/>
        <v>25.299999999999997</v>
      </c>
      <c r="J48" s="18">
        <f t="shared" si="6"/>
        <v>29.5</v>
      </c>
      <c r="K48" s="18">
        <f t="shared" si="7"/>
        <v>133.38</v>
      </c>
      <c r="L48" s="18">
        <f t="shared" si="1"/>
        <v>250.07</v>
      </c>
      <c r="M48" s="18">
        <f t="shared" si="8"/>
        <v>89.868876404494387</v>
      </c>
      <c r="N48" s="18">
        <f t="shared" si="2"/>
        <v>339.93887640449441</v>
      </c>
      <c r="O48" s="8"/>
    </row>
    <row r="49" spans="1:15">
      <c r="A49" s="1" t="s">
        <v>39</v>
      </c>
      <c r="B49" s="11" t="s">
        <v>138</v>
      </c>
      <c r="C49" s="11">
        <v>0</v>
      </c>
      <c r="D49" s="11">
        <v>0</v>
      </c>
      <c r="E49" s="11">
        <v>0</v>
      </c>
      <c r="F49" s="11">
        <f t="shared" si="0"/>
        <v>0</v>
      </c>
      <c r="G49" s="17">
        <f t="shared" si="3"/>
        <v>11.79</v>
      </c>
      <c r="H49" s="17">
        <f t="shared" si="4"/>
        <v>0</v>
      </c>
      <c r="I49" s="17">
        <f t="shared" si="5"/>
        <v>0</v>
      </c>
      <c r="J49" s="18">
        <f t="shared" si="6"/>
        <v>0</v>
      </c>
      <c r="K49" s="18">
        <f t="shared" si="7"/>
        <v>0</v>
      </c>
      <c r="L49" s="18">
        <f t="shared" si="1"/>
        <v>11.79</v>
      </c>
      <c r="M49" s="18">
        <f t="shared" si="8"/>
        <v>0</v>
      </c>
      <c r="N49" s="18">
        <f t="shared" si="2"/>
        <v>11.79</v>
      </c>
      <c r="O49" s="8"/>
    </row>
    <row r="50" spans="1:15">
      <c r="A50" s="1" t="s">
        <v>40</v>
      </c>
      <c r="B50" s="11" t="s">
        <v>138</v>
      </c>
      <c r="C50" s="11">
        <v>0</v>
      </c>
      <c r="D50" s="11">
        <v>0</v>
      </c>
      <c r="E50" s="11">
        <v>0</v>
      </c>
      <c r="F50" s="11">
        <f t="shared" si="0"/>
        <v>0</v>
      </c>
      <c r="G50" s="17">
        <f t="shared" si="3"/>
        <v>11.79</v>
      </c>
      <c r="H50" s="17">
        <f t="shared" si="4"/>
        <v>0</v>
      </c>
      <c r="I50" s="17">
        <f t="shared" si="5"/>
        <v>0</v>
      </c>
      <c r="J50" s="18">
        <f t="shared" si="6"/>
        <v>0</v>
      </c>
      <c r="K50" s="18">
        <f t="shared" si="7"/>
        <v>0</v>
      </c>
      <c r="L50" s="18">
        <f t="shared" si="1"/>
        <v>11.79</v>
      </c>
      <c r="M50" s="18">
        <f t="shared" si="8"/>
        <v>0</v>
      </c>
      <c r="N50" s="18">
        <f t="shared" si="2"/>
        <v>11.79</v>
      </c>
      <c r="O50" s="8"/>
    </row>
    <row r="51" spans="1:15">
      <c r="A51" s="1" t="s">
        <v>41</v>
      </c>
      <c r="B51" s="11" t="s">
        <v>138</v>
      </c>
      <c r="C51" s="11">
        <v>0</v>
      </c>
      <c r="D51" s="11">
        <v>0</v>
      </c>
      <c r="E51" s="11">
        <v>0</v>
      </c>
      <c r="F51" s="11">
        <f t="shared" si="0"/>
        <v>0</v>
      </c>
      <c r="G51" s="17">
        <f t="shared" si="3"/>
        <v>11.79</v>
      </c>
      <c r="H51" s="17">
        <f t="shared" si="4"/>
        <v>0</v>
      </c>
      <c r="I51" s="17">
        <f t="shared" si="5"/>
        <v>0</v>
      </c>
      <c r="J51" s="18">
        <f t="shared" si="6"/>
        <v>0</v>
      </c>
      <c r="K51" s="18">
        <f t="shared" si="7"/>
        <v>0</v>
      </c>
      <c r="L51" s="18">
        <f t="shared" si="1"/>
        <v>11.79</v>
      </c>
      <c r="M51" s="18">
        <f t="shared" si="8"/>
        <v>0</v>
      </c>
      <c r="N51" s="18">
        <f t="shared" si="2"/>
        <v>11.79</v>
      </c>
      <c r="O51" s="8"/>
    </row>
    <row r="52" spans="1:15">
      <c r="A52" s="1" t="s">
        <v>42</v>
      </c>
      <c r="B52" s="11"/>
      <c r="C52" s="11">
        <v>2999000</v>
      </c>
      <c r="D52" s="11">
        <v>3025000</v>
      </c>
      <c r="E52" s="11">
        <v>0</v>
      </c>
      <c r="F52" s="11">
        <f t="shared" si="0"/>
        <v>26000</v>
      </c>
      <c r="G52" s="17">
        <f t="shared" si="3"/>
        <v>40.090000000000003</v>
      </c>
      <c r="H52" s="17">
        <f t="shared" si="4"/>
        <v>21.8</v>
      </c>
      <c r="I52" s="17">
        <f t="shared" si="5"/>
        <v>15.18</v>
      </c>
      <c r="J52" s="18">
        <f t="shared" si="6"/>
        <v>0</v>
      </c>
      <c r="K52" s="18">
        <f t="shared" si="7"/>
        <v>0</v>
      </c>
      <c r="L52" s="18">
        <f t="shared" si="1"/>
        <v>77.069999999999993</v>
      </c>
      <c r="M52" s="18">
        <f t="shared" si="8"/>
        <v>20.839159745969713</v>
      </c>
      <c r="N52" s="18">
        <f t="shared" si="2"/>
        <v>97.909159745969703</v>
      </c>
      <c r="O52" s="8"/>
    </row>
    <row r="53" spans="1:15">
      <c r="A53" s="1" t="s">
        <v>43</v>
      </c>
      <c r="B53" s="11"/>
      <c r="C53" s="11">
        <v>3169000</v>
      </c>
      <c r="D53" s="11">
        <v>3193000</v>
      </c>
      <c r="E53" s="11">
        <v>0</v>
      </c>
      <c r="F53" s="11">
        <f t="shared" si="0"/>
        <v>24000</v>
      </c>
      <c r="G53" s="17">
        <f t="shared" si="3"/>
        <v>40.090000000000003</v>
      </c>
      <c r="H53" s="17">
        <f t="shared" si="4"/>
        <v>21.8</v>
      </c>
      <c r="I53" s="17">
        <f t="shared" si="5"/>
        <v>10.119999999999999</v>
      </c>
      <c r="J53" s="18">
        <f t="shared" si="6"/>
        <v>0</v>
      </c>
      <c r="K53" s="18">
        <f t="shared" si="7"/>
        <v>0</v>
      </c>
      <c r="L53" s="18">
        <f t="shared" si="1"/>
        <v>72.010000000000005</v>
      </c>
      <c r="M53" s="18">
        <f t="shared" si="8"/>
        <v>18.234264777723499</v>
      </c>
      <c r="N53" s="18">
        <f t="shared" si="2"/>
        <v>90.244264777723501</v>
      </c>
      <c r="O53" s="8"/>
    </row>
    <row r="54" spans="1:15">
      <c r="A54" s="1" t="s">
        <v>44</v>
      </c>
      <c r="B54" s="11"/>
      <c r="C54" s="11">
        <v>3953000</v>
      </c>
      <c r="D54" s="11">
        <v>3988000</v>
      </c>
      <c r="E54" s="11">
        <v>0</v>
      </c>
      <c r="F54" s="11">
        <f t="shared" si="0"/>
        <v>35000</v>
      </c>
      <c r="G54" s="17">
        <f t="shared" si="3"/>
        <v>40.090000000000003</v>
      </c>
      <c r="H54" s="17">
        <f t="shared" si="4"/>
        <v>21.8</v>
      </c>
      <c r="I54" s="17">
        <f t="shared" si="5"/>
        <v>25.299999999999997</v>
      </c>
      <c r="J54" s="18">
        <f t="shared" si="6"/>
        <v>14.75</v>
      </c>
      <c r="K54" s="18">
        <f t="shared" si="7"/>
        <v>0</v>
      </c>
      <c r="L54" s="18">
        <f t="shared" si="1"/>
        <v>101.94</v>
      </c>
      <c r="M54" s="18">
        <f t="shared" si="8"/>
        <v>32.561187103077678</v>
      </c>
      <c r="N54" s="18">
        <f t="shared" si="2"/>
        <v>134.50118710307768</v>
      </c>
      <c r="O54" s="8"/>
    </row>
    <row r="55" spans="1:15">
      <c r="A55" s="1" t="s">
        <v>45</v>
      </c>
      <c r="B55" s="11" t="s">
        <v>138</v>
      </c>
      <c r="C55" s="11">
        <v>0</v>
      </c>
      <c r="D55" s="11">
        <v>0</v>
      </c>
      <c r="E55" s="11">
        <v>0</v>
      </c>
      <c r="F55" s="11">
        <f t="shared" si="0"/>
        <v>0</v>
      </c>
      <c r="G55" s="17">
        <f t="shared" si="3"/>
        <v>11.79</v>
      </c>
      <c r="H55" s="17">
        <f t="shared" si="4"/>
        <v>0</v>
      </c>
      <c r="I55" s="17">
        <f t="shared" si="5"/>
        <v>0</v>
      </c>
      <c r="J55" s="18">
        <f t="shared" si="6"/>
        <v>0</v>
      </c>
      <c r="K55" s="18">
        <f t="shared" si="7"/>
        <v>0</v>
      </c>
      <c r="L55" s="18">
        <f t="shared" si="1"/>
        <v>11.79</v>
      </c>
      <c r="M55" s="18">
        <f t="shared" si="8"/>
        <v>0</v>
      </c>
      <c r="N55" s="18">
        <f t="shared" si="2"/>
        <v>11.79</v>
      </c>
      <c r="O55" s="8"/>
    </row>
    <row r="56" spans="1:15">
      <c r="A56" s="1" t="s">
        <v>46</v>
      </c>
      <c r="B56" s="11" t="s">
        <v>138</v>
      </c>
      <c r="C56" s="11">
        <v>0</v>
      </c>
      <c r="D56" s="11">
        <v>0</v>
      </c>
      <c r="E56" s="11">
        <v>0</v>
      </c>
      <c r="F56" s="11">
        <f t="shared" si="0"/>
        <v>0</v>
      </c>
      <c r="G56" s="17">
        <f t="shared" si="3"/>
        <v>11.79</v>
      </c>
      <c r="H56" s="17">
        <f t="shared" si="4"/>
        <v>0</v>
      </c>
      <c r="I56" s="17">
        <f t="shared" si="5"/>
        <v>0</v>
      </c>
      <c r="J56" s="18">
        <f t="shared" si="6"/>
        <v>0</v>
      </c>
      <c r="K56" s="18">
        <f t="shared" si="7"/>
        <v>0</v>
      </c>
      <c r="L56" s="18">
        <f t="shared" si="1"/>
        <v>11.79</v>
      </c>
      <c r="M56" s="18">
        <f t="shared" si="8"/>
        <v>0</v>
      </c>
      <c r="N56" s="18">
        <f t="shared" si="2"/>
        <v>11.79</v>
      </c>
      <c r="O56" s="8"/>
    </row>
    <row r="57" spans="1:15">
      <c r="A57" s="1" t="s">
        <v>47</v>
      </c>
      <c r="B57" s="11" t="s">
        <v>138</v>
      </c>
      <c r="C57" s="11">
        <v>0</v>
      </c>
      <c r="D57" s="11">
        <v>0</v>
      </c>
      <c r="E57" s="11">
        <v>0</v>
      </c>
      <c r="F57" s="11">
        <f t="shared" si="0"/>
        <v>0</v>
      </c>
      <c r="G57" s="17">
        <f t="shared" si="3"/>
        <v>11.79</v>
      </c>
      <c r="H57" s="17">
        <f t="shared" si="4"/>
        <v>0</v>
      </c>
      <c r="I57" s="17">
        <f t="shared" si="5"/>
        <v>0</v>
      </c>
      <c r="J57" s="18">
        <f t="shared" si="6"/>
        <v>0</v>
      </c>
      <c r="K57" s="18">
        <f t="shared" si="7"/>
        <v>0</v>
      </c>
      <c r="L57" s="18">
        <f t="shared" si="1"/>
        <v>11.79</v>
      </c>
      <c r="M57" s="18">
        <f t="shared" si="8"/>
        <v>0</v>
      </c>
      <c r="N57" s="18">
        <f t="shared" si="2"/>
        <v>11.79</v>
      </c>
      <c r="O57" s="8"/>
    </row>
    <row r="58" spans="1:15">
      <c r="A58" s="1" t="s">
        <v>48</v>
      </c>
      <c r="B58" s="11"/>
      <c r="C58" s="11">
        <v>1111000</v>
      </c>
      <c r="D58" s="11">
        <v>1113000</v>
      </c>
      <c r="E58" s="11">
        <v>0</v>
      </c>
      <c r="F58" s="11">
        <f t="shared" si="0"/>
        <v>2000</v>
      </c>
      <c r="G58" s="17">
        <f t="shared" si="3"/>
        <v>40.090000000000003</v>
      </c>
      <c r="H58" s="17">
        <f t="shared" si="4"/>
        <v>0</v>
      </c>
      <c r="I58" s="17">
        <f t="shared" si="5"/>
        <v>0</v>
      </c>
      <c r="J58" s="18">
        <f t="shared" si="6"/>
        <v>0</v>
      </c>
      <c r="K58" s="18">
        <f t="shared" si="7"/>
        <v>0</v>
      </c>
      <c r="L58" s="18">
        <f t="shared" si="1"/>
        <v>40.090000000000003</v>
      </c>
      <c r="M58" s="18">
        <f t="shared" si="8"/>
        <v>0</v>
      </c>
      <c r="N58" s="18">
        <f t="shared" si="2"/>
        <v>40.090000000000003</v>
      </c>
      <c r="O58" s="8"/>
    </row>
    <row r="59" spans="1:15">
      <c r="A59" s="1" t="s">
        <v>49</v>
      </c>
      <c r="B59" s="11"/>
      <c r="C59" s="11">
        <v>855000</v>
      </c>
      <c r="D59" s="11">
        <v>864000</v>
      </c>
      <c r="E59" s="11">
        <v>0</v>
      </c>
      <c r="F59" s="11">
        <f t="shared" si="0"/>
        <v>9000</v>
      </c>
      <c r="G59" s="17">
        <f t="shared" si="3"/>
        <v>40.090000000000003</v>
      </c>
      <c r="H59" s="17">
        <f t="shared" si="4"/>
        <v>0</v>
      </c>
      <c r="I59" s="17">
        <f t="shared" si="5"/>
        <v>0</v>
      </c>
      <c r="J59" s="18">
        <f t="shared" si="6"/>
        <v>0</v>
      </c>
      <c r="K59" s="18">
        <f t="shared" si="7"/>
        <v>0</v>
      </c>
      <c r="L59" s="18">
        <f t="shared" si="1"/>
        <v>40.090000000000003</v>
      </c>
      <c r="M59" s="18">
        <f t="shared" si="8"/>
        <v>0</v>
      </c>
      <c r="N59" s="18">
        <f t="shared" si="2"/>
        <v>40.090000000000003</v>
      </c>
      <c r="O59" s="8"/>
    </row>
    <row r="60" spans="1:15">
      <c r="A60" s="1" t="s">
        <v>50</v>
      </c>
      <c r="B60" s="11"/>
      <c r="C60" s="11">
        <v>3436000</v>
      </c>
      <c r="D60" s="11">
        <v>3459000</v>
      </c>
      <c r="E60" s="11">
        <v>0</v>
      </c>
      <c r="F60" s="11">
        <f t="shared" si="0"/>
        <v>23000</v>
      </c>
      <c r="G60" s="17">
        <f t="shared" si="3"/>
        <v>40.090000000000003</v>
      </c>
      <c r="H60" s="17">
        <f t="shared" si="4"/>
        <v>21.8</v>
      </c>
      <c r="I60" s="17">
        <f t="shared" si="5"/>
        <v>7.59</v>
      </c>
      <c r="J60" s="18">
        <f t="shared" si="6"/>
        <v>0</v>
      </c>
      <c r="K60" s="18">
        <f t="shared" si="7"/>
        <v>0</v>
      </c>
      <c r="L60" s="18">
        <f t="shared" si="1"/>
        <v>69.48</v>
      </c>
      <c r="M60" s="18">
        <f t="shared" si="8"/>
        <v>16.931817293600393</v>
      </c>
      <c r="N60" s="18">
        <f t="shared" si="2"/>
        <v>86.411817293600393</v>
      </c>
      <c r="O60" s="8"/>
    </row>
    <row r="61" spans="1:15">
      <c r="A61" s="1" t="s">
        <v>51</v>
      </c>
      <c r="B61" s="11" t="s">
        <v>138</v>
      </c>
      <c r="C61" s="11">
        <v>0</v>
      </c>
      <c r="D61" s="11">
        <v>0</v>
      </c>
      <c r="E61" s="11">
        <v>0</v>
      </c>
      <c r="F61" s="11">
        <f t="shared" si="0"/>
        <v>0</v>
      </c>
      <c r="G61" s="17">
        <f t="shared" si="3"/>
        <v>11.79</v>
      </c>
      <c r="H61" s="17">
        <f t="shared" si="4"/>
        <v>0</v>
      </c>
      <c r="I61" s="17">
        <f t="shared" si="5"/>
        <v>0</v>
      </c>
      <c r="J61" s="18">
        <f t="shared" si="6"/>
        <v>0</v>
      </c>
      <c r="K61" s="18">
        <f t="shared" si="7"/>
        <v>0</v>
      </c>
      <c r="L61" s="18">
        <f t="shared" si="1"/>
        <v>11.79</v>
      </c>
      <c r="M61" s="18">
        <f t="shared" si="8"/>
        <v>0</v>
      </c>
      <c r="N61" s="18">
        <f t="shared" si="2"/>
        <v>11.79</v>
      </c>
      <c r="O61" s="8"/>
    </row>
    <row r="62" spans="1:15">
      <c r="A62" s="1" t="s">
        <v>52</v>
      </c>
      <c r="B62" s="11"/>
      <c r="C62" s="11">
        <v>1687000</v>
      </c>
      <c r="D62" s="11">
        <v>1696000</v>
      </c>
      <c r="E62" s="11">
        <v>0</v>
      </c>
      <c r="F62" s="11">
        <f t="shared" si="0"/>
        <v>9000</v>
      </c>
      <c r="G62" s="17">
        <f t="shared" si="3"/>
        <v>40.090000000000003</v>
      </c>
      <c r="H62" s="17">
        <f t="shared" si="4"/>
        <v>0</v>
      </c>
      <c r="I62" s="17">
        <f t="shared" si="5"/>
        <v>0</v>
      </c>
      <c r="J62" s="18">
        <f t="shared" si="6"/>
        <v>0</v>
      </c>
      <c r="K62" s="18">
        <f t="shared" si="7"/>
        <v>0</v>
      </c>
      <c r="L62" s="18">
        <f t="shared" si="1"/>
        <v>40.090000000000003</v>
      </c>
      <c r="M62" s="18">
        <f t="shared" si="8"/>
        <v>0</v>
      </c>
      <c r="N62" s="18">
        <f t="shared" si="2"/>
        <v>40.090000000000003</v>
      </c>
      <c r="O62" s="8"/>
    </row>
    <row r="63" spans="1:15">
      <c r="A63" s="1" t="s">
        <v>53</v>
      </c>
      <c r="B63" s="11"/>
      <c r="C63" s="11">
        <v>2260000</v>
      </c>
      <c r="D63" s="11">
        <v>2281000</v>
      </c>
      <c r="E63" s="11">
        <v>0</v>
      </c>
      <c r="F63" s="11">
        <f t="shared" si="0"/>
        <v>21000</v>
      </c>
      <c r="G63" s="17">
        <f t="shared" si="3"/>
        <v>40.090000000000003</v>
      </c>
      <c r="H63" s="17">
        <f t="shared" si="4"/>
        <v>21.8</v>
      </c>
      <c r="I63" s="17">
        <f t="shared" si="5"/>
        <v>2.5299999999999998</v>
      </c>
      <c r="J63" s="18">
        <f t="shared" si="6"/>
        <v>0</v>
      </c>
      <c r="K63" s="18">
        <f t="shared" si="7"/>
        <v>0</v>
      </c>
      <c r="L63" s="18">
        <f t="shared" si="1"/>
        <v>64.42</v>
      </c>
      <c r="M63" s="18">
        <f t="shared" si="8"/>
        <v>14.326922325354177</v>
      </c>
      <c r="N63" s="18">
        <f t="shared" si="2"/>
        <v>78.746922325354177</v>
      </c>
      <c r="O63" s="8"/>
    </row>
    <row r="64" spans="1:15">
      <c r="A64" s="1" t="s">
        <v>54</v>
      </c>
      <c r="B64" s="11"/>
      <c r="C64" s="11">
        <v>2843000</v>
      </c>
      <c r="D64" s="11">
        <v>2939000</v>
      </c>
      <c r="E64" s="11">
        <v>0</v>
      </c>
      <c r="F64" s="11">
        <f t="shared" si="0"/>
        <v>96000</v>
      </c>
      <c r="G64" s="17">
        <f t="shared" si="3"/>
        <v>40.090000000000003</v>
      </c>
      <c r="H64" s="17">
        <f t="shared" si="4"/>
        <v>21.8</v>
      </c>
      <c r="I64" s="17">
        <f t="shared" si="5"/>
        <v>25.299999999999997</v>
      </c>
      <c r="J64" s="18">
        <f t="shared" si="6"/>
        <v>29.5</v>
      </c>
      <c r="K64" s="18">
        <f t="shared" si="7"/>
        <v>191.51999999999998</v>
      </c>
      <c r="L64" s="18">
        <f t="shared" si="1"/>
        <v>308.20999999999998</v>
      </c>
      <c r="M64" s="18">
        <f t="shared" si="8"/>
        <v>112.0104836345872</v>
      </c>
      <c r="N64" s="18">
        <f t="shared" si="2"/>
        <v>420.2204836345872</v>
      </c>
      <c r="O64" s="8"/>
    </row>
    <row r="65" spans="1:15">
      <c r="A65" s="1" t="s">
        <v>55</v>
      </c>
      <c r="B65" s="11" t="s">
        <v>138</v>
      </c>
      <c r="C65" s="11">
        <v>0</v>
      </c>
      <c r="D65" s="11">
        <v>0</v>
      </c>
      <c r="E65" s="11">
        <v>0</v>
      </c>
      <c r="F65" s="11">
        <f t="shared" si="0"/>
        <v>0</v>
      </c>
      <c r="G65" s="17">
        <f t="shared" si="3"/>
        <v>11.79</v>
      </c>
      <c r="H65" s="17">
        <f t="shared" si="4"/>
        <v>0</v>
      </c>
      <c r="I65" s="17">
        <f t="shared" si="5"/>
        <v>0</v>
      </c>
      <c r="J65" s="18">
        <f t="shared" si="6"/>
        <v>0</v>
      </c>
      <c r="K65" s="18">
        <f t="shared" si="7"/>
        <v>0</v>
      </c>
      <c r="L65" s="18">
        <f t="shared" si="1"/>
        <v>11.79</v>
      </c>
      <c r="M65" s="18">
        <f t="shared" si="8"/>
        <v>0</v>
      </c>
      <c r="N65" s="18">
        <f t="shared" si="2"/>
        <v>11.79</v>
      </c>
      <c r="O65" s="8"/>
    </row>
    <row r="66" spans="1:15">
      <c r="A66" s="1" t="s">
        <v>56</v>
      </c>
      <c r="B66" s="11"/>
      <c r="C66" s="11">
        <v>1388000</v>
      </c>
      <c r="D66" s="11">
        <v>1440000</v>
      </c>
      <c r="E66" s="11">
        <v>0</v>
      </c>
      <c r="F66" s="11">
        <f t="shared" si="0"/>
        <v>52000</v>
      </c>
      <c r="G66" s="17">
        <f t="shared" si="3"/>
        <v>40.090000000000003</v>
      </c>
      <c r="H66" s="17">
        <f t="shared" si="4"/>
        <v>21.8</v>
      </c>
      <c r="I66" s="17">
        <f t="shared" si="5"/>
        <v>25.299999999999997</v>
      </c>
      <c r="J66" s="18">
        <f t="shared" si="6"/>
        <v>29.5</v>
      </c>
      <c r="K66" s="18">
        <f t="shared" si="7"/>
        <v>41.04</v>
      </c>
      <c r="L66" s="18">
        <f t="shared" si="1"/>
        <v>157.72999999999999</v>
      </c>
      <c r="M66" s="18">
        <f t="shared" si="8"/>
        <v>54.702794333170495</v>
      </c>
      <c r="N66" s="18">
        <f t="shared" si="2"/>
        <v>212.43279433317048</v>
      </c>
      <c r="O66" s="8"/>
    </row>
    <row r="67" spans="1:15">
      <c r="A67" s="1" t="s">
        <v>57</v>
      </c>
      <c r="B67" s="11"/>
      <c r="C67" s="11">
        <v>1609000</v>
      </c>
      <c r="D67" s="11">
        <v>1609000</v>
      </c>
      <c r="E67" s="11">
        <v>0</v>
      </c>
      <c r="F67" s="11">
        <f t="shared" si="0"/>
        <v>0</v>
      </c>
      <c r="G67" s="17">
        <f t="shared" si="3"/>
        <v>40.090000000000003</v>
      </c>
      <c r="H67" s="17">
        <f t="shared" si="4"/>
        <v>0</v>
      </c>
      <c r="I67" s="17">
        <f t="shared" si="5"/>
        <v>0</v>
      </c>
      <c r="J67" s="18">
        <f t="shared" si="6"/>
        <v>0</v>
      </c>
      <c r="K67" s="18">
        <f t="shared" si="7"/>
        <v>0</v>
      </c>
      <c r="L67" s="18">
        <f t="shared" si="1"/>
        <v>40.090000000000003</v>
      </c>
      <c r="M67" s="18">
        <f t="shared" si="8"/>
        <v>0</v>
      </c>
      <c r="N67" s="18">
        <f t="shared" si="2"/>
        <v>40.090000000000003</v>
      </c>
      <c r="O67" s="8"/>
    </row>
    <row r="68" spans="1:15">
      <c r="A68" s="1" t="s">
        <v>58</v>
      </c>
      <c r="B68" s="11" t="s">
        <v>138</v>
      </c>
      <c r="C68" s="11">
        <v>0</v>
      </c>
      <c r="D68" s="11">
        <v>0</v>
      </c>
      <c r="E68" s="11">
        <v>0</v>
      </c>
      <c r="F68" s="11">
        <f t="shared" si="0"/>
        <v>0</v>
      </c>
      <c r="G68" s="17">
        <f t="shared" si="3"/>
        <v>11.79</v>
      </c>
      <c r="H68" s="17">
        <f t="shared" si="4"/>
        <v>0</v>
      </c>
      <c r="I68" s="17">
        <f t="shared" si="5"/>
        <v>0</v>
      </c>
      <c r="J68" s="18">
        <f t="shared" si="6"/>
        <v>0</v>
      </c>
      <c r="K68" s="18">
        <f t="shared" si="7"/>
        <v>0</v>
      </c>
      <c r="L68" s="18">
        <f t="shared" si="1"/>
        <v>11.79</v>
      </c>
      <c r="M68" s="18">
        <f t="shared" si="8"/>
        <v>0</v>
      </c>
      <c r="N68" s="18">
        <f t="shared" si="2"/>
        <v>11.79</v>
      </c>
      <c r="O68" s="8"/>
    </row>
    <row r="69" spans="1:15">
      <c r="A69" s="1" t="s">
        <v>59</v>
      </c>
      <c r="B69" s="11" t="s">
        <v>138</v>
      </c>
      <c r="C69" s="11">
        <v>0</v>
      </c>
      <c r="D69" s="11">
        <v>0</v>
      </c>
      <c r="E69" s="11">
        <v>0</v>
      </c>
      <c r="F69" s="11">
        <f t="shared" si="0"/>
        <v>0</v>
      </c>
      <c r="G69" s="17">
        <f t="shared" si="3"/>
        <v>11.79</v>
      </c>
      <c r="H69" s="17">
        <f t="shared" si="4"/>
        <v>0</v>
      </c>
      <c r="I69" s="17">
        <f t="shared" si="5"/>
        <v>0</v>
      </c>
      <c r="J69" s="18">
        <f t="shared" si="6"/>
        <v>0</v>
      </c>
      <c r="K69" s="18">
        <f t="shared" si="7"/>
        <v>0</v>
      </c>
      <c r="L69" s="18">
        <f t="shared" si="1"/>
        <v>11.79</v>
      </c>
      <c r="M69" s="18">
        <f t="shared" si="8"/>
        <v>0</v>
      </c>
      <c r="N69" s="18">
        <f t="shared" si="2"/>
        <v>11.79</v>
      </c>
      <c r="O69" s="8"/>
    </row>
    <row r="70" spans="1:15">
      <c r="A70" s="1" t="s">
        <v>60</v>
      </c>
      <c r="B70" s="11" t="s">
        <v>138</v>
      </c>
      <c r="C70" s="11">
        <v>0</v>
      </c>
      <c r="D70" s="11">
        <v>0</v>
      </c>
      <c r="E70" s="11">
        <v>0</v>
      </c>
      <c r="F70" s="11">
        <f t="shared" si="0"/>
        <v>0</v>
      </c>
      <c r="G70" s="17">
        <f t="shared" si="3"/>
        <v>11.79</v>
      </c>
      <c r="H70" s="17">
        <f t="shared" si="4"/>
        <v>0</v>
      </c>
      <c r="I70" s="17">
        <f t="shared" si="5"/>
        <v>0</v>
      </c>
      <c r="J70" s="18">
        <f t="shared" si="6"/>
        <v>0</v>
      </c>
      <c r="K70" s="18">
        <f t="shared" si="7"/>
        <v>0</v>
      </c>
      <c r="L70" s="18">
        <f t="shared" si="1"/>
        <v>11.79</v>
      </c>
      <c r="M70" s="18">
        <f t="shared" si="8"/>
        <v>0</v>
      </c>
      <c r="N70" s="18">
        <f t="shared" si="2"/>
        <v>11.79</v>
      </c>
      <c r="O70" s="8"/>
    </row>
    <row r="71" spans="1:15">
      <c r="A71" s="1" t="s">
        <v>61</v>
      </c>
      <c r="B71" s="11"/>
      <c r="C71" s="11">
        <v>1323000</v>
      </c>
      <c r="D71" s="11">
        <v>1327000</v>
      </c>
      <c r="E71" s="11">
        <v>0</v>
      </c>
      <c r="F71" s="11">
        <f t="shared" si="0"/>
        <v>4000</v>
      </c>
      <c r="G71" s="17">
        <f t="shared" si="3"/>
        <v>40.090000000000003</v>
      </c>
      <c r="H71" s="17">
        <f t="shared" si="4"/>
        <v>0</v>
      </c>
      <c r="I71" s="17">
        <f t="shared" si="5"/>
        <v>0</v>
      </c>
      <c r="J71" s="18">
        <f t="shared" si="6"/>
        <v>0</v>
      </c>
      <c r="K71" s="18">
        <f t="shared" si="7"/>
        <v>0</v>
      </c>
      <c r="L71" s="18">
        <f t="shared" si="1"/>
        <v>40.090000000000003</v>
      </c>
      <c r="M71" s="18">
        <f t="shared" si="8"/>
        <v>0</v>
      </c>
      <c r="N71" s="18">
        <f t="shared" si="2"/>
        <v>40.090000000000003</v>
      </c>
      <c r="O71" s="8"/>
    </row>
    <row r="72" spans="1:15">
      <c r="A72" s="1" t="s">
        <v>62</v>
      </c>
      <c r="B72" s="11"/>
      <c r="C72" s="11">
        <v>1874000</v>
      </c>
      <c r="D72" s="11">
        <v>1882000</v>
      </c>
      <c r="E72" s="11">
        <v>0</v>
      </c>
      <c r="F72" s="11">
        <f t="shared" si="0"/>
        <v>8000</v>
      </c>
      <c r="G72" s="17">
        <f t="shared" si="3"/>
        <v>40.090000000000003</v>
      </c>
      <c r="H72" s="17">
        <f t="shared" si="4"/>
        <v>0</v>
      </c>
      <c r="I72" s="17">
        <f t="shared" si="5"/>
        <v>0</v>
      </c>
      <c r="J72" s="18">
        <f t="shared" si="6"/>
        <v>0</v>
      </c>
      <c r="K72" s="18">
        <f t="shared" si="7"/>
        <v>0</v>
      </c>
      <c r="L72" s="18">
        <f t="shared" si="1"/>
        <v>40.090000000000003</v>
      </c>
      <c r="M72" s="18">
        <f t="shared" si="8"/>
        <v>0</v>
      </c>
      <c r="N72" s="18">
        <f t="shared" si="2"/>
        <v>40.090000000000003</v>
      </c>
      <c r="O72" s="8"/>
    </row>
    <row r="73" spans="1:15">
      <c r="A73" s="1" t="s">
        <v>63</v>
      </c>
      <c r="B73" s="11" t="s">
        <v>138</v>
      </c>
      <c r="C73" s="11">
        <v>0</v>
      </c>
      <c r="D73" s="11">
        <v>0</v>
      </c>
      <c r="E73" s="11">
        <v>0</v>
      </c>
      <c r="F73" s="11">
        <f t="shared" si="0"/>
        <v>0</v>
      </c>
      <c r="G73" s="17">
        <f t="shared" si="3"/>
        <v>11.79</v>
      </c>
      <c r="H73" s="17">
        <f t="shared" si="4"/>
        <v>0</v>
      </c>
      <c r="I73" s="17">
        <f t="shared" si="5"/>
        <v>0</v>
      </c>
      <c r="J73" s="18">
        <f t="shared" si="6"/>
        <v>0</v>
      </c>
      <c r="K73" s="18">
        <f t="shared" si="7"/>
        <v>0</v>
      </c>
      <c r="L73" s="18">
        <f t="shared" si="1"/>
        <v>11.79</v>
      </c>
      <c r="M73" s="18">
        <f t="shared" si="8"/>
        <v>0</v>
      </c>
      <c r="N73" s="18">
        <f t="shared" si="2"/>
        <v>11.79</v>
      </c>
      <c r="O73" s="8"/>
    </row>
    <row r="74" spans="1:15">
      <c r="A74" s="1" t="s">
        <v>64</v>
      </c>
      <c r="B74" s="11"/>
      <c r="C74" s="11">
        <v>4819000</v>
      </c>
      <c r="D74" s="11">
        <v>4859000</v>
      </c>
      <c r="E74" s="11">
        <v>0</v>
      </c>
      <c r="F74" s="11">
        <f t="shared" si="0"/>
        <v>40000</v>
      </c>
      <c r="G74" s="17">
        <f t="shared" si="3"/>
        <v>40.090000000000003</v>
      </c>
      <c r="H74" s="17">
        <f t="shared" si="4"/>
        <v>21.8</v>
      </c>
      <c r="I74" s="17">
        <f t="shared" si="5"/>
        <v>25.299999999999997</v>
      </c>
      <c r="J74" s="18">
        <f t="shared" si="6"/>
        <v>29.5</v>
      </c>
      <c r="K74" s="18">
        <f t="shared" si="7"/>
        <v>0</v>
      </c>
      <c r="L74" s="18">
        <f t="shared" si="1"/>
        <v>116.69</v>
      </c>
      <c r="M74" s="18">
        <f t="shared" si="8"/>
        <v>39.073424523693213</v>
      </c>
      <c r="N74" s="18">
        <f t="shared" si="2"/>
        <v>155.7634245236932</v>
      </c>
      <c r="O74" s="8"/>
    </row>
    <row r="75" spans="1:15">
      <c r="A75" s="1" t="s">
        <v>65</v>
      </c>
      <c r="B75" s="11"/>
      <c r="C75" s="11">
        <v>6502000</v>
      </c>
      <c r="D75" s="11">
        <v>6555000</v>
      </c>
      <c r="E75" s="11">
        <v>0</v>
      </c>
      <c r="F75" s="11">
        <f t="shared" si="0"/>
        <v>53000</v>
      </c>
      <c r="G75" s="17">
        <f t="shared" si="3"/>
        <v>40.090000000000003</v>
      </c>
      <c r="H75" s="17">
        <f t="shared" si="4"/>
        <v>21.8</v>
      </c>
      <c r="I75" s="17">
        <f t="shared" si="5"/>
        <v>25.299999999999997</v>
      </c>
      <c r="J75" s="18">
        <f t="shared" si="6"/>
        <v>29.5</v>
      </c>
      <c r="K75" s="18">
        <f t="shared" si="7"/>
        <v>44.46</v>
      </c>
      <c r="L75" s="18">
        <f t="shared" si="1"/>
        <v>161.15</v>
      </c>
      <c r="M75" s="18">
        <f t="shared" si="8"/>
        <v>56.005241817293602</v>
      </c>
      <c r="N75" s="18">
        <f t="shared" si="2"/>
        <v>217.15524181729361</v>
      </c>
      <c r="O75" s="8"/>
    </row>
    <row r="76" spans="1:15">
      <c r="A76" s="1" t="s">
        <v>66</v>
      </c>
      <c r="B76" s="11"/>
      <c r="C76" s="11">
        <v>9171000</v>
      </c>
      <c r="D76" s="11">
        <v>9190000</v>
      </c>
      <c r="E76" s="11">
        <v>0</v>
      </c>
      <c r="F76" s="11">
        <f t="shared" ref="F76:F136" si="9">($D76-$C76)+$E76</f>
        <v>19000</v>
      </c>
      <c r="G76" s="17">
        <f t="shared" si="3"/>
        <v>40.090000000000003</v>
      </c>
      <c r="H76" s="17">
        <f t="shared" si="4"/>
        <v>19.62</v>
      </c>
      <c r="I76" s="17">
        <f t="shared" si="5"/>
        <v>0</v>
      </c>
      <c r="J76" s="18">
        <f t="shared" si="6"/>
        <v>0</v>
      </c>
      <c r="K76" s="18">
        <f t="shared" si="7"/>
        <v>0</v>
      </c>
      <c r="L76" s="18">
        <f t="shared" ref="L76:L136" si="10">SUM(G76:K76)</f>
        <v>59.710000000000008</v>
      </c>
      <c r="M76" s="18">
        <f t="shared" si="8"/>
        <v>11.722027357107963</v>
      </c>
      <c r="N76" s="18">
        <f t="shared" ref="N76:N136" si="11">SUM(L76:M76)</f>
        <v>71.43202735710797</v>
      </c>
      <c r="O76" s="8"/>
    </row>
    <row r="77" spans="1:15">
      <c r="A77" s="1" t="s">
        <v>67</v>
      </c>
      <c r="B77" s="11" t="s">
        <v>138</v>
      </c>
      <c r="C77" s="11">
        <v>0</v>
      </c>
      <c r="D77" s="11">
        <v>0</v>
      </c>
      <c r="E77" s="11">
        <v>0</v>
      </c>
      <c r="F77" s="11">
        <f t="shared" si="9"/>
        <v>0</v>
      </c>
      <c r="G77" s="17">
        <f t="shared" si="3"/>
        <v>11.79</v>
      </c>
      <c r="H77" s="17">
        <f t="shared" si="4"/>
        <v>0</v>
      </c>
      <c r="I77" s="17">
        <f t="shared" si="5"/>
        <v>0</v>
      </c>
      <c r="J77" s="18">
        <f t="shared" si="6"/>
        <v>0</v>
      </c>
      <c r="K77" s="18">
        <f t="shared" si="7"/>
        <v>0</v>
      </c>
      <c r="L77" s="18">
        <f t="shared" si="10"/>
        <v>11.79</v>
      </c>
      <c r="M77" s="18">
        <f t="shared" si="8"/>
        <v>0</v>
      </c>
      <c r="N77" s="18">
        <f t="shared" si="11"/>
        <v>11.79</v>
      </c>
      <c r="O77" s="8"/>
    </row>
    <row r="78" spans="1:15">
      <c r="A78" s="1" t="s">
        <v>68</v>
      </c>
      <c r="B78" s="11"/>
      <c r="C78" s="11">
        <v>3490000</v>
      </c>
      <c r="D78" s="11">
        <v>3521000</v>
      </c>
      <c r="E78" s="11">
        <v>0</v>
      </c>
      <c r="F78" s="11">
        <f t="shared" si="9"/>
        <v>31000</v>
      </c>
      <c r="G78" s="17">
        <f t="shared" si="3"/>
        <v>40.090000000000003</v>
      </c>
      <c r="H78" s="17">
        <f t="shared" si="4"/>
        <v>21.8</v>
      </c>
      <c r="I78" s="17">
        <f t="shared" si="5"/>
        <v>25.299999999999997</v>
      </c>
      <c r="J78" s="18">
        <f t="shared" si="6"/>
        <v>2.95</v>
      </c>
      <c r="K78" s="18">
        <f t="shared" si="7"/>
        <v>0</v>
      </c>
      <c r="L78" s="18">
        <f t="shared" si="10"/>
        <v>90.14</v>
      </c>
      <c r="M78" s="18">
        <f t="shared" si="8"/>
        <v>27.351397166585247</v>
      </c>
      <c r="N78" s="18">
        <f t="shared" si="11"/>
        <v>117.49139716658524</v>
      </c>
      <c r="O78" s="8"/>
    </row>
    <row r="79" spans="1:15">
      <c r="A79" s="1" t="s">
        <v>69</v>
      </c>
      <c r="B79" s="11"/>
      <c r="C79" s="11">
        <v>2231000</v>
      </c>
      <c r="D79" s="11">
        <v>2253000</v>
      </c>
      <c r="E79" s="11">
        <v>0</v>
      </c>
      <c r="F79" s="11">
        <f t="shared" si="9"/>
        <v>22000</v>
      </c>
      <c r="G79" s="17">
        <f t="shared" si="3"/>
        <v>40.090000000000003</v>
      </c>
      <c r="H79" s="17">
        <f t="shared" si="4"/>
        <v>21.8</v>
      </c>
      <c r="I79" s="17">
        <f t="shared" si="5"/>
        <v>5.0599999999999996</v>
      </c>
      <c r="J79" s="18">
        <f t="shared" si="6"/>
        <v>0</v>
      </c>
      <c r="K79" s="18">
        <f t="shared" si="7"/>
        <v>0</v>
      </c>
      <c r="L79" s="18">
        <f t="shared" si="10"/>
        <v>66.95</v>
      </c>
      <c r="M79" s="18">
        <f t="shared" si="8"/>
        <v>15.629369809477284</v>
      </c>
      <c r="N79" s="18">
        <f t="shared" si="11"/>
        <v>82.579369809477285</v>
      </c>
      <c r="O79" s="8"/>
    </row>
    <row r="80" spans="1:15">
      <c r="A80" s="1" t="s">
        <v>70</v>
      </c>
      <c r="B80" s="11"/>
      <c r="C80" s="11">
        <v>1335000</v>
      </c>
      <c r="D80" s="11">
        <v>1358000</v>
      </c>
      <c r="E80" s="11">
        <v>0</v>
      </c>
      <c r="F80" s="11">
        <f t="shared" si="9"/>
        <v>23000</v>
      </c>
      <c r="G80" s="17">
        <f t="shared" si="3"/>
        <v>40.090000000000003</v>
      </c>
      <c r="H80" s="17">
        <f t="shared" si="4"/>
        <v>21.8</v>
      </c>
      <c r="I80" s="17">
        <f t="shared" si="5"/>
        <v>7.59</v>
      </c>
      <c r="J80" s="18">
        <f t="shared" si="6"/>
        <v>0</v>
      </c>
      <c r="K80" s="18">
        <f t="shared" si="7"/>
        <v>0</v>
      </c>
      <c r="L80" s="18">
        <f t="shared" si="10"/>
        <v>69.48</v>
      </c>
      <c r="M80" s="18">
        <f t="shared" si="8"/>
        <v>16.931817293600393</v>
      </c>
      <c r="N80" s="18">
        <f t="shared" si="11"/>
        <v>86.411817293600393</v>
      </c>
      <c r="O80" s="8"/>
    </row>
    <row r="81" spans="1:15">
      <c r="A81" s="1" t="s">
        <v>71</v>
      </c>
      <c r="B81" s="11" t="s">
        <v>138</v>
      </c>
      <c r="C81" s="11">
        <v>0</v>
      </c>
      <c r="D81" s="11">
        <v>0</v>
      </c>
      <c r="E81" s="11">
        <v>0</v>
      </c>
      <c r="F81" s="11">
        <f t="shared" si="9"/>
        <v>0</v>
      </c>
      <c r="G81" s="17">
        <f t="shared" ref="G81:G136" si="12">IF(OR($F81&gt;0,$B81=""),40.09,11.79)</f>
        <v>11.79</v>
      </c>
      <c r="H81" s="17">
        <f t="shared" ref="H81:H136" si="13">IF(AND((($F81-10000)&gt;=0),(($F81-10000)&lt;= 10000)),($F81-10000)/1000*2.18,IF(($F81-10000)&gt;=10000,2.18*10,0))</f>
        <v>0</v>
      </c>
      <c r="I81" s="17">
        <f t="shared" ref="I81:I136" si="14">IF(AND((($F81-20000)&gt;=0),(($F81-20000)&lt;=10000)),($F81-20000)/1000*2.53,IF(($F81-20000)&gt;=10000,2.53*10,0))</f>
        <v>0</v>
      </c>
      <c r="J81" s="18">
        <f t="shared" ref="J81:J136" si="15">IF(AND((($F81-30000)&gt;=0),(($F81-30000)&lt;=10000)),($F81-30000)/1000*2.95,IF(($F81-30000)&gt;=10000,2.95*10,0))</f>
        <v>0</v>
      </c>
      <c r="K81" s="18">
        <f t="shared" ref="K81:K136" si="16">IF((($F81-40000)&gt;=0),($F81-40000)/1000*3.42,0)</f>
        <v>0</v>
      </c>
      <c r="L81" s="18">
        <f t="shared" si="10"/>
        <v>11.79</v>
      </c>
      <c r="M81" s="18">
        <f t="shared" ref="M81:M136" si="17">IF(   $H$5=1,    IF((F81-$H$6)&gt;0,((F81-$H$6)/$N$7)*$E$8,0),   IF(F81&gt;0,(F81/$N$4)*$E$8,0)    )</f>
        <v>0</v>
      </c>
      <c r="N81" s="18">
        <f t="shared" si="11"/>
        <v>11.79</v>
      </c>
      <c r="O81" s="8"/>
    </row>
    <row r="82" spans="1:15">
      <c r="A82" s="1" t="s">
        <v>72</v>
      </c>
      <c r="B82" s="11"/>
      <c r="C82" s="11">
        <v>43000</v>
      </c>
      <c r="D82" s="11">
        <v>67000</v>
      </c>
      <c r="E82" s="11">
        <v>0</v>
      </c>
      <c r="F82" s="11">
        <f t="shared" si="9"/>
        <v>24000</v>
      </c>
      <c r="G82" s="17">
        <f t="shared" si="12"/>
        <v>40.090000000000003</v>
      </c>
      <c r="H82" s="17">
        <f t="shared" si="13"/>
        <v>21.8</v>
      </c>
      <c r="I82" s="17">
        <f t="shared" si="14"/>
        <v>10.119999999999999</v>
      </c>
      <c r="J82" s="18">
        <f t="shared" si="15"/>
        <v>0</v>
      </c>
      <c r="K82" s="18">
        <f t="shared" si="16"/>
        <v>0</v>
      </c>
      <c r="L82" s="18">
        <f t="shared" si="10"/>
        <v>72.010000000000005</v>
      </c>
      <c r="M82" s="18">
        <f t="shared" si="17"/>
        <v>18.234264777723499</v>
      </c>
      <c r="N82" s="18">
        <f t="shared" si="11"/>
        <v>90.244264777723501</v>
      </c>
      <c r="O82" s="8" t="s">
        <v>139</v>
      </c>
    </row>
    <row r="83" spans="1:15">
      <c r="A83" s="1" t="s">
        <v>73</v>
      </c>
      <c r="B83" s="11"/>
      <c r="C83" s="11">
        <v>1896000</v>
      </c>
      <c r="D83" s="11">
        <v>1900000</v>
      </c>
      <c r="E83" s="11">
        <v>0</v>
      </c>
      <c r="F83" s="11">
        <f t="shared" si="9"/>
        <v>4000</v>
      </c>
      <c r="G83" s="17">
        <f t="shared" si="12"/>
        <v>40.090000000000003</v>
      </c>
      <c r="H83" s="17">
        <f t="shared" si="13"/>
        <v>0</v>
      </c>
      <c r="I83" s="17">
        <f t="shared" si="14"/>
        <v>0</v>
      </c>
      <c r="J83" s="18">
        <f t="shared" si="15"/>
        <v>0</v>
      </c>
      <c r="K83" s="18">
        <f t="shared" si="16"/>
        <v>0</v>
      </c>
      <c r="L83" s="18">
        <f t="shared" si="10"/>
        <v>40.090000000000003</v>
      </c>
      <c r="M83" s="18">
        <f t="shared" si="17"/>
        <v>0</v>
      </c>
      <c r="N83" s="18">
        <f t="shared" si="11"/>
        <v>40.090000000000003</v>
      </c>
      <c r="O83" s="8"/>
    </row>
    <row r="84" spans="1:15">
      <c r="A84" s="1" t="s">
        <v>74</v>
      </c>
      <c r="B84" s="11" t="s">
        <v>138</v>
      </c>
      <c r="C84" s="11">
        <v>0</v>
      </c>
      <c r="D84" s="11">
        <v>0</v>
      </c>
      <c r="E84" s="11">
        <v>0</v>
      </c>
      <c r="F84" s="11">
        <f t="shared" si="9"/>
        <v>0</v>
      </c>
      <c r="G84" s="17">
        <f t="shared" si="12"/>
        <v>11.79</v>
      </c>
      <c r="H84" s="17">
        <f t="shared" si="13"/>
        <v>0</v>
      </c>
      <c r="I84" s="17">
        <f t="shared" si="14"/>
        <v>0</v>
      </c>
      <c r="J84" s="18">
        <f t="shared" si="15"/>
        <v>0</v>
      </c>
      <c r="K84" s="18">
        <f t="shared" si="16"/>
        <v>0</v>
      </c>
      <c r="L84" s="18">
        <f t="shared" si="10"/>
        <v>11.79</v>
      </c>
      <c r="M84" s="18">
        <f t="shared" si="17"/>
        <v>0</v>
      </c>
      <c r="N84" s="18">
        <f t="shared" si="11"/>
        <v>11.79</v>
      </c>
      <c r="O84" s="8"/>
    </row>
    <row r="85" spans="1:15">
      <c r="A85" s="1" t="s">
        <v>75</v>
      </c>
      <c r="B85" s="11"/>
      <c r="C85" s="11">
        <v>713000</v>
      </c>
      <c r="D85" s="11">
        <v>716000</v>
      </c>
      <c r="E85" s="11">
        <v>0</v>
      </c>
      <c r="F85" s="11">
        <f t="shared" si="9"/>
        <v>3000</v>
      </c>
      <c r="G85" s="17">
        <f t="shared" si="12"/>
        <v>40.090000000000003</v>
      </c>
      <c r="H85" s="17">
        <f t="shared" si="13"/>
        <v>0</v>
      </c>
      <c r="I85" s="17">
        <f t="shared" si="14"/>
        <v>0</v>
      </c>
      <c r="J85" s="18">
        <f t="shared" si="15"/>
        <v>0</v>
      </c>
      <c r="K85" s="18">
        <f t="shared" si="16"/>
        <v>0</v>
      </c>
      <c r="L85" s="18">
        <f t="shared" si="10"/>
        <v>40.090000000000003</v>
      </c>
      <c r="M85" s="18">
        <f t="shared" si="17"/>
        <v>0</v>
      </c>
      <c r="N85" s="18">
        <f t="shared" si="11"/>
        <v>40.090000000000003</v>
      </c>
      <c r="O85" s="8"/>
    </row>
    <row r="86" spans="1:15">
      <c r="A86" s="1" t="s">
        <v>76</v>
      </c>
      <c r="B86" s="11"/>
      <c r="C86" s="11">
        <v>51000</v>
      </c>
      <c r="D86" s="11">
        <v>83000</v>
      </c>
      <c r="E86" s="11">
        <v>0</v>
      </c>
      <c r="F86" s="11">
        <f t="shared" si="9"/>
        <v>32000</v>
      </c>
      <c r="G86" s="17">
        <f t="shared" si="12"/>
        <v>40.090000000000003</v>
      </c>
      <c r="H86" s="17">
        <f t="shared" si="13"/>
        <v>21.8</v>
      </c>
      <c r="I86" s="17">
        <f t="shared" si="14"/>
        <v>25.299999999999997</v>
      </c>
      <c r="J86" s="18">
        <f t="shared" si="15"/>
        <v>5.9</v>
      </c>
      <c r="K86" s="18">
        <f t="shared" si="16"/>
        <v>0</v>
      </c>
      <c r="L86" s="18">
        <f t="shared" si="10"/>
        <v>93.09</v>
      </c>
      <c r="M86" s="18">
        <f t="shared" si="17"/>
        <v>28.653844650708354</v>
      </c>
      <c r="N86" s="18">
        <f t="shared" si="11"/>
        <v>121.74384465070835</v>
      </c>
      <c r="O86" s="8" t="s">
        <v>139</v>
      </c>
    </row>
    <row r="87" spans="1:15">
      <c r="A87" s="1" t="s">
        <v>77</v>
      </c>
      <c r="B87" s="11"/>
      <c r="C87" s="11">
        <v>65000</v>
      </c>
      <c r="D87" s="11">
        <v>76000</v>
      </c>
      <c r="E87" s="11">
        <v>0</v>
      </c>
      <c r="F87" s="11">
        <f t="shared" si="9"/>
        <v>11000</v>
      </c>
      <c r="G87" s="17">
        <f t="shared" si="12"/>
        <v>40.090000000000003</v>
      </c>
      <c r="H87" s="17">
        <f t="shared" si="13"/>
        <v>2.1800000000000002</v>
      </c>
      <c r="I87" s="17">
        <f t="shared" si="14"/>
        <v>0</v>
      </c>
      <c r="J87" s="18">
        <f t="shared" si="15"/>
        <v>0</v>
      </c>
      <c r="K87" s="18">
        <f t="shared" si="16"/>
        <v>0</v>
      </c>
      <c r="L87" s="18">
        <f t="shared" si="10"/>
        <v>42.27</v>
      </c>
      <c r="M87" s="18">
        <f t="shared" si="17"/>
        <v>1.3024474841231071</v>
      </c>
      <c r="N87" s="18">
        <f t="shared" si="11"/>
        <v>43.57244748412311</v>
      </c>
      <c r="O87" s="8"/>
    </row>
    <row r="88" spans="1:15">
      <c r="A88" s="1" t="s">
        <v>78</v>
      </c>
      <c r="B88" s="11"/>
      <c r="C88" s="11">
        <v>1114000</v>
      </c>
      <c r="D88" s="11">
        <v>1176000</v>
      </c>
      <c r="E88" s="11">
        <v>0</v>
      </c>
      <c r="F88" s="11">
        <f t="shared" si="9"/>
        <v>62000</v>
      </c>
      <c r="G88" s="17">
        <f t="shared" si="12"/>
        <v>40.090000000000003</v>
      </c>
      <c r="H88" s="17">
        <f t="shared" si="13"/>
        <v>21.8</v>
      </c>
      <c r="I88" s="17">
        <f t="shared" si="14"/>
        <v>25.299999999999997</v>
      </c>
      <c r="J88" s="18">
        <f t="shared" si="15"/>
        <v>29.5</v>
      </c>
      <c r="K88" s="18">
        <f t="shared" si="16"/>
        <v>75.239999999999995</v>
      </c>
      <c r="L88" s="18">
        <f t="shared" si="10"/>
        <v>191.93</v>
      </c>
      <c r="M88" s="18">
        <f t="shared" si="17"/>
        <v>67.72726917440157</v>
      </c>
      <c r="N88" s="18">
        <f t="shared" si="11"/>
        <v>259.65726917440156</v>
      </c>
      <c r="O88" s="8"/>
    </row>
    <row r="89" spans="1:15">
      <c r="A89" s="1" t="s">
        <v>79</v>
      </c>
      <c r="B89" s="11"/>
      <c r="C89" s="11">
        <v>3402000</v>
      </c>
      <c r="D89" s="11">
        <v>3412000</v>
      </c>
      <c r="E89" s="11">
        <v>0</v>
      </c>
      <c r="F89" s="11">
        <f t="shared" si="9"/>
        <v>10000</v>
      </c>
      <c r="G89" s="17">
        <f t="shared" si="12"/>
        <v>40.090000000000003</v>
      </c>
      <c r="H89" s="17">
        <f t="shared" si="13"/>
        <v>0</v>
      </c>
      <c r="I89" s="17">
        <f t="shared" si="14"/>
        <v>0</v>
      </c>
      <c r="J89" s="18">
        <f t="shared" si="15"/>
        <v>0</v>
      </c>
      <c r="K89" s="18">
        <f t="shared" si="16"/>
        <v>0</v>
      </c>
      <c r="L89" s="18">
        <f t="shared" si="10"/>
        <v>40.090000000000003</v>
      </c>
      <c r="M89" s="18">
        <f t="shared" si="17"/>
        <v>0</v>
      </c>
      <c r="N89" s="18">
        <f t="shared" si="11"/>
        <v>40.090000000000003</v>
      </c>
      <c r="O89" s="8"/>
    </row>
    <row r="90" spans="1:15">
      <c r="A90" s="1" t="s">
        <v>80</v>
      </c>
      <c r="B90" s="11"/>
      <c r="C90" s="11">
        <v>3004000</v>
      </c>
      <c r="D90" s="11">
        <v>3008000</v>
      </c>
      <c r="E90" s="11">
        <v>0</v>
      </c>
      <c r="F90" s="11">
        <f t="shared" si="9"/>
        <v>4000</v>
      </c>
      <c r="G90" s="17">
        <f t="shared" si="12"/>
        <v>40.090000000000003</v>
      </c>
      <c r="H90" s="17">
        <f t="shared" si="13"/>
        <v>0</v>
      </c>
      <c r="I90" s="17">
        <f t="shared" si="14"/>
        <v>0</v>
      </c>
      <c r="J90" s="18">
        <f t="shared" si="15"/>
        <v>0</v>
      </c>
      <c r="K90" s="18">
        <f t="shared" si="16"/>
        <v>0</v>
      </c>
      <c r="L90" s="18">
        <f t="shared" si="10"/>
        <v>40.090000000000003</v>
      </c>
      <c r="M90" s="18">
        <f t="shared" si="17"/>
        <v>0</v>
      </c>
      <c r="N90" s="18">
        <f t="shared" si="11"/>
        <v>40.090000000000003</v>
      </c>
      <c r="O90" s="8"/>
    </row>
    <row r="91" spans="1:15">
      <c r="A91" s="1" t="s">
        <v>81</v>
      </c>
      <c r="B91" s="11" t="s">
        <v>138</v>
      </c>
      <c r="C91" s="11">
        <v>0</v>
      </c>
      <c r="D91" s="11">
        <v>0</v>
      </c>
      <c r="E91" s="11">
        <v>0</v>
      </c>
      <c r="F91" s="11">
        <f t="shared" si="9"/>
        <v>0</v>
      </c>
      <c r="G91" s="17">
        <f t="shared" si="12"/>
        <v>11.79</v>
      </c>
      <c r="H91" s="17">
        <f t="shared" si="13"/>
        <v>0</v>
      </c>
      <c r="I91" s="17">
        <f t="shared" si="14"/>
        <v>0</v>
      </c>
      <c r="J91" s="18">
        <f t="shared" si="15"/>
        <v>0</v>
      </c>
      <c r="K91" s="18">
        <f t="shared" si="16"/>
        <v>0</v>
      </c>
      <c r="L91" s="18">
        <f t="shared" si="10"/>
        <v>11.79</v>
      </c>
      <c r="M91" s="18">
        <f t="shared" si="17"/>
        <v>0</v>
      </c>
      <c r="N91" s="18">
        <f t="shared" si="11"/>
        <v>11.79</v>
      </c>
      <c r="O91" s="8"/>
    </row>
    <row r="92" spans="1:15">
      <c r="A92" s="1" t="s">
        <v>82</v>
      </c>
      <c r="B92" s="11"/>
      <c r="C92" s="11">
        <v>3077000</v>
      </c>
      <c r="D92" s="11">
        <v>3138000</v>
      </c>
      <c r="E92" s="11">
        <v>0</v>
      </c>
      <c r="F92" s="11">
        <f t="shared" si="9"/>
        <v>61000</v>
      </c>
      <c r="G92" s="17">
        <f t="shared" si="12"/>
        <v>40.090000000000003</v>
      </c>
      <c r="H92" s="17">
        <f t="shared" si="13"/>
        <v>21.8</v>
      </c>
      <c r="I92" s="17">
        <f t="shared" si="14"/>
        <v>25.299999999999997</v>
      </c>
      <c r="J92" s="18">
        <f t="shared" si="15"/>
        <v>29.5</v>
      </c>
      <c r="K92" s="18">
        <f t="shared" si="16"/>
        <v>71.819999999999993</v>
      </c>
      <c r="L92" s="18">
        <f t="shared" si="10"/>
        <v>188.51</v>
      </c>
      <c r="M92" s="18">
        <f t="shared" si="17"/>
        <v>66.424821690278463</v>
      </c>
      <c r="N92" s="18">
        <f t="shared" si="11"/>
        <v>254.93482169027845</v>
      </c>
      <c r="O92" s="8"/>
    </row>
    <row r="93" spans="1:15">
      <c r="A93" s="1" t="s">
        <v>83</v>
      </c>
      <c r="B93" s="11"/>
      <c r="C93" s="11">
        <v>7410000</v>
      </c>
      <c r="D93" s="11">
        <v>7481000</v>
      </c>
      <c r="E93" s="11">
        <v>0</v>
      </c>
      <c r="F93" s="11">
        <f t="shared" si="9"/>
        <v>71000</v>
      </c>
      <c r="G93" s="17">
        <f t="shared" si="12"/>
        <v>40.090000000000003</v>
      </c>
      <c r="H93" s="17">
        <f t="shared" si="13"/>
        <v>21.8</v>
      </c>
      <c r="I93" s="17">
        <f t="shared" si="14"/>
        <v>25.299999999999997</v>
      </c>
      <c r="J93" s="18">
        <f t="shared" si="15"/>
        <v>29.5</v>
      </c>
      <c r="K93" s="18">
        <f t="shared" si="16"/>
        <v>106.02</v>
      </c>
      <c r="L93" s="18">
        <f t="shared" si="10"/>
        <v>222.70999999999998</v>
      </c>
      <c r="M93" s="18">
        <f t="shared" si="17"/>
        <v>79.449296531509532</v>
      </c>
      <c r="N93" s="18">
        <f t="shared" si="11"/>
        <v>302.15929653150954</v>
      </c>
      <c r="O93" s="8"/>
    </row>
    <row r="94" spans="1:15">
      <c r="A94" s="1" t="s">
        <v>84</v>
      </c>
      <c r="B94" s="11"/>
      <c r="C94" s="11">
        <v>2964000</v>
      </c>
      <c r="D94" s="11">
        <v>2971000</v>
      </c>
      <c r="E94" s="11">
        <v>0</v>
      </c>
      <c r="F94" s="11">
        <f t="shared" si="9"/>
        <v>7000</v>
      </c>
      <c r="G94" s="17">
        <f t="shared" si="12"/>
        <v>40.090000000000003</v>
      </c>
      <c r="H94" s="17">
        <f t="shared" si="13"/>
        <v>0</v>
      </c>
      <c r="I94" s="17">
        <f t="shared" si="14"/>
        <v>0</v>
      </c>
      <c r="J94" s="18">
        <f t="shared" si="15"/>
        <v>0</v>
      </c>
      <c r="K94" s="18">
        <f t="shared" si="16"/>
        <v>0</v>
      </c>
      <c r="L94" s="18">
        <f t="shared" si="10"/>
        <v>40.090000000000003</v>
      </c>
      <c r="M94" s="18">
        <f t="shared" si="17"/>
        <v>0</v>
      </c>
      <c r="N94" s="18">
        <f t="shared" si="11"/>
        <v>40.090000000000003</v>
      </c>
      <c r="O94" s="8"/>
    </row>
    <row r="95" spans="1:15">
      <c r="A95" s="1" t="s">
        <v>85</v>
      </c>
      <c r="B95" s="11"/>
      <c r="C95" s="11">
        <v>1948000</v>
      </c>
      <c r="D95" s="11">
        <v>1972000</v>
      </c>
      <c r="E95" s="11">
        <v>0</v>
      </c>
      <c r="F95" s="11">
        <f t="shared" si="9"/>
        <v>24000</v>
      </c>
      <c r="G95" s="17">
        <f t="shared" si="12"/>
        <v>40.090000000000003</v>
      </c>
      <c r="H95" s="17">
        <f t="shared" si="13"/>
        <v>21.8</v>
      </c>
      <c r="I95" s="17">
        <f t="shared" si="14"/>
        <v>10.119999999999999</v>
      </c>
      <c r="J95" s="18">
        <f t="shared" si="15"/>
        <v>0</v>
      </c>
      <c r="K95" s="18">
        <f t="shared" si="16"/>
        <v>0</v>
      </c>
      <c r="L95" s="18">
        <f t="shared" si="10"/>
        <v>72.010000000000005</v>
      </c>
      <c r="M95" s="18">
        <f t="shared" si="17"/>
        <v>18.234264777723499</v>
      </c>
      <c r="N95" s="18">
        <f t="shared" si="11"/>
        <v>90.244264777723501</v>
      </c>
      <c r="O95" s="8"/>
    </row>
    <row r="96" spans="1:15">
      <c r="A96" s="1" t="s">
        <v>86</v>
      </c>
      <c r="B96" s="11"/>
      <c r="C96" s="11">
        <v>1817000</v>
      </c>
      <c r="D96" s="11">
        <v>1824000</v>
      </c>
      <c r="E96" s="11">
        <v>0</v>
      </c>
      <c r="F96" s="11">
        <f t="shared" si="9"/>
        <v>7000</v>
      </c>
      <c r="G96" s="17">
        <f t="shared" si="12"/>
        <v>40.090000000000003</v>
      </c>
      <c r="H96" s="17">
        <f t="shared" si="13"/>
        <v>0</v>
      </c>
      <c r="I96" s="17">
        <f t="shared" si="14"/>
        <v>0</v>
      </c>
      <c r="J96" s="18">
        <f t="shared" si="15"/>
        <v>0</v>
      </c>
      <c r="K96" s="18">
        <f t="shared" si="16"/>
        <v>0</v>
      </c>
      <c r="L96" s="18">
        <f t="shared" si="10"/>
        <v>40.090000000000003</v>
      </c>
      <c r="M96" s="18">
        <f t="shared" si="17"/>
        <v>0</v>
      </c>
      <c r="N96" s="18">
        <f t="shared" si="11"/>
        <v>40.090000000000003</v>
      </c>
      <c r="O96" s="8"/>
    </row>
    <row r="97" spans="1:15">
      <c r="A97" s="1" t="s">
        <v>87</v>
      </c>
      <c r="B97" s="11" t="s">
        <v>138</v>
      </c>
      <c r="C97" s="11">
        <v>0</v>
      </c>
      <c r="D97" s="11">
        <v>0</v>
      </c>
      <c r="E97" s="11">
        <v>0</v>
      </c>
      <c r="F97" s="11">
        <f t="shared" si="9"/>
        <v>0</v>
      </c>
      <c r="G97" s="17">
        <f t="shared" si="12"/>
        <v>11.79</v>
      </c>
      <c r="H97" s="17">
        <f t="shared" si="13"/>
        <v>0</v>
      </c>
      <c r="I97" s="17">
        <f t="shared" si="14"/>
        <v>0</v>
      </c>
      <c r="J97" s="18">
        <f t="shared" si="15"/>
        <v>0</v>
      </c>
      <c r="K97" s="18">
        <f t="shared" si="16"/>
        <v>0</v>
      </c>
      <c r="L97" s="18">
        <f t="shared" si="10"/>
        <v>11.79</v>
      </c>
      <c r="M97" s="18">
        <f t="shared" si="17"/>
        <v>0</v>
      </c>
      <c r="N97" s="18">
        <f t="shared" si="11"/>
        <v>11.79</v>
      </c>
      <c r="O97" s="8"/>
    </row>
    <row r="98" spans="1:15">
      <c r="A98" s="1" t="s">
        <v>88</v>
      </c>
      <c r="B98" s="11"/>
      <c r="C98" s="11">
        <v>1216000</v>
      </c>
      <c r="D98" s="11">
        <v>1221000</v>
      </c>
      <c r="E98" s="11">
        <v>0</v>
      </c>
      <c r="F98" s="11">
        <f t="shared" si="9"/>
        <v>5000</v>
      </c>
      <c r="G98" s="17">
        <f t="shared" si="12"/>
        <v>40.090000000000003</v>
      </c>
      <c r="H98" s="17">
        <f t="shared" si="13"/>
        <v>0</v>
      </c>
      <c r="I98" s="17">
        <f t="shared" si="14"/>
        <v>0</v>
      </c>
      <c r="J98" s="18">
        <f t="shared" si="15"/>
        <v>0</v>
      </c>
      <c r="K98" s="18">
        <f t="shared" si="16"/>
        <v>0</v>
      </c>
      <c r="L98" s="18">
        <f t="shared" si="10"/>
        <v>40.090000000000003</v>
      </c>
      <c r="M98" s="18">
        <f t="shared" si="17"/>
        <v>0</v>
      </c>
      <c r="N98" s="18">
        <f t="shared" si="11"/>
        <v>40.090000000000003</v>
      </c>
      <c r="O98" s="8"/>
    </row>
    <row r="99" spans="1:15">
      <c r="A99" s="1" t="s">
        <v>89</v>
      </c>
      <c r="B99" s="11"/>
      <c r="C99" s="11">
        <v>2132000</v>
      </c>
      <c r="D99" s="11">
        <v>2178000</v>
      </c>
      <c r="E99" s="11">
        <v>0</v>
      </c>
      <c r="F99" s="11">
        <f t="shared" si="9"/>
        <v>46000</v>
      </c>
      <c r="G99" s="17">
        <f t="shared" si="12"/>
        <v>40.090000000000003</v>
      </c>
      <c r="H99" s="17">
        <f t="shared" si="13"/>
        <v>21.8</v>
      </c>
      <c r="I99" s="17">
        <f t="shared" si="14"/>
        <v>25.299999999999997</v>
      </c>
      <c r="J99" s="18">
        <f t="shared" si="15"/>
        <v>29.5</v>
      </c>
      <c r="K99" s="18">
        <f t="shared" si="16"/>
        <v>20.52</v>
      </c>
      <c r="L99" s="18">
        <f t="shared" si="10"/>
        <v>137.21</v>
      </c>
      <c r="M99" s="18">
        <f t="shared" si="17"/>
        <v>46.888109428431854</v>
      </c>
      <c r="N99" s="18">
        <f t="shared" si="11"/>
        <v>184.09810942843185</v>
      </c>
      <c r="O99" s="8"/>
    </row>
    <row r="100" spans="1:15">
      <c r="A100" s="1" t="s">
        <v>90</v>
      </c>
      <c r="B100" s="11"/>
      <c r="C100" s="11">
        <v>1216000</v>
      </c>
      <c r="D100" s="11">
        <v>1220000</v>
      </c>
      <c r="E100" s="11">
        <v>0</v>
      </c>
      <c r="F100" s="11">
        <f t="shared" si="9"/>
        <v>4000</v>
      </c>
      <c r="G100" s="17">
        <f t="shared" si="12"/>
        <v>40.090000000000003</v>
      </c>
      <c r="H100" s="17">
        <f t="shared" si="13"/>
        <v>0</v>
      </c>
      <c r="I100" s="17">
        <f t="shared" si="14"/>
        <v>0</v>
      </c>
      <c r="J100" s="18">
        <f t="shared" si="15"/>
        <v>0</v>
      </c>
      <c r="K100" s="18">
        <f t="shared" si="16"/>
        <v>0</v>
      </c>
      <c r="L100" s="18">
        <f t="shared" si="10"/>
        <v>40.090000000000003</v>
      </c>
      <c r="M100" s="18">
        <f t="shared" si="17"/>
        <v>0</v>
      </c>
      <c r="N100" s="18">
        <f t="shared" si="11"/>
        <v>40.090000000000003</v>
      </c>
      <c r="O100" s="8"/>
    </row>
    <row r="101" spans="1:15">
      <c r="A101" s="1" t="s">
        <v>91</v>
      </c>
      <c r="B101" s="11"/>
      <c r="C101" s="11">
        <v>224800</v>
      </c>
      <c r="D101" s="11">
        <v>230700</v>
      </c>
      <c r="E101" s="11">
        <v>0</v>
      </c>
      <c r="F101" s="11">
        <f t="shared" si="9"/>
        <v>5900</v>
      </c>
      <c r="G101" s="17">
        <f t="shared" si="12"/>
        <v>40.090000000000003</v>
      </c>
      <c r="H101" s="17">
        <f t="shared" si="13"/>
        <v>0</v>
      </c>
      <c r="I101" s="17">
        <f t="shared" si="14"/>
        <v>0</v>
      </c>
      <c r="J101" s="18">
        <f t="shared" si="15"/>
        <v>0</v>
      </c>
      <c r="K101" s="18">
        <f t="shared" si="16"/>
        <v>0</v>
      </c>
      <c r="L101" s="18">
        <f t="shared" si="10"/>
        <v>40.090000000000003</v>
      </c>
      <c r="M101" s="18">
        <f t="shared" si="17"/>
        <v>0</v>
      </c>
      <c r="N101" s="18">
        <f t="shared" si="11"/>
        <v>40.090000000000003</v>
      </c>
      <c r="O101" s="8"/>
    </row>
    <row r="102" spans="1:15">
      <c r="A102" s="1" t="s">
        <v>92</v>
      </c>
      <c r="B102" s="11"/>
      <c r="C102" s="11">
        <v>2498000</v>
      </c>
      <c r="D102" s="11">
        <v>2502000</v>
      </c>
      <c r="E102" s="11">
        <v>0</v>
      </c>
      <c r="F102" s="11">
        <f t="shared" si="9"/>
        <v>4000</v>
      </c>
      <c r="G102" s="17">
        <f t="shared" si="12"/>
        <v>40.090000000000003</v>
      </c>
      <c r="H102" s="17">
        <f t="shared" si="13"/>
        <v>0</v>
      </c>
      <c r="I102" s="17">
        <f t="shared" si="14"/>
        <v>0</v>
      </c>
      <c r="J102" s="18">
        <f t="shared" si="15"/>
        <v>0</v>
      </c>
      <c r="K102" s="18">
        <f t="shared" si="16"/>
        <v>0</v>
      </c>
      <c r="L102" s="18">
        <f t="shared" si="10"/>
        <v>40.090000000000003</v>
      </c>
      <c r="M102" s="18">
        <f t="shared" si="17"/>
        <v>0</v>
      </c>
      <c r="N102" s="18">
        <f t="shared" si="11"/>
        <v>40.090000000000003</v>
      </c>
      <c r="O102" s="8"/>
    </row>
    <row r="103" spans="1:15">
      <c r="A103" s="1" t="s">
        <v>93</v>
      </c>
      <c r="B103" s="11" t="s">
        <v>138</v>
      </c>
      <c r="C103" s="11">
        <v>0</v>
      </c>
      <c r="D103" s="11">
        <v>0</v>
      </c>
      <c r="E103" s="11">
        <v>0</v>
      </c>
      <c r="F103" s="11">
        <f t="shared" si="9"/>
        <v>0</v>
      </c>
      <c r="G103" s="17">
        <f t="shared" si="12"/>
        <v>11.79</v>
      </c>
      <c r="H103" s="17">
        <f t="shared" si="13"/>
        <v>0</v>
      </c>
      <c r="I103" s="17">
        <f t="shared" si="14"/>
        <v>0</v>
      </c>
      <c r="J103" s="18">
        <f t="shared" si="15"/>
        <v>0</v>
      </c>
      <c r="K103" s="18">
        <f t="shared" si="16"/>
        <v>0</v>
      </c>
      <c r="L103" s="18">
        <f t="shared" si="10"/>
        <v>11.79</v>
      </c>
      <c r="M103" s="18">
        <f t="shared" si="17"/>
        <v>0</v>
      </c>
      <c r="N103" s="18">
        <f t="shared" si="11"/>
        <v>11.79</v>
      </c>
      <c r="O103" s="8"/>
    </row>
    <row r="104" spans="1:15">
      <c r="A104" s="1" t="s">
        <v>94</v>
      </c>
      <c r="B104" s="11" t="s">
        <v>138</v>
      </c>
      <c r="C104" s="11">
        <v>0</v>
      </c>
      <c r="D104" s="11">
        <v>0</v>
      </c>
      <c r="E104" s="11">
        <v>0</v>
      </c>
      <c r="F104" s="11">
        <f t="shared" si="9"/>
        <v>0</v>
      </c>
      <c r="G104" s="17">
        <f t="shared" si="12"/>
        <v>11.79</v>
      </c>
      <c r="H104" s="17">
        <f t="shared" si="13"/>
        <v>0</v>
      </c>
      <c r="I104" s="17">
        <f t="shared" si="14"/>
        <v>0</v>
      </c>
      <c r="J104" s="18">
        <f t="shared" si="15"/>
        <v>0</v>
      </c>
      <c r="K104" s="18">
        <f t="shared" si="16"/>
        <v>0</v>
      </c>
      <c r="L104" s="18">
        <f t="shared" si="10"/>
        <v>11.79</v>
      </c>
      <c r="M104" s="18">
        <f t="shared" si="17"/>
        <v>0</v>
      </c>
      <c r="N104" s="18">
        <f t="shared" si="11"/>
        <v>11.79</v>
      </c>
      <c r="O104" s="8"/>
    </row>
    <row r="105" spans="1:15">
      <c r="A105" s="1" t="s">
        <v>95</v>
      </c>
      <c r="B105" s="11" t="s">
        <v>138</v>
      </c>
      <c r="C105" s="11">
        <v>0</v>
      </c>
      <c r="D105" s="11">
        <v>0</v>
      </c>
      <c r="E105" s="11">
        <v>0</v>
      </c>
      <c r="F105" s="11">
        <f t="shared" si="9"/>
        <v>0</v>
      </c>
      <c r="G105" s="17">
        <f t="shared" si="12"/>
        <v>11.79</v>
      </c>
      <c r="H105" s="17">
        <f t="shared" si="13"/>
        <v>0</v>
      </c>
      <c r="I105" s="17">
        <f t="shared" si="14"/>
        <v>0</v>
      </c>
      <c r="J105" s="18">
        <f t="shared" si="15"/>
        <v>0</v>
      </c>
      <c r="K105" s="18">
        <f t="shared" si="16"/>
        <v>0</v>
      </c>
      <c r="L105" s="18">
        <f t="shared" si="10"/>
        <v>11.79</v>
      </c>
      <c r="M105" s="18">
        <f t="shared" si="17"/>
        <v>0</v>
      </c>
      <c r="N105" s="18">
        <f t="shared" si="11"/>
        <v>11.79</v>
      </c>
      <c r="O105" s="8"/>
    </row>
    <row r="106" spans="1:15">
      <c r="A106" s="1" t="s">
        <v>96</v>
      </c>
      <c r="B106" s="11"/>
      <c r="C106" s="11">
        <v>1790000</v>
      </c>
      <c r="D106" s="11">
        <v>1808000</v>
      </c>
      <c r="E106" s="11">
        <v>0</v>
      </c>
      <c r="F106" s="11">
        <f t="shared" si="9"/>
        <v>18000</v>
      </c>
      <c r="G106" s="17">
        <f t="shared" si="12"/>
        <v>40.090000000000003</v>
      </c>
      <c r="H106" s="17">
        <f t="shared" si="13"/>
        <v>17.440000000000001</v>
      </c>
      <c r="I106" s="17">
        <f t="shared" si="14"/>
        <v>0</v>
      </c>
      <c r="J106" s="18">
        <f t="shared" si="15"/>
        <v>0</v>
      </c>
      <c r="K106" s="18">
        <f t="shared" si="16"/>
        <v>0</v>
      </c>
      <c r="L106" s="18">
        <f t="shared" si="10"/>
        <v>57.53</v>
      </c>
      <c r="M106" s="18">
        <f t="shared" si="17"/>
        <v>10.419579872984857</v>
      </c>
      <c r="N106" s="18">
        <f t="shared" si="11"/>
        <v>67.949579872984856</v>
      </c>
      <c r="O106" s="8"/>
    </row>
    <row r="107" spans="1:15">
      <c r="A107" s="1" t="s">
        <v>97</v>
      </c>
      <c r="B107" s="11" t="s">
        <v>138</v>
      </c>
      <c r="C107" s="11">
        <v>0</v>
      </c>
      <c r="D107" s="11">
        <v>0</v>
      </c>
      <c r="E107" s="11">
        <v>0</v>
      </c>
      <c r="F107" s="11">
        <f t="shared" si="9"/>
        <v>0</v>
      </c>
      <c r="G107" s="17">
        <f t="shared" si="12"/>
        <v>11.79</v>
      </c>
      <c r="H107" s="17">
        <f t="shared" si="13"/>
        <v>0</v>
      </c>
      <c r="I107" s="17">
        <f t="shared" si="14"/>
        <v>0</v>
      </c>
      <c r="J107" s="18">
        <f t="shared" si="15"/>
        <v>0</v>
      </c>
      <c r="K107" s="18">
        <f t="shared" si="16"/>
        <v>0</v>
      </c>
      <c r="L107" s="18">
        <f t="shared" si="10"/>
        <v>11.79</v>
      </c>
      <c r="M107" s="18">
        <f t="shared" si="17"/>
        <v>0</v>
      </c>
      <c r="N107" s="18">
        <f t="shared" si="11"/>
        <v>11.79</v>
      </c>
      <c r="O107" s="8"/>
    </row>
    <row r="108" spans="1:15">
      <c r="A108" s="1" t="s">
        <v>98</v>
      </c>
      <c r="B108" s="11" t="s">
        <v>138</v>
      </c>
      <c r="C108" s="11">
        <v>0</v>
      </c>
      <c r="D108" s="11">
        <v>0</v>
      </c>
      <c r="E108" s="11">
        <v>0</v>
      </c>
      <c r="F108" s="11">
        <f t="shared" si="9"/>
        <v>0</v>
      </c>
      <c r="G108" s="17">
        <f t="shared" si="12"/>
        <v>11.79</v>
      </c>
      <c r="H108" s="17">
        <f t="shared" si="13"/>
        <v>0</v>
      </c>
      <c r="I108" s="17">
        <f t="shared" si="14"/>
        <v>0</v>
      </c>
      <c r="J108" s="18">
        <f t="shared" si="15"/>
        <v>0</v>
      </c>
      <c r="K108" s="18">
        <f t="shared" si="16"/>
        <v>0</v>
      </c>
      <c r="L108" s="18">
        <f t="shared" si="10"/>
        <v>11.79</v>
      </c>
      <c r="M108" s="18">
        <f t="shared" si="17"/>
        <v>0</v>
      </c>
      <c r="N108" s="18">
        <f t="shared" si="11"/>
        <v>11.79</v>
      </c>
      <c r="O108" s="8"/>
    </row>
    <row r="109" spans="1:15">
      <c r="A109" s="1" t="s">
        <v>99</v>
      </c>
      <c r="B109" s="11"/>
      <c r="C109" s="11">
        <v>1639000</v>
      </c>
      <c r="D109" s="11">
        <v>1648000</v>
      </c>
      <c r="E109" s="11">
        <v>0</v>
      </c>
      <c r="F109" s="11">
        <f t="shared" si="9"/>
        <v>9000</v>
      </c>
      <c r="G109" s="17">
        <f t="shared" si="12"/>
        <v>40.090000000000003</v>
      </c>
      <c r="H109" s="17">
        <f t="shared" si="13"/>
        <v>0</v>
      </c>
      <c r="I109" s="17">
        <f t="shared" si="14"/>
        <v>0</v>
      </c>
      <c r="J109" s="18">
        <f t="shared" si="15"/>
        <v>0</v>
      </c>
      <c r="K109" s="18">
        <f t="shared" si="16"/>
        <v>0</v>
      </c>
      <c r="L109" s="18">
        <f t="shared" si="10"/>
        <v>40.090000000000003</v>
      </c>
      <c r="M109" s="18">
        <f t="shared" si="17"/>
        <v>0</v>
      </c>
      <c r="N109" s="18">
        <f t="shared" si="11"/>
        <v>40.090000000000003</v>
      </c>
      <c r="O109" s="8"/>
    </row>
    <row r="110" spans="1:15">
      <c r="A110" s="1" t="s">
        <v>100</v>
      </c>
      <c r="B110" s="11"/>
      <c r="C110" s="11">
        <v>492000</v>
      </c>
      <c r="D110" s="11">
        <v>497000</v>
      </c>
      <c r="E110" s="11">
        <v>0</v>
      </c>
      <c r="F110" s="11">
        <f t="shared" si="9"/>
        <v>5000</v>
      </c>
      <c r="G110" s="17">
        <f t="shared" si="12"/>
        <v>40.090000000000003</v>
      </c>
      <c r="H110" s="17">
        <f t="shared" si="13"/>
        <v>0</v>
      </c>
      <c r="I110" s="17">
        <f t="shared" si="14"/>
        <v>0</v>
      </c>
      <c r="J110" s="18">
        <f t="shared" si="15"/>
        <v>0</v>
      </c>
      <c r="K110" s="18">
        <f t="shared" si="16"/>
        <v>0</v>
      </c>
      <c r="L110" s="18">
        <f t="shared" si="10"/>
        <v>40.090000000000003</v>
      </c>
      <c r="M110" s="18">
        <f t="shared" si="17"/>
        <v>0</v>
      </c>
      <c r="N110" s="18">
        <f t="shared" si="11"/>
        <v>40.090000000000003</v>
      </c>
      <c r="O110" s="8"/>
    </row>
    <row r="111" spans="1:15">
      <c r="A111" s="1" t="s">
        <v>101</v>
      </c>
      <c r="B111" s="11"/>
      <c r="C111" s="11">
        <v>4475000</v>
      </c>
      <c r="D111" s="11">
        <v>4504000</v>
      </c>
      <c r="E111" s="11">
        <v>0</v>
      </c>
      <c r="F111" s="11">
        <f t="shared" si="9"/>
        <v>29000</v>
      </c>
      <c r="G111" s="17">
        <f t="shared" si="12"/>
        <v>40.090000000000003</v>
      </c>
      <c r="H111" s="17">
        <f t="shared" si="13"/>
        <v>21.8</v>
      </c>
      <c r="I111" s="17">
        <f t="shared" si="14"/>
        <v>22.77</v>
      </c>
      <c r="J111" s="18">
        <f t="shared" si="15"/>
        <v>0</v>
      </c>
      <c r="K111" s="18">
        <f t="shared" si="16"/>
        <v>0</v>
      </c>
      <c r="L111" s="18">
        <f t="shared" si="10"/>
        <v>84.66</v>
      </c>
      <c r="M111" s="18">
        <f t="shared" si="17"/>
        <v>24.746502198339034</v>
      </c>
      <c r="N111" s="18">
        <f t="shared" si="11"/>
        <v>109.40650219833903</v>
      </c>
      <c r="O111" s="8"/>
    </row>
    <row r="112" spans="1:15">
      <c r="A112" s="1" t="s">
        <v>102</v>
      </c>
      <c r="B112" s="11" t="s">
        <v>138</v>
      </c>
      <c r="C112" s="11">
        <v>0</v>
      </c>
      <c r="D112" s="11">
        <v>0</v>
      </c>
      <c r="E112" s="11">
        <v>0</v>
      </c>
      <c r="F112" s="11">
        <f t="shared" si="9"/>
        <v>0</v>
      </c>
      <c r="G112" s="17">
        <f t="shared" si="12"/>
        <v>11.79</v>
      </c>
      <c r="H112" s="17">
        <f t="shared" si="13"/>
        <v>0</v>
      </c>
      <c r="I112" s="17">
        <f t="shared" si="14"/>
        <v>0</v>
      </c>
      <c r="J112" s="18">
        <f t="shared" si="15"/>
        <v>0</v>
      </c>
      <c r="K112" s="18">
        <f t="shared" si="16"/>
        <v>0</v>
      </c>
      <c r="L112" s="18">
        <f t="shared" si="10"/>
        <v>11.79</v>
      </c>
      <c r="M112" s="18">
        <f t="shared" si="17"/>
        <v>0</v>
      </c>
      <c r="N112" s="18">
        <f t="shared" si="11"/>
        <v>11.79</v>
      </c>
      <c r="O112" s="8"/>
    </row>
    <row r="113" spans="1:15">
      <c r="A113" s="1" t="s">
        <v>103</v>
      </c>
      <c r="B113" s="11"/>
      <c r="C113" s="11">
        <v>1105000</v>
      </c>
      <c r="D113" s="11">
        <v>1137000</v>
      </c>
      <c r="E113" s="11">
        <v>0</v>
      </c>
      <c r="F113" s="11">
        <f t="shared" si="9"/>
        <v>32000</v>
      </c>
      <c r="G113" s="17">
        <f t="shared" si="12"/>
        <v>40.090000000000003</v>
      </c>
      <c r="H113" s="17">
        <f t="shared" si="13"/>
        <v>21.8</v>
      </c>
      <c r="I113" s="17">
        <f t="shared" si="14"/>
        <v>25.299999999999997</v>
      </c>
      <c r="J113" s="18">
        <f t="shared" si="15"/>
        <v>5.9</v>
      </c>
      <c r="K113" s="18">
        <f t="shared" si="16"/>
        <v>0</v>
      </c>
      <c r="L113" s="18">
        <f t="shared" si="10"/>
        <v>93.09</v>
      </c>
      <c r="M113" s="18">
        <f t="shared" si="17"/>
        <v>28.653844650708354</v>
      </c>
      <c r="N113" s="18">
        <f t="shared" si="11"/>
        <v>121.74384465070835</v>
      </c>
      <c r="O113" s="8"/>
    </row>
    <row r="114" spans="1:15">
      <c r="A114" s="1" t="s">
        <v>104</v>
      </c>
      <c r="B114" s="11" t="s">
        <v>138</v>
      </c>
      <c r="C114" s="11">
        <v>0</v>
      </c>
      <c r="D114" s="11">
        <v>0</v>
      </c>
      <c r="E114" s="11">
        <v>0</v>
      </c>
      <c r="F114" s="11">
        <f t="shared" si="9"/>
        <v>0</v>
      </c>
      <c r="G114" s="17">
        <f t="shared" si="12"/>
        <v>11.79</v>
      </c>
      <c r="H114" s="17">
        <f t="shared" si="13"/>
        <v>0</v>
      </c>
      <c r="I114" s="17">
        <f t="shared" si="14"/>
        <v>0</v>
      </c>
      <c r="J114" s="18">
        <f t="shared" si="15"/>
        <v>0</v>
      </c>
      <c r="K114" s="18">
        <f t="shared" si="16"/>
        <v>0</v>
      </c>
      <c r="L114" s="18">
        <f t="shared" si="10"/>
        <v>11.79</v>
      </c>
      <c r="M114" s="18">
        <f t="shared" si="17"/>
        <v>0</v>
      </c>
      <c r="N114" s="18">
        <f t="shared" si="11"/>
        <v>11.79</v>
      </c>
      <c r="O114" s="8"/>
    </row>
    <row r="115" spans="1:15">
      <c r="A115" s="1" t="s">
        <v>105</v>
      </c>
      <c r="B115" s="11"/>
      <c r="C115" s="11">
        <v>1338000</v>
      </c>
      <c r="D115" s="11">
        <v>1387000</v>
      </c>
      <c r="E115" s="11">
        <v>0</v>
      </c>
      <c r="F115" s="11">
        <f t="shared" si="9"/>
        <v>49000</v>
      </c>
      <c r="G115" s="17">
        <f t="shared" si="12"/>
        <v>40.090000000000003</v>
      </c>
      <c r="H115" s="17">
        <f t="shared" si="13"/>
        <v>21.8</v>
      </c>
      <c r="I115" s="17">
        <f t="shared" si="14"/>
        <v>25.299999999999997</v>
      </c>
      <c r="J115" s="18">
        <f t="shared" si="15"/>
        <v>29.5</v>
      </c>
      <c r="K115" s="18">
        <f t="shared" si="16"/>
        <v>30.78</v>
      </c>
      <c r="L115" s="18">
        <f t="shared" si="10"/>
        <v>147.47</v>
      </c>
      <c r="M115" s="18">
        <f t="shared" si="17"/>
        <v>50.795451880801174</v>
      </c>
      <c r="N115" s="18">
        <f t="shared" si="11"/>
        <v>198.26545188080118</v>
      </c>
      <c r="O115" s="8"/>
    </row>
    <row r="116" spans="1:15">
      <c r="A116" s="1" t="s">
        <v>106</v>
      </c>
      <c r="B116" s="11"/>
      <c r="C116" s="11">
        <v>1783000</v>
      </c>
      <c r="D116" s="11">
        <v>1785000</v>
      </c>
      <c r="E116" s="11">
        <v>0</v>
      </c>
      <c r="F116" s="11">
        <f t="shared" si="9"/>
        <v>2000</v>
      </c>
      <c r="G116" s="17">
        <f t="shared" si="12"/>
        <v>40.090000000000003</v>
      </c>
      <c r="H116" s="17">
        <f t="shared" si="13"/>
        <v>0</v>
      </c>
      <c r="I116" s="17">
        <f t="shared" si="14"/>
        <v>0</v>
      </c>
      <c r="J116" s="18">
        <f t="shared" si="15"/>
        <v>0</v>
      </c>
      <c r="K116" s="18">
        <f t="shared" si="16"/>
        <v>0</v>
      </c>
      <c r="L116" s="18">
        <f t="shared" si="10"/>
        <v>40.090000000000003</v>
      </c>
      <c r="M116" s="18">
        <f t="shared" si="17"/>
        <v>0</v>
      </c>
      <c r="N116" s="18">
        <f t="shared" si="11"/>
        <v>40.090000000000003</v>
      </c>
      <c r="O116" s="8"/>
    </row>
    <row r="117" spans="1:15">
      <c r="A117" s="1" t="s">
        <v>107</v>
      </c>
      <c r="B117" s="11"/>
      <c r="C117" s="11">
        <v>312000</v>
      </c>
      <c r="D117" s="11">
        <v>314000</v>
      </c>
      <c r="E117" s="11">
        <v>0</v>
      </c>
      <c r="F117" s="11">
        <f t="shared" si="9"/>
        <v>2000</v>
      </c>
      <c r="G117" s="17">
        <f t="shared" si="12"/>
        <v>40.090000000000003</v>
      </c>
      <c r="H117" s="17">
        <f t="shared" si="13"/>
        <v>0</v>
      </c>
      <c r="I117" s="17">
        <f t="shared" si="14"/>
        <v>0</v>
      </c>
      <c r="J117" s="18">
        <f t="shared" si="15"/>
        <v>0</v>
      </c>
      <c r="K117" s="18">
        <f t="shared" si="16"/>
        <v>0</v>
      </c>
      <c r="L117" s="18">
        <f t="shared" si="10"/>
        <v>40.090000000000003</v>
      </c>
      <c r="M117" s="18">
        <f t="shared" si="17"/>
        <v>0</v>
      </c>
      <c r="N117" s="18">
        <f t="shared" si="11"/>
        <v>40.090000000000003</v>
      </c>
      <c r="O117" s="8"/>
    </row>
    <row r="118" spans="1:15">
      <c r="A118" s="1" t="s">
        <v>108</v>
      </c>
      <c r="B118" s="11"/>
      <c r="C118" s="11">
        <v>2511000</v>
      </c>
      <c r="D118" s="11">
        <v>2540000</v>
      </c>
      <c r="E118" s="11">
        <v>0</v>
      </c>
      <c r="F118" s="11">
        <f t="shared" si="9"/>
        <v>29000</v>
      </c>
      <c r="G118" s="17">
        <f t="shared" si="12"/>
        <v>40.090000000000003</v>
      </c>
      <c r="H118" s="17">
        <f t="shared" si="13"/>
        <v>21.8</v>
      </c>
      <c r="I118" s="17">
        <f t="shared" si="14"/>
        <v>22.77</v>
      </c>
      <c r="J118" s="18">
        <f t="shared" si="15"/>
        <v>0</v>
      </c>
      <c r="K118" s="18">
        <f t="shared" si="16"/>
        <v>0</v>
      </c>
      <c r="L118" s="18">
        <f t="shared" si="10"/>
        <v>84.66</v>
      </c>
      <c r="M118" s="18">
        <f t="shared" si="17"/>
        <v>24.746502198339034</v>
      </c>
      <c r="N118" s="18">
        <f t="shared" si="11"/>
        <v>109.40650219833903</v>
      </c>
      <c r="O118" s="8"/>
    </row>
    <row r="119" spans="1:15">
      <c r="A119" s="1" t="s">
        <v>109</v>
      </c>
      <c r="B119" s="11" t="s">
        <v>138</v>
      </c>
      <c r="C119" s="11">
        <v>0</v>
      </c>
      <c r="D119" s="11">
        <v>0</v>
      </c>
      <c r="E119" s="11">
        <v>0</v>
      </c>
      <c r="F119" s="11">
        <f t="shared" si="9"/>
        <v>0</v>
      </c>
      <c r="G119" s="17">
        <f t="shared" si="12"/>
        <v>11.79</v>
      </c>
      <c r="H119" s="17">
        <f t="shared" si="13"/>
        <v>0</v>
      </c>
      <c r="I119" s="17">
        <f t="shared" si="14"/>
        <v>0</v>
      </c>
      <c r="J119" s="18">
        <f t="shared" si="15"/>
        <v>0</v>
      </c>
      <c r="K119" s="18">
        <f t="shared" si="16"/>
        <v>0</v>
      </c>
      <c r="L119" s="18">
        <f t="shared" si="10"/>
        <v>11.79</v>
      </c>
      <c r="M119" s="18">
        <f t="shared" si="17"/>
        <v>0</v>
      </c>
      <c r="N119" s="18">
        <f t="shared" si="11"/>
        <v>11.79</v>
      </c>
      <c r="O119" s="8"/>
    </row>
    <row r="120" spans="1:15">
      <c r="A120" s="1" t="s">
        <v>110</v>
      </c>
      <c r="B120" s="11"/>
      <c r="C120" s="11">
        <v>3755000</v>
      </c>
      <c r="D120" s="11">
        <v>3764000</v>
      </c>
      <c r="E120" s="11">
        <v>0</v>
      </c>
      <c r="F120" s="11">
        <f t="shared" si="9"/>
        <v>9000</v>
      </c>
      <c r="G120" s="17">
        <f t="shared" si="12"/>
        <v>40.090000000000003</v>
      </c>
      <c r="H120" s="17">
        <f t="shared" si="13"/>
        <v>0</v>
      </c>
      <c r="I120" s="17">
        <f t="shared" si="14"/>
        <v>0</v>
      </c>
      <c r="J120" s="18">
        <f t="shared" si="15"/>
        <v>0</v>
      </c>
      <c r="K120" s="18">
        <f t="shared" si="16"/>
        <v>0</v>
      </c>
      <c r="L120" s="18">
        <f t="shared" si="10"/>
        <v>40.090000000000003</v>
      </c>
      <c r="M120" s="18">
        <f t="shared" si="17"/>
        <v>0</v>
      </c>
      <c r="N120" s="18">
        <f t="shared" si="11"/>
        <v>40.090000000000003</v>
      </c>
      <c r="O120" s="8"/>
    </row>
    <row r="121" spans="1:15">
      <c r="A121" s="1" t="s">
        <v>111</v>
      </c>
      <c r="B121" s="11"/>
      <c r="C121" s="11">
        <v>3388000</v>
      </c>
      <c r="D121" s="11">
        <v>3430000</v>
      </c>
      <c r="E121" s="11">
        <v>0</v>
      </c>
      <c r="F121" s="11">
        <f t="shared" si="9"/>
        <v>42000</v>
      </c>
      <c r="G121" s="17">
        <f t="shared" si="12"/>
        <v>40.090000000000003</v>
      </c>
      <c r="H121" s="17">
        <f t="shared" si="13"/>
        <v>21.8</v>
      </c>
      <c r="I121" s="17">
        <f t="shared" si="14"/>
        <v>25.299999999999997</v>
      </c>
      <c r="J121" s="18">
        <f t="shared" si="15"/>
        <v>29.5</v>
      </c>
      <c r="K121" s="18">
        <f t="shared" si="16"/>
        <v>6.84</v>
      </c>
      <c r="L121" s="18">
        <f t="shared" si="10"/>
        <v>123.53</v>
      </c>
      <c r="M121" s="18">
        <f t="shared" si="17"/>
        <v>41.678319491939426</v>
      </c>
      <c r="N121" s="18">
        <f t="shared" si="11"/>
        <v>165.20831949193942</v>
      </c>
      <c r="O121" s="8"/>
    </row>
    <row r="122" spans="1:15">
      <c r="A122" s="1" t="s">
        <v>112</v>
      </c>
      <c r="B122" s="11"/>
      <c r="C122" s="11">
        <v>334000</v>
      </c>
      <c r="D122" s="11">
        <v>335000</v>
      </c>
      <c r="E122" s="11">
        <v>0</v>
      </c>
      <c r="F122" s="11">
        <f t="shared" si="9"/>
        <v>1000</v>
      </c>
      <c r="G122" s="17">
        <f t="shared" si="12"/>
        <v>40.090000000000003</v>
      </c>
      <c r="H122" s="17">
        <f t="shared" si="13"/>
        <v>0</v>
      </c>
      <c r="I122" s="17">
        <f t="shared" si="14"/>
        <v>0</v>
      </c>
      <c r="J122" s="18">
        <f t="shared" si="15"/>
        <v>0</v>
      </c>
      <c r="K122" s="18">
        <f t="shared" si="16"/>
        <v>0</v>
      </c>
      <c r="L122" s="18">
        <f t="shared" si="10"/>
        <v>40.090000000000003</v>
      </c>
      <c r="M122" s="18">
        <f t="shared" si="17"/>
        <v>0</v>
      </c>
      <c r="N122" s="18">
        <f t="shared" si="11"/>
        <v>40.090000000000003</v>
      </c>
      <c r="O122" s="8"/>
    </row>
    <row r="123" spans="1:15">
      <c r="A123" s="1" t="s">
        <v>113</v>
      </c>
      <c r="B123" s="11"/>
      <c r="C123" s="11">
        <v>1352000</v>
      </c>
      <c r="D123" s="11">
        <v>1391000</v>
      </c>
      <c r="E123" s="11">
        <v>0</v>
      </c>
      <c r="F123" s="11">
        <f t="shared" si="9"/>
        <v>39000</v>
      </c>
      <c r="G123" s="17">
        <f t="shared" si="12"/>
        <v>40.090000000000003</v>
      </c>
      <c r="H123" s="17">
        <f t="shared" si="13"/>
        <v>21.8</v>
      </c>
      <c r="I123" s="17">
        <f t="shared" si="14"/>
        <v>25.299999999999997</v>
      </c>
      <c r="J123" s="18">
        <f t="shared" si="15"/>
        <v>26.55</v>
      </c>
      <c r="K123" s="18">
        <f t="shared" si="16"/>
        <v>0</v>
      </c>
      <c r="L123" s="18">
        <f t="shared" si="10"/>
        <v>113.74</v>
      </c>
      <c r="M123" s="18">
        <f t="shared" si="17"/>
        <v>37.770977039570106</v>
      </c>
      <c r="N123" s="18">
        <f t="shared" si="11"/>
        <v>151.51097703957009</v>
      </c>
      <c r="O123" s="8"/>
    </row>
    <row r="124" spans="1:15">
      <c r="A124" s="1" t="s">
        <v>114</v>
      </c>
      <c r="B124" s="11"/>
      <c r="C124" s="11">
        <v>2553000</v>
      </c>
      <c r="D124" s="11">
        <v>2558000</v>
      </c>
      <c r="E124" s="11">
        <v>0</v>
      </c>
      <c r="F124" s="11">
        <f t="shared" si="9"/>
        <v>5000</v>
      </c>
      <c r="G124" s="17">
        <f t="shared" si="12"/>
        <v>40.090000000000003</v>
      </c>
      <c r="H124" s="17">
        <f t="shared" si="13"/>
        <v>0</v>
      </c>
      <c r="I124" s="17">
        <f t="shared" si="14"/>
        <v>0</v>
      </c>
      <c r="J124" s="18">
        <f t="shared" si="15"/>
        <v>0</v>
      </c>
      <c r="K124" s="18">
        <f t="shared" si="16"/>
        <v>0</v>
      </c>
      <c r="L124" s="18">
        <f t="shared" si="10"/>
        <v>40.090000000000003</v>
      </c>
      <c r="M124" s="18">
        <f t="shared" si="17"/>
        <v>0</v>
      </c>
      <c r="N124" s="18">
        <f t="shared" si="11"/>
        <v>40.090000000000003</v>
      </c>
      <c r="O124" s="8"/>
    </row>
    <row r="125" spans="1:15">
      <c r="A125" s="1" t="s">
        <v>115</v>
      </c>
      <c r="B125" s="11"/>
      <c r="C125" s="11">
        <v>2396000</v>
      </c>
      <c r="D125" s="11">
        <v>2410000</v>
      </c>
      <c r="E125" s="11">
        <v>0</v>
      </c>
      <c r="F125" s="11">
        <f t="shared" si="9"/>
        <v>14000</v>
      </c>
      <c r="G125" s="17">
        <f t="shared" si="12"/>
        <v>40.090000000000003</v>
      </c>
      <c r="H125" s="17">
        <f t="shared" si="13"/>
        <v>8.7200000000000006</v>
      </c>
      <c r="I125" s="17">
        <f t="shared" si="14"/>
        <v>0</v>
      </c>
      <c r="J125" s="18">
        <f t="shared" si="15"/>
        <v>0</v>
      </c>
      <c r="K125" s="18">
        <f t="shared" si="16"/>
        <v>0</v>
      </c>
      <c r="L125" s="18">
        <f t="shared" si="10"/>
        <v>48.81</v>
      </c>
      <c r="M125" s="18">
        <f t="shared" si="17"/>
        <v>5.2097899364924283</v>
      </c>
      <c r="N125" s="18">
        <f t="shared" si="11"/>
        <v>54.01978993649243</v>
      </c>
      <c r="O125" s="8"/>
    </row>
    <row r="126" spans="1:15">
      <c r="A126" s="1" t="s">
        <v>116</v>
      </c>
      <c r="B126" s="11"/>
      <c r="C126" s="11">
        <v>4236000</v>
      </c>
      <c r="D126" s="11">
        <v>4242000</v>
      </c>
      <c r="E126" s="11">
        <v>0</v>
      </c>
      <c r="F126" s="11">
        <f t="shared" si="9"/>
        <v>6000</v>
      </c>
      <c r="G126" s="17">
        <f t="shared" si="12"/>
        <v>40.090000000000003</v>
      </c>
      <c r="H126" s="17">
        <f t="shared" si="13"/>
        <v>0</v>
      </c>
      <c r="I126" s="17">
        <f t="shared" si="14"/>
        <v>0</v>
      </c>
      <c r="J126" s="18">
        <f t="shared" si="15"/>
        <v>0</v>
      </c>
      <c r="K126" s="18">
        <f t="shared" si="16"/>
        <v>0</v>
      </c>
      <c r="L126" s="18">
        <f t="shared" si="10"/>
        <v>40.090000000000003</v>
      </c>
      <c r="M126" s="18">
        <f t="shared" si="17"/>
        <v>0</v>
      </c>
      <c r="N126" s="18">
        <f t="shared" si="11"/>
        <v>40.090000000000003</v>
      </c>
      <c r="O126" s="8"/>
    </row>
    <row r="127" spans="1:15">
      <c r="A127" s="1" t="s">
        <v>117</v>
      </c>
      <c r="B127" s="11"/>
      <c r="C127" s="11">
        <v>1862000</v>
      </c>
      <c r="D127" s="11">
        <v>1871000</v>
      </c>
      <c r="E127" s="11">
        <v>0</v>
      </c>
      <c r="F127" s="11">
        <f t="shared" si="9"/>
        <v>9000</v>
      </c>
      <c r="G127" s="17">
        <f t="shared" si="12"/>
        <v>40.090000000000003</v>
      </c>
      <c r="H127" s="17">
        <f t="shared" si="13"/>
        <v>0</v>
      </c>
      <c r="I127" s="17">
        <f t="shared" si="14"/>
        <v>0</v>
      </c>
      <c r="J127" s="18">
        <f t="shared" si="15"/>
        <v>0</v>
      </c>
      <c r="K127" s="18">
        <f t="shared" si="16"/>
        <v>0</v>
      </c>
      <c r="L127" s="18">
        <f t="shared" si="10"/>
        <v>40.090000000000003</v>
      </c>
      <c r="M127" s="18">
        <f t="shared" si="17"/>
        <v>0</v>
      </c>
      <c r="N127" s="18">
        <f t="shared" si="11"/>
        <v>40.090000000000003</v>
      </c>
      <c r="O127" s="8"/>
    </row>
    <row r="128" spans="1:15">
      <c r="A128" s="14" t="s">
        <v>118</v>
      </c>
      <c r="B128" s="15"/>
      <c r="C128" s="15">
        <v>1146000</v>
      </c>
      <c r="D128" s="15">
        <v>1153000</v>
      </c>
      <c r="E128" s="15">
        <v>0</v>
      </c>
      <c r="F128" s="15">
        <f t="shared" si="9"/>
        <v>7000</v>
      </c>
      <c r="G128" s="19">
        <f t="shared" si="12"/>
        <v>40.090000000000003</v>
      </c>
      <c r="H128" s="19">
        <f t="shared" si="13"/>
        <v>0</v>
      </c>
      <c r="I128" s="19">
        <f t="shared" si="14"/>
        <v>0</v>
      </c>
      <c r="J128" s="20">
        <f t="shared" si="15"/>
        <v>0</v>
      </c>
      <c r="K128" s="20">
        <f t="shared" si="16"/>
        <v>0</v>
      </c>
      <c r="L128" s="18">
        <f t="shared" si="10"/>
        <v>40.090000000000003</v>
      </c>
      <c r="M128" s="18">
        <f t="shared" si="17"/>
        <v>0</v>
      </c>
      <c r="N128" s="18">
        <f t="shared" si="11"/>
        <v>40.090000000000003</v>
      </c>
      <c r="O128" s="16" t="s">
        <v>153</v>
      </c>
    </row>
    <row r="129" spans="1:15">
      <c r="A129" s="1" t="s">
        <v>119</v>
      </c>
      <c r="B129" s="11"/>
      <c r="C129" s="11">
        <v>6508000</v>
      </c>
      <c r="D129" s="11">
        <v>6661000</v>
      </c>
      <c r="E129" s="11">
        <v>0</v>
      </c>
      <c r="F129" s="11">
        <f t="shared" si="9"/>
        <v>153000</v>
      </c>
      <c r="G129" s="17">
        <f t="shared" si="12"/>
        <v>40.090000000000003</v>
      </c>
      <c r="H129" s="17">
        <f t="shared" si="13"/>
        <v>21.8</v>
      </c>
      <c r="I129" s="17">
        <f t="shared" si="14"/>
        <v>25.299999999999997</v>
      </c>
      <c r="J129" s="18">
        <f t="shared" si="15"/>
        <v>29.5</v>
      </c>
      <c r="K129" s="18">
        <f t="shared" si="16"/>
        <v>386.46</v>
      </c>
      <c r="L129" s="18">
        <f t="shared" si="10"/>
        <v>503.15</v>
      </c>
      <c r="M129" s="18">
        <f t="shared" si="17"/>
        <v>186.24999022960429</v>
      </c>
      <c r="N129" s="18">
        <f t="shared" si="11"/>
        <v>689.39999022960433</v>
      </c>
      <c r="O129" s="8"/>
    </row>
    <row r="130" spans="1:15">
      <c r="A130" s="1" t="s">
        <v>120</v>
      </c>
      <c r="B130" s="11"/>
      <c r="C130" s="11">
        <v>3648000</v>
      </c>
      <c r="D130" s="11">
        <v>3659000</v>
      </c>
      <c r="E130" s="11">
        <v>0</v>
      </c>
      <c r="F130" s="11">
        <f t="shared" si="9"/>
        <v>11000</v>
      </c>
      <c r="G130" s="17">
        <f t="shared" si="12"/>
        <v>40.090000000000003</v>
      </c>
      <c r="H130" s="17">
        <f t="shared" si="13"/>
        <v>2.1800000000000002</v>
      </c>
      <c r="I130" s="17">
        <f t="shared" si="14"/>
        <v>0</v>
      </c>
      <c r="J130" s="18">
        <f t="shared" si="15"/>
        <v>0</v>
      </c>
      <c r="K130" s="18">
        <f t="shared" si="16"/>
        <v>0</v>
      </c>
      <c r="L130" s="18">
        <f t="shared" si="10"/>
        <v>42.27</v>
      </c>
      <c r="M130" s="18">
        <f t="shared" si="17"/>
        <v>1.3024474841231071</v>
      </c>
      <c r="N130" s="18">
        <f t="shared" si="11"/>
        <v>43.57244748412311</v>
      </c>
      <c r="O130" s="8"/>
    </row>
    <row r="131" spans="1:15">
      <c r="A131" s="1" t="s">
        <v>121</v>
      </c>
      <c r="B131" s="11" t="s">
        <v>138</v>
      </c>
      <c r="C131" s="11">
        <v>0</v>
      </c>
      <c r="D131" s="11">
        <v>0</v>
      </c>
      <c r="E131" s="11">
        <v>0</v>
      </c>
      <c r="F131" s="11">
        <f t="shared" si="9"/>
        <v>0</v>
      </c>
      <c r="G131" s="17">
        <f t="shared" si="12"/>
        <v>11.79</v>
      </c>
      <c r="H131" s="17">
        <f t="shared" si="13"/>
        <v>0</v>
      </c>
      <c r="I131" s="17">
        <f t="shared" si="14"/>
        <v>0</v>
      </c>
      <c r="J131" s="18">
        <f t="shared" si="15"/>
        <v>0</v>
      </c>
      <c r="K131" s="18">
        <f t="shared" si="16"/>
        <v>0</v>
      </c>
      <c r="L131" s="18">
        <f t="shared" si="10"/>
        <v>11.79</v>
      </c>
      <c r="M131" s="18">
        <f t="shared" si="17"/>
        <v>0</v>
      </c>
      <c r="N131" s="18">
        <f t="shared" si="11"/>
        <v>11.79</v>
      </c>
      <c r="O131" s="8"/>
    </row>
    <row r="132" spans="1:15">
      <c r="A132" s="1" t="s">
        <v>122</v>
      </c>
      <c r="B132" s="11"/>
      <c r="C132" s="11">
        <v>1234000</v>
      </c>
      <c r="D132" s="11">
        <v>1247000</v>
      </c>
      <c r="E132" s="11">
        <v>0</v>
      </c>
      <c r="F132" s="11">
        <f t="shared" si="9"/>
        <v>13000</v>
      </c>
      <c r="G132" s="17">
        <f t="shared" si="12"/>
        <v>40.090000000000003</v>
      </c>
      <c r="H132" s="17">
        <f t="shared" si="13"/>
        <v>6.5400000000000009</v>
      </c>
      <c r="I132" s="17">
        <f t="shared" si="14"/>
        <v>0</v>
      </c>
      <c r="J132" s="18">
        <f t="shared" si="15"/>
        <v>0</v>
      </c>
      <c r="K132" s="18">
        <f t="shared" si="16"/>
        <v>0</v>
      </c>
      <c r="L132" s="18">
        <f t="shared" si="10"/>
        <v>46.63</v>
      </c>
      <c r="M132" s="18">
        <f t="shared" si="17"/>
        <v>3.907342452369321</v>
      </c>
      <c r="N132" s="18">
        <f t="shared" si="11"/>
        <v>50.537342452369323</v>
      </c>
      <c r="O132" s="8"/>
    </row>
    <row r="133" spans="1:15">
      <c r="A133" s="1" t="s">
        <v>123</v>
      </c>
      <c r="B133" s="11" t="s">
        <v>138</v>
      </c>
      <c r="C133" s="11">
        <v>0</v>
      </c>
      <c r="D133" s="11">
        <v>0</v>
      </c>
      <c r="E133" s="11">
        <v>0</v>
      </c>
      <c r="F133" s="11">
        <f t="shared" si="9"/>
        <v>0</v>
      </c>
      <c r="G133" s="17">
        <f t="shared" si="12"/>
        <v>11.79</v>
      </c>
      <c r="H133" s="17">
        <f t="shared" si="13"/>
        <v>0</v>
      </c>
      <c r="I133" s="17">
        <f t="shared" si="14"/>
        <v>0</v>
      </c>
      <c r="J133" s="18">
        <f t="shared" si="15"/>
        <v>0</v>
      </c>
      <c r="K133" s="18">
        <f t="shared" si="16"/>
        <v>0</v>
      </c>
      <c r="L133" s="18">
        <f t="shared" si="10"/>
        <v>11.79</v>
      </c>
      <c r="M133" s="18">
        <f t="shared" si="17"/>
        <v>0</v>
      </c>
      <c r="N133" s="18">
        <f t="shared" si="11"/>
        <v>11.79</v>
      </c>
      <c r="O133" s="8"/>
    </row>
    <row r="134" spans="1:15">
      <c r="A134" s="1" t="s">
        <v>124</v>
      </c>
      <c r="B134" s="11" t="s">
        <v>138</v>
      </c>
      <c r="C134" s="11">
        <v>0</v>
      </c>
      <c r="D134" s="11">
        <v>0</v>
      </c>
      <c r="E134" s="11">
        <v>0</v>
      </c>
      <c r="F134" s="11">
        <f t="shared" si="9"/>
        <v>0</v>
      </c>
      <c r="G134" s="17">
        <f t="shared" si="12"/>
        <v>11.79</v>
      </c>
      <c r="H134" s="17">
        <f t="shared" si="13"/>
        <v>0</v>
      </c>
      <c r="I134" s="17">
        <f t="shared" si="14"/>
        <v>0</v>
      </c>
      <c r="J134" s="18">
        <f t="shared" si="15"/>
        <v>0</v>
      </c>
      <c r="K134" s="18">
        <f t="shared" si="16"/>
        <v>0</v>
      </c>
      <c r="L134" s="18">
        <f t="shared" si="10"/>
        <v>11.79</v>
      </c>
      <c r="M134" s="18">
        <f t="shared" si="17"/>
        <v>0</v>
      </c>
      <c r="N134" s="18">
        <f t="shared" si="11"/>
        <v>11.79</v>
      </c>
      <c r="O134" s="8"/>
    </row>
    <row r="135" spans="1:15">
      <c r="A135" s="1" t="s">
        <v>125</v>
      </c>
      <c r="B135" s="11" t="s">
        <v>138</v>
      </c>
      <c r="C135" s="11">
        <v>0</v>
      </c>
      <c r="D135" s="11">
        <v>0</v>
      </c>
      <c r="E135" s="11">
        <v>0</v>
      </c>
      <c r="F135" s="11">
        <f t="shared" si="9"/>
        <v>0</v>
      </c>
      <c r="G135" s="17">
        <f t="shared" si="12"/>
        <v>11.79</v>
      </c>
      <c r="H135" s="17">
        <f t="shared" si="13"/>
        <v>0</v>
      </c>
      <c r="I135" s="17">
        <f t="shared" si="14"/>
        <v>0</v>
      </c>
      <c r="J135" s="18">
        <f t="shared" si="15"/>
        <v>0</v>
      </c>
      <c r="K135" s="18">
        <f t="shared" si="16"/>
        <v>0</v>
      </c>
      <c r="L135" s="18">
        <f t="shared" si="10"/>
        <v>11.79</v>
      </c>
      <c r="M135" s="18">
        <f t="shared" si="17"/>
        <v>0</v>
      </c>
      <c r="N135" s="18">
        <f t="shared" si="11"/>
        <v>11.79</v>
      </c>
      <c r="O135" s="8"/>
    </row>
    <row r="136" spans="1:15">
      <c r="A136" s="1" t="s">
        <v>126</v>
      </c>
      <c r="B136" s="11"/>
      <c r="C136" s="11">
        <v>907000</v>
      </c>
      <c r="D136" s="11">
        <v>946000</v>
      </c>
      <c r="E136" s="11">
        <v>0</v>
      </c>
      <c r="F136" s="11">
        <f t="shared" si="9"/>
        <v>39000</v>
      </c>
      <c r="G136" s="17">
        <f t="shared" si="12"/>
        <v>40.090000000000003</v>
      </c>
      <c r="H136" s="17">
        <f t="shared" si="13"/>
        <v>21.8</v>
      </c>
      <c r="I136" s="17">
        <f t="shared" si="14"/>
        <v>25.299999999999997</v>
      </c>
      <c r="J136" s="18">
        <f t="shared" si="15"/>
        <v>26.55</v>
      </c>
      <c r="K136" s="18">
        <f t="shared" si="16"/>
        <v>0</v>
      </c>
      <c r="L136" s="18">
        <f t="shared" si="10"/>
        <v>113.74</v>
      </c>
      <c r="M136" s="18">
        <f t="shared" si="17"/>
        <v>37.770977039570106</v>
      </c>
      <c r="N136" s="18">
        <f t="shared" si="11"/>
        <v>151.51097703957009</v>
      </c>
      <c r="O136" s="8"/>
    </row>
    <row r="138" spans="1:15">
      <c r="J138" s="1" t="s">
        <v>136</v>
      </c>
      <c r="M138" s="6">
        <f>SUM(M11:M137)</f>
        <v>2666.1099999999997</v>
      </c>
      <c r="N138" s="5">
        <f>SUM(N11:N137)</f>
        <v>12697.910000000016</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SUM(Table228[Usage])</f>
        <v>2807900</v>
      </c>
      <c r="G140" s="25">
        <f>SUM(Table228[[Base Rate ]])</f>
        <v>4196.7500000000045</v>
      </c>
      <c r="H140" s="25">
        <f>SUM(Table228[Tier1])</f>
        <v>1111.7999999999993</v>
      </c>
      <c r="I140" s="25">
        <f>SUM(Table228[Tier2])</f>
        <v>933.56999999999937</v>
      </c>
      <c r="J140" s="25">
        <f>SUM(Table228[Tier3])</f>
        <v>749.29999999999984</v>
      </c>
      <c r="K140" s="25">
        <f>SUM(Table228[Tier4])</f>
        <v>3040.3800000000006</v>
      </c>
      <c r="L140" s="25">
        <f>SUM(G140:K140)</f>
        <v>10031.800000000005</v>
      </c>
    </row>
    <row r="141" spans="1:15" customFormat="1">
      <c r="A141" t="s">
        <v>250</v>
      </c>
    </row>
    <row r="142" spans="1:15" customFormat="1">
      <c r="D142" t="s">
        <v>248</v>
      </c>
      <c r="E142" t="s">
        <v>148</v>
      </c>
      <c r="G142" t="s">
        <v>258</v>
      </c>
      <c r="H142" t="s">
        <v>166</v>
      </c>
      <c r="I142" t="s">
        <v>167</v>
      </c>
      <c r="J142" t="s">
        <v>169</v>
      </c>
      <c r="K142" t="s">
        <v>252</v>
      </c>
      <c r="L142" t="s">
        <v>251</v>
      </c>
      <c r="N142" s="1"/>
    </row>
    <row r="143" spans="1:15" customFormat="1">
      <c r="A143" t="s">
        <v>254</v>
      </c>
      <c r="D143">
        <v>82</v>
      </c>
      <c r="E143" s="25">
        <f>SUM(M18:M130)</f>
        <v>1833.8460576453349</v>
      </c>
      <c r="G143" s="25">
        <f>SUM(G18:G130)-G145</f>
        <v>3287.3800000000028</v>
      </c>
      <c r="H143" s="80">
        <f>SUM(H18:H130)-H145</f>
        <v>991.8999999999993</v>
      </c>
      <c r="I143" s="25">
        <f>SUM(I18:I130)-I145</f>
        <v>807.0699999999996</v>
      </c>
      <c r="J143" s="25">
        <f>SUM(J18:J130)-J145</f>
        <v>604.74999999999989</v>
      </c>
      <c r="K143" s="25">
        <f>SUM(K18:K130)-K145</f>
        <v>1467.1799999999998</v>
      </c>
      <c r="L143" s="25">
        <f>SUM(F143:K143)</f>
        <v>7158.2800000000025</v>
      </c>
      <c r="N143" s="1"/>
    </row>
    <row r="144" spans="1:15" customFormat="1">
      <c r="A144" t="s">
        <v>255</v>
      </c>
      <c r="D144">
        <v>8</v>
      </c>
      <c r="E144" s="25">
        <f>SUM(M11:M15)+M17+SUM(M131:M136)</f>
        <v>799.70275525158763</v>
      </c>
      <c r="G144" s="34">
        <f>SUM(G11:G15)+G17+G132+G136</f>
        <v>320.72000000000003</v>
      </c>
      <c r="H144" s="34">
        <f>SUM(H11:H15)+H17+H132+H136</f>
        <v>119.9</v>
      </c>
      <c r="I144" s="34">
        <f>SUM(I11:I15)+I17+I132+I136</f>
        <v>126.49999999999999</v>
      </c>
      <c r="J144" s="34">
        <f>SUM(J11:J15)+J17+J132+J136</f>
        <v>144.55000000000001</v>
      </c>
      <c r="K144" s="34">
        <f>SUM(K11:K15)+K17+K132+K136</f>
        <v>1573.2</v>
      </c>
      <c r="L144" s="25">
        <f t="shared" ref="L144:L147" si="18">SUM(F144:K144)</f>
        <v>2284.87</v>
      </c>
      <c r="N144" s="1"/>
    </row>
    <row r="145" spans="1:14"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18"/>
        <v>365.49000000000007</v>
      </c>
      <c r="M145" s="25"/>
      <c r="N145" s="1"/>
    </row>
    <row r="146" spans="1:14" customFormat="1">
      <c r="A146" t="s">
        <v>261</v>
      </c>
      <c r="D146">
        <v>4</v>
      </c>
      <c r="E146" s="25">
        <v>0</v>
      </c>
      <c r="G146" s="25">
        <f>G135+G134+G133+G131</f>
        <v>47.16</v>
      </c>
      <c r="H146" s="25">
        <f>H135+H134+H133+H131</f>
        <v>0</v>
      </c>
      <c r="I146" s="25">
        <f>I135+I134+I133+I131</f>
        <v>0</v>
      </c>
      <c r="J146" s="25">
        <f>J135+J134+J133+J131</f>
        <v>0</v>
      </c>
      <c r="K146" s="25">
        <f>K135+K134+K133+K131</f>
        <v>0</v>
      </c>
      <c r="L146" s="25">
        <f t="shared" si="18"/>
        <v>47.16</v>
      </c>
      <c r="N146" s="1"/>
    </row>
    <row r="147" spans="1:14" customFormat="1">
      <c r="A147" t="s">
        <v>253</v>
      </c>
      <c r="D147">
        <v>1</v>
      </c>
      <c r="E147" s="25">
        <f>M16</f>
        <v>32.561187103077678</v>
      </c>
      <c r="G147" s="25">
        <f>G16</f>
        <v>176</v>
      </c>
      <c r="H147" s="25">
        <f>H16</f>
        <v>0</v>
      </c>
      <c r="I147" s="25">
        <f>I16</f>
        <v>0</v>
      </c>
      <c r="J147" s="25">
        <f>J16</f>
        <v>0</v>
      </c>
      <c r="K147" s="25">
        <f>K16</f>
        <v>0</v>
      </c>
      <c r="L147" s="25">
        <f t="shared" si="18"/>
        <v>176</v>
      </c>
      <c r="N147" s="1"/>
    </row>
    <row r="148" spans="1:14" customFormat="1" ht="15.75" thickBot="1">
      <c r="B148" t="s">
        <v>257</v>
      </c>
      <c r="D148" s="73">
        <f>SUM(D143:D147)</f>
        <v>126</v>
      </c>
      <c r="E148" s="74">
        <f>SUM(E143:E147)</f>
        <v>2666.1100000000006</v>
      </c>
      <c r="F148" s="73"/>
      <c r="G148" s="74">
        <f t="shared" ref="G148:L148" si="19">SUM(G143:G147)</f>
        <v>4196.7500000000036</v>
      </c>
      <c r="H148" s="74">
        <f t="shared" si="19"/>
        <v>1111.7999999999993</v>
      </c>
      <c r="I148" s="74">
        <f t="shared" si="19"/>
        <v>933.5699999999996</v>
      </c>
      <c r="J148" s="74">
        <f t="shared" si="19"/>
        <v>749.3</v>
      </c>
      <c r="K148" s="74">
        <f t="shared" si="19"/>
        <v>3040.38</v>
      </c>
      <c r="L148" s="74">
        <f t="shared" si="19"/>
        <v>10031.800000000001</v>
      </c>
      <c r="N148" s="1"/>
    </row>
    <row r="149" spans="1:14" customFormat="1" ht="16.5" thickTop="1" thickBot="1">
      <c r="D149" s="78"/>
      <c r="E149" s="78"/>
      <c r="F149" s="78"/>
      <c r="G149" s="79"/>
      <c r="H149" s="79"/>
      <c r="I149" s="79"/>
      <c r="J149" s="79"/>
      <c r="K149" s="79"/>
      <c r="L149" s="79"/>
      <c r="N149" s="1"/>
    </row>
    <row r="150" spans="1:14" customFormat="1">
      <c r="D150" s="188" t="s">
        <v>376</v>
      </c>
      <c r="E150" s="78"/>
      <c r="F150" s="78"/>
      <c r="G150" s="79"/>
      <c r="H150" s="79"/>
      <c r="I150" s="79"/>
      <c r="J150" s="79"/>
      <c r="K150" s="79"/>
      <c r="L150" s="79"/>
      <c r="N150" s="1"/>
    </row>
    <row r="151" spans="1:14" customFormat="1" ht="15.75" thickBot="1">
      <c r="D151" s="189" t="s">
        <v>375</v>
      </c>
      <c r="E151" s="78"/>
      <c r="F151" s="78"/>
      <c r="G151" s="79"/>
      <c r="H151" s="79"/>
      <c r="I151" s="79"/>
      <c r="J151" s="79"/>
      <c r="K151" s="79"/>
      <c r="L151" s="79"/>
      <c r="N151" s="1"/>
    </row>
    <row r="152" spans="1:14" customFormat="1">
      <c r="A152" t="s">
        <v>262</v>
      </c>
      <c r="D152" s="81">
        <v>51</v>
      </c>
      <c r="E152" s="81">
        <f>E143/E148*N7</f>
        <v>1408000</v>
      </c>
      <c r="F152" s="75"/>
      <c r="G152" s="81">
        <f>F140-G153-G154-(SUM(H155:K155))</f>
        <v>680900.00000000047</v>
      </c>
      <c r="H152" s="81">
        <f>H143/2.18*1000</f>
        <v>454999.99999999965</v>
      </c>
      <c r="I152" s="81">
        <f>I143/2.53*1000</f>
        <v>318999.99999999988</v>
      </c>
      <c r="J152" s="81">
        <f>J143/2.95*1000</f>
        <v>204999.99999999994</v>
      </c>
      <c r="K152" s="81">
        <f>K143/3.42*1000</f>
        <v>428999.99999999994</v>
      </c>
      <c r="L152" s="81">
        <f>SUM(G152:K152)</f>
        <v>2088900</v>
      </c>
      <c r="N152" s="1"/>
    </row>
    <row r="153" spans="1:14" customFormat="1">
      <c r="A153" t="s">
        <v>263</v>
      </c>
      <c r="D153" s="81">
        <v>7</v>
      </c>
      <c r="E153" s="81">
        <f>E144/E148*N7</f>
        <v>613999.99999999988</v>
      </c>
      <c r="F153" s="75"/>
      <c r="G153" s="81">
        <f>(SUM(F11:F15)+F17+SUM(F131:F136)-H153-I153-J153-K153)</f>
        <v>70000</v>
      </c>
      <c r="H153" s="81">
        <f>H144/2.18*1000</f>
        <v>55000</v>
      </c>
      <c r="I153" s="81">
        <f>I144/2.53*1000</f>
        <v>50000</v>
      </c>
      <c r="J153" s="81">
        <f>J144/2.95*1000</f>
        <v>49000</v>
      </c>
      <c r="K153" s="81">
        <f>K144/3.42*1000</f>
        <v>460000</v>
      </c>
      <c r="L153" s="81">
        <f>SUM(G153:K153)</f>
        <v>684000</v>
      </c>
      <c r="N153" s="1"/>
    </row>
    <row r="154" spans="1:14" customFormat="1">
      <c r="A154" t="s">
        <v>264</v>
      </c>
      <c r="D154" s="81">
        <v>1</v>
      </c>
      <c r="E154" s="81">
        <f>E147/E148*N7</f>
        <v>24999.999999999996</v>
      </c>
      <c r="F154" s="75"/>
      <c r="G154" s="81">
        <f>IF(F16&gt;100000,100000,F16)</f>
        <v>35000</v>
      </c>
      <c r="H154" s="81">
        <f>H147/1.89*1000</f>
        <v>0</v>
      </c>
      <c r="I154" s="81" t="s">
        <v>259</v>
      </c>
      <c r="J154" s="81" t="s">
        <v>259</v>
      </c>
      <c r="K154" s="81" t="s">
        <v>259</v>
      </c>
      <c r="L154" s="81">
        <f>SUM(G154:K154)</f>
        <v>35000</v>
      </c>
      <c r="N154" s="1"/>
    </row>
    <row r="155" spans="1:14" customFormat="1" ht="15.75" thickBot="1">
      <c r="B155" t="s">
        <v>265</v>
      </c>
      <c r="D155" s="82">
        <f>SUM(D152:D154)</f>
        <v>59</v>
      </c>
      <c r="E155" s="82">
        <f>SUM(E152:E154)</f>
        <v>2047000</v>
      </c>
      <c r="F155" s="77"/>
      <c r="G155" s="82">
        <f>G152+G153+G154</f>
        <v>785900.00000000047</v>
      </c>
      <c r="H155" s="82">
        <f>SUM(H152:H154)</f>
        <v>509999.99999999965</v>
      </c>
      <c r="I155" s="82">
        <f>SUM(I152:I154)</f>
        <v>368999.99999999988</v>
      </c>
      <c r="J155" s="82">
        <f>SUM(J152:J154)</f>
        <v>253999.99999999994</v>
      </c>
      <c r="K155" s="82">
        <f>SUM(K152:K154)</f>
        <v>889000</v>
      </c>
      <c r="L155" s="82">
        <f>SUM(L152:L154)</f>
        <v>2807900</v>
      </c>
      <c r="N155" s="1"/>
    </row>
    <row r="156" spans="1:14" ht="15.75" thickTop="1">
      <c r="E156" s="1" t="s">
        <v>274</v>
      </c>
    </row>
    <row r="157" spans="1:14">
      <c r="E157" s="75" t="s">
        <v>275</v>
      </c>
    </row>
    <row r="158" spans="1:14">
      <c r="E158" s="75" t="s">
        <v>273</v>
      </c>
    </row>
    <row r="159" spans="1:14">
      <c r="E159"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O159"/>
  <sheetViews>
    <sheetView zoomScaleNormal="100" zoomScalePageLayoutView="25"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5" ht="46.5">
      <c r="A1" s="2" t="s">
        <v>141</v>
      </c>
    </row>
    <row r="2" spans="1:15" ht="28.5">
      <c r="A2" s="3" t="s">
        <v>142</v>
      </c>
    </row>
    <row r="4" spans="1:15">
      <c r="A4" s="1" t="s">
        <v>143</v>
      </c>
      <c r="B4" s="4">
        <v>40756</v>
      </c>
      <c r="D4" s="1" t="s">
        <v>146</v>
      </c>
      <c r="G4" s="1" t="s">
        <v>156</v>
      </c>
      <c r="K4" s="1" t="s">
        <v>149</v>
      </c>
      <c r="N4" s="1">
        <f>SUM(F11:F137)</f>
        <v>2948900</v>
      </c>
    </row>
    <row r="5" spans="1:15">
      <c r="B5" s="4"/>
      <c r="D5" s="1" t="s">
        <v>144</v>
      </c>
      <c r="E5" s="1">
        <v>4773900</v>
      </c>
      <c r="G5" s="1" t="s">
        <v>155</v>
      </c>
      <c r="H5" s="1">
        <v>1</v>
      </c>
      <c r="K5" s="1" t="s">
        <v>154</v>
      </c>
      <c r="N5" s="1">
        <f>N4-F16</f>
        <v>2772900</v>
      </c>
    </row>
    <row r="6" spans="1:15">
      <c r="B6" s="4"/>
      <c r="D6" s="1" t="s">
        <v>145</v>
      </c>
      <c r="E6" s="1">
        <v>6031500</v>
      </c>
      <c r="G6" s="1" t="s">
        <v>158</v>
      </c>
      <c r="H6" s="1">
        <v>35000</v>
      </c>
      <c r="K6" s="1" t="s">
        <v>160</v>
      </c>
      <c r="N6" s="1">
        <f>SUMIF(F11:F15,"&gt;" &amp; $H$6)+SUMIF(F17:F136,"&gt;" &amp; $H$6)+SUMIF(F16,"&gt;" &amp; $H$7)</f>
        <v>2059000</v>
      </c>
    </row>
    <row r="7" spans="1:15">
      <c r="B7" s="4"/>
      <c r="D7" s="1" t="s">
        <v>150</v>
      </c>
      <c r="E7" s="12">
        <f>E6-E5</f>
        <v>1257600</v>
      </c>
      <c r="G7" s="1" t="s">
        <v>159</v>
      </c>
      <c r="H7" s="12">
        <v>100000</v>
      </c>
      <c r="K7" s="1" t="s">
        <v>161</v>
      </c>
      <c r="N7" s="1">
        <f>(SUMIF(F11:F15,"&gt;" &amp; $H$6)-(COUNTIF(F11:F15,"&gt;" &amp; $H$6)*$H$6))+(SUMIF(F17:F136,"&gt;" &amp; $H$6)-(COUNTIF(F17:F136,"&gt;" &amp; $H$6)*$H$6))+(SUMIF(F16,"&gt;" &amp; $H$7)-(COUNTIF(F16,"&gt;" &amp; $H$7)*$H$7))</f>
        <v>1084000</v>
      </c>
    </row>
    <row r="8" spans="1:15">
      <c r="D8" s="1" t="s">
        <v>147</v>
      </c>
      <c r="E8" s="6">
        <v>2666.11</v>
      </c>
      <c r="H8" s="6"/>
    </row>
    <row r="10" spans="1:15">
      <c r="A10" s="7" t="s">
        <v>0</v>
      </c>
      <c r="B10" s="10" t="s">
        <v>137</v>
      </c>
      <c r="C10" s="13" t="s">
        <v>151</v>
      </c>
      <c r="D10" s="13" t="s">
        <v>152</v>
      </c>
      <c r="E10" s="10" t="s">
        <v>140</v>
      </c>
      <c r="F10" s="10" t="s">
        <v>157</v>
      </c>
      <c r="G10" s="21" t="s">
        <v>132</v>
      </c>
      <c r="H10" s="21" t="s">
        <v>128</v>
      </c>
      <c r="I10" s="21" t="s">
        <v>129</v>
      </c>
      <c r="J10" s="22" t="s">
        <v>130</v>
      </c>
      <c r="K10" s="22" t="s">
        <v>131</v>
      </c>
      <c r="L10" s="22" t="s">
        <v>162</v>
      </c>
      <c r="M10" s="22" t="s">
        <v>148</v>
      </c>
      <c r="N10" s="22" t="s">
        <v>135</v>
      </c>
      <c r="O10" s="9" t="s">
        <v>127</v>
      </c>
    </row>
    <row r="11" spans="1:15">
      <c r="A11" s="1" t="s">
        <v>1</v>
      </c>
      <c r="B11" s="11"/>
      <c r="C11" s="11">
        <v>6929000</v>
      </c>
      <c r="D11" s="11">
        <v>7170000</v>
      </c>
      <c r="E11" s="11">
        <v>0</v>
      </c>
      <c r="F11" s="11">
        <f>($D11-$C11)+$E11</f>
        <v>241000</v>
      </c>
      <c r="G11" s="17">
        <f>IF(OR($F11&gt;0,$B11=""),40.09,11.79)</f>
        <v>40.090000000000003</v>
      </c>
      <c r="H11" s="17">
        <f>IF(AND((($F11-10000)&gt;=0),(($F11-10000)&lt;= 10000)),($F11-10000)/1000*2.18,IF(($F11-10000)&gt;=10000,2.18*10,0))</f>
        <v>21.8</v>
      </c>
      <c r="I11" s="17">
        <f>IF(AND((($F11-20000)&gt;=0),(($F11-20000)&lt;=10000)),($F11-20000)/1000*2.53,IF(($F11-20000)&gt;=10000,2.53*10,0))</f>
        <v>25.299999999999997</v>
      </c>
      <c r="J11" s="18">
        <f>IF(AND((($F11-30000)&gt;=0),(($F11-30000)&lt;=10000)),($F11-30000)/1000*2.95,IF(($F11-30000)&gt;=10000,2.95*10,0))</f>
        <v>29.5</v>
      </c>
      <c r="K11" s="18">
        <f>IF((($F11-40000)&gt;=0),($F11-40000)/1000*3.42,0)</f>
        <v>687.42</v>
      </c>
      <c r="L11" s="18">
        <f>SUM(G11:K11)</f>
        <v>804.1099999999999</v>
      </c>
      <c r="M11" s="18">
        <f>IF(   $H$5=1,    IF((F11-$H$6)&gt;0,((F11-$H$6)/$N$7)*$E$8,0),   IF(F11&gt;0,(F11/$N$4)*$E$8,0)    )</f>
        <v>506.65928044280446</v>
      </c>
      <c r="N11" s="18">
        <f>SUM(L11:M11)</f>
        <v>1310.7692804428043</v>
      </c>
      <c r="O11" s="8"/>
    </row>
    <row r="12" spans="1:15">
      <c r="A12" s="1" t="s">
        <v>2</v>
      </c>
      <c r="B12" s="11"/>
      <c r="C12" s="11">
        <v>6240000</v>
      </c>
      <c r="D12" s="11">
        <v>6364000</v>
      </c>
      <c r="E12" s="11">
        <v>0</v>
      </c>
      <c r="F12" s="11">
        <f t="shared" ref="F12:F75" si="0">($D12-$C12)+$E12</f>
        <v>124000</v>
      </c>
      <c r="G12" s="17">
        <f>IF(OR($F12&gt;0,$B12=""),40.09,11.79)</f>
        <v>40.090000000000003</v>
      </c>
      <c r="H12" s="17">
        <f>IF(AND((($F12-10000)&gt;=0),(($F12-10000)&lt;= 10000)),($F12-10000)/1000*2.18,IF(($F12-10000)&gt;=10000,2.18*10,0))</f>
        <v>21.8</v>
      </c>
      <c r="I12" s="17">
        <f>IF(AND((($F12-20000)&gt;=0),(($F12-20000)&lt;=10000)),($F12-20000)/1000*2.53,IF(($F12-20000)&gt;=10000,2.53*10,0))</f>
        <v>25.299999999999997</v>
      </c>
      <c r="J12" s="18">
        <f>IF(AND((($F12-30000)&gt;=0),(($F12-30000)&lt;=10000)),($F12-30000)/1000*2.95,IF(($F12-30000)&gt;=10000,2.95*10,0))</f>
        <v>29.5</v>
      </c>
      <c r="K12" s="18">
        <f>IF((($F12-40000)&gt;=0),($F12-40000)/1000*3.42,0)</f>
        <v>287.27999999999997</v>
      </c>
      <c r="L12" s="18">
        <f t="shared" ref="L12:L75" si="1">SUM(G12:K12)</f>
        <v>403.96999999999997</v>
      </c>
      <c r="M12" s="18">
        <f>IF(   $H$5=1,    IF((F12-$H$6)&gt;0,((F12-$H$6)/$N$7)*$E$8,0),   IF(F12&gt;0,(F12/$N$4)*$E$8,0)    )</f>
        <v>218.89648523985241</v>
      </c>
      <c r="N12" s="18">
        <f t="shared" ref="N12:N75" si="2">SUM(L12:M12)</f>
        <v>622.86648523985241</v>
      </c>
      <c r="O12" s="8"/>
    </row>
    <row r="13" spans="1:15">
      <c r="A13" s="1" t="s">
        <v>3</v>
      </c>
      <c r="B13" s="11"/>
      <c r="C13" s="11">
        <v>0</v>
      </c>
      <c r="D13" s="11">
        <v>0</v>
      </c>
      <c r="E13" s="11">
        <v>0</v>
      </c>
      <c r="F13" s="11">
        <f t="shared" si="0"/>
        <v>0</v>
      </c>
      <c r="G13" s="17">
        <f>IF(OR($F13&gt;0,$B13=""),40.09,11.79)</f>
        <v>40.090000000000003</v>
      </c>
      <c r="H13" s="17">
        <f>IF(AND((($F13-10000)&gt;=0),(($F13-10000)&lt;= 10000)),($F13-10000)/1000*2.18,IF(($F13-10000)&gt;=10000,2.18*10,0))</f>
        <v>0</v>
      </c>
      <c r="I13" s="17">
        <f>IF(AND((($F13-20000)&gt;=0),(($F13-20000)&lt;=10000)),($F13-20000)/1000*2.53,IF(($F13-20000)&gt;=10000,2.53*10,0))</f>
        <v>0</v>
      </c>
      <c r="J13" s="18">
        <f>IF(AND((($F13-30000)&gt;=0),(($F13-30000)&lt;=10000)),($F13-30000)/1000*2.95,IF(($F13-30000)&gt;=10000,2.95*10,0))</f>
        <v>0</v>
      </c>
      <c r="K13" s="18">
        <f>IF((($F13-40000)&gt;=0),($F13-40000)/1000*3.42,0)</f>
        <v>0</v>
      </c>
      <c r="L13" s="18">
        <f t="shared" si="1"/>
        <v>40.090000000000003</v>
      </c>
      <c r="M13" s="18">
        <f>IF(   $H$5=1,    IF((F13-$H$6)&gt;0,((F13-$H$6)/$N$7)*$E$8,0),   IF(F13&gt;0,(F13/$N$4)*$E$8,0)    )</f>
        <v>0</v>
      </c>
      <c r="N13" s="18">
        <f t="shared" si="2"/>
        <v>40.090000000000003</v>
      </c>
      <c r="O13" s="8" t="s">
        <v>134</v>
      </c>
    </row>
    <row r="14" spans="1:15">
      <c r="A14" s="1" t="s">
        <v>4</v>
      </c>
      <c r="B14" s="11"/>
      <c r="C14" s="11">
        <v>2826000</v>
      </c>
      <c r="D14" s="11">
        <v>2988000</v>
      </c>
      <c r="E14" s="11">
        <v>0</v>
      </c>
      <c r="F14" s="11">
        <f t="shared" si="0"/>
        <v>162000</v>
      </c>
      <c r="G14" s="17">
        <f>IF(OR($F14&gt;0,$B14=""),40.09,11.79)</f>
        <v>40.090000000000003</v>
      </c>
      <c r="H14" s="17">
        <f>IF(AND((($F14-10000)&gt;=0),(($F14-10000)&lt;= 10000)),($F14-10000)/1000*2.18,IF(($F14-10000)&gt;=10000,2.18*10,0))</f>
        <v>21.8</v>
      </c>
      <c r="I14" s="17">
        <f>IF(AND((($F14-20000)&gt;=0),(($F14-20000)&lt;=10000)),($F14-20000)/1000*2.53,IF(($F14-20000)&gt;=10000,2.53*10,0))</f>
        <v>25.299999999999997</v>
      </c>
      <c r="J14" s="18">
        <f>IF(AND((($F14-30000)&gt;=0),(($F14-30000)&lt;=10000)),($F14-30000)/1000*2.95,IF(($F14-30000)&gt;=10000,2.95*10,0))</f>
        <v>29.5</v>
      </c>
      <c r="K14" s="18">
        <f>IF((($F14-40000)&gt;=0),($F14-40000)/1000*3.42,0)</f>
        <v>417.24</v>
      </c>
      <c r="L14" s="18">
        <f t="shared" si="1"/>
        <v>533.93000000000006</v>
      </c>
      <c r="M14" s="18">
        <f>IF(   $H$5=1,    IF((F14-$H$6)&gt;0,((F14-$H$6)/$N$7)*$E$8,0),   IF(F14&gt;0,(F14/$N$4)*$E$8,0)    )</f>
        <v>312.35790590405907</v>
      </c>
      <c r="N14" s="18">
        <f t="shared" si="2"/>
        <v>846.28790590405913</v>
      </c>
      <c r="O14" s="8"/>
    </row>
    <row r="15" spans="1:15">
      <c r="A15" s="1" t="s">
        <v>5</v>
      </c>
      <c r="B15" s="11"/>
      <c r="C15" s="11">
        <v>1937000</v>
      </c>
      <c r="D15" s="11">
        <v>2030000</v>
      </c>
      <c r="E15" s="11">
        <v>0</v>
      </c>
      <c r="F15" s="11">
        <f t="shared" si="0"/>
        <v>93000</v>
      </c>
      <c r="G15" s="17">
        <f>IF(OR($F15&gt;0,$B15=""),40.09,11.79)</f>
        <v>40.090000000000003</v>
      </c>
      <c r="H15" s="17">
        <f>IF(AND((($F15-10000)&gt;=0),(($F15-10000)&lt;= 10000)),($F15-10000)/1000*2.18,IF(($F15-10000)&gt;=10000,2.18*10,0))</f>
        <v>21.8</v>
      </c>
      <c r="I15" s="17">
        <f>IF(AND((($F15-20000)&gt;=0),(($F15-20000)&lt;=10000)),($F15-20000)/1000*2.53,IF(($F15-20000)&gt;=10000,2.53*10,0))</f>
        <v>25.299999999999997</v>
      </c>
      <c r="J15" s="18">
        <f>IF(AND((($F15-30000)&gt;=0),(($F15-30000)&lt;=10000)),($F15-30000)/1000*2.95,IF(($F15-30000)&gt;=10000,2.95*10,0))</f>
        <v>29.5</v>
      </c>
      <c r="K15" s="18">
        <f>IF((($F15-40000)&gt;=0),($F15-40000)/1000*3.42,0)</f>
        <v>181.26</v>
      </c>
      <c r="L15" s="18">
        <f t="shared" si="1"/>
        <v>297.95</v>
      </c>
      <c r="M15" s="18">
        <f>IF(   $H$5=1,    IF((F15-$H$6)&gt;0,((F15-$H$6)/$N$7)*$E$8,0),   IF(F15&gt;0,(F15/$N$4)*$E$8,0)    )</f>
        <v>142.65164206642066</v>
      </c>
      <c r="N15" s="18">
        <f t="shared" si="2"/>
        <v>440.60164206642065</v>
      </c>
      <c r="O15" s="8"/>
    </row>
    <row r="16" spans="1:15">
      <c r="A16" s="1" t="s">
        <v>6</v>
      </c>
      <c r="B16" s="11"/>
      <c r="C16" s="11">
        <v>24267000</v>
      </c>
      <c r="D16" s="11">
        <v>24443000</v>
      </c>
      <c r="E16" s="11">
        <v>0</v>
      </c>
      <c r="F16" s="11">
        <f t="shared" si="0"/>
        <v>176000</v>
      </c>
      <c r="G16" s="17">
        <v>176</v>
      </c>
      <c r="H16" s="17">
        <f>IF(($F16-100000)&gt;=0,($F16-100000)/1000*1.89,0)</f>
        <v>143.63999999999999</v>
      </c>
      <c r="I16" s="17"/>
      <c r="J16" s="18"/>
      <c r="K16" s="18"/>
      <c r="L16" s="18">
        <f t="shared" si="1"/>
        <v>319.64</v>
      </c>
      <c r="M16" s="18">
        <f>IF(   $H$5=1,     IF((F16-$H$7)&gt;0,((F16-$H$7)/$N$7)*$E$8,0),   IF(F16&gt;0,(F16/$N$4)*$E$8,0)    )</f>
        <v>186.92284132841328</v>
      </c>
      <c r="N16" s="18">
        <f t="shared" si="2"/>
        <v>506.56284132841324</v>
      </c>
      <c r="O16" s="8" t="s">
        <v>133</v>
      </c>
    </row>
    <row r="17" spans="1:15">
      <c r="A17" s="1" t="s">
        <v>7</v>
      </c>
      <c r="B17" s="11"/>
      <c r="C17" s="11">
        <v>481000</v>
      </c>
      <c r="D17" s="11">
        <v>493000</v>
      </c>
      <c r="E17" s="11">
        <v>0</v>
      </c>
      <c r="F17" s="11">
        <f t="shared" si="0"/>
        <v>12000</v>
      </c>
      <c r="G17" s="17">
        <f t="shared" ref="G17:G48" si="3">IF(OR($F17&gt;0,$B17=""),40.09,11.79)</f>
        <v>40.090000000000003</v>
      </c>
      <c r="H17" s="17">
        <f t="shared" ref="H17:H80" si="4">IF(AND((($F17-10000)&gt;=0),(($F17-10000)&lt;= 10000)),($F17-10000)/1000*2.18,IF(($F17-10000)&gt;=10000,2.18*10,0))</f>
        <v>4.3600000000000003</v>
      </c>
      <c r="I17" s="17">
        <f t="shared" ref="I17:I80" si="5">IF(AND((($F17-20000)&gt;=0),(($F17-20000)&lt;=10000)),($F17-20000)/1000*2.53,IF(($F17-20000)&gt;=10000,2.53*10,0))</f>
        <v>0</v>
      </c>
      <c r="J17" s="18">
        <f t="shared" ref="J17:J80" si="6">IF(AND((($F17-30000)&gt;=0),(($F17-30000)&lt;=10000)),($F17-30000)/1000*2.95,IF(($F17-30000)&gt;=10000,2.95*10,0))</f>
        <v>0</v>
      </c>
      <c r="K17" s="18">
        <f t="shared" ref="K17:K80" si="7">IF((($F17-40000)&gt;=0),($F17-40000)/1000*3.42,0)</f>
        <v>0</v>
      </c>
      <c r="L17" s="18">
        <f t="shared" si="1"/>
        <v>44.45</v>
      </c>
      <c r="M17" s="18">
        <f t="shared" ref="M17:M48" si="8">IF(   $H$5=1,    IF((F17-$H$6)&gt;0,((F17-$H$6)/$N$7)*$E$8,0),   IF(F17&gt;0,(F17/$N$4)*$E$8,0)    )</f>
        <v>0</v>
      </c>
      <c r="N17" s="18">
        <f t="shared" si="2"/>
        <v>44.45</v>
      </c>
      <c r="O17" s="8"/>
    </row>
    <row r="18" spans="1:15">
      <c r="A18" s="1" t="s">
        <v>8</v>
      </c>
      <c r="B18" s="11"/>
      <c r="C18" s="11">
        <v>2150000</v>
      </c>
      <c r="D18" s="11">
        <v>2173000</v>
      </c>
      <c r="E18" s="11">
        <v>0</v>
      </c>
      <c r="F18" s="11">
        <f t="shared" si="0"/>
        <v>23000</v>
      </c>
      <c r="G18" s="17">
        <f t="shared" si="3"/>
        <v>40.090000000000003</v>
      </c>
      <c r="H18" s="17">
        <f t="shared" si="4"/>
        <v>21.8</v>
      </c>
      <c r="I18" s="17">
        <f t="shared" si="5"/>
        <v>7.59</v>
      </c>
      <c r="J18" s="18">
        <f t="shared" si="6"/>
        <v>0</v>
      </c>
      <c r="K18" s="18">
        <f t="shared" si="7"/>
        <v>0</v>
      </c>
      <c r="L18" s="18">
        <f t="shared" si="1"/>
        <v>69.48</v>
      </c>
      <c r="M18" s="18">
        <f t="shared" si="8"/>
        <v>0</v>
      </c>
      <c r="N18" s="18">
        <f t="shared" si="2"/>
        <v>69.48</v>
      </c>
      <c r="O18" s="8"/>
    </row>
    <row r="19" spans="1:15">
      <c r="A19" s="1" t="s">
        <v>9</v>
      </c>
      <c r="B19" s="11"/>
      <c r="C19" s="11">
        <v>91000</v>
      </c>
      <c r="D19" s="11">
        <v>121000</v>
      </c>
      <c r="E19" s="11">
        <v>0</v>
      </c>
      <c r="F19" s="11">
        <f t="shared" si="0"/>
        <v>30000</v>
      </c>
      <c r="G19" s="17">
        <f t="shared" si="3"/>
        <v>40.090000000000003</v>
      </c>
      <c r="H19" s="17">
        <f t="shared" si="4"/>
        <v>21.8</v>
      </c>
      <c r="I19" s="17">
        <f t="shared" si="5"/>
        <v>25.299999999999997</v>
      </c>
      <c r="J19" s="18">
        <f t="shared" si="6"/>
        <v>0</v>
      </c>
      <c r="K19" s="18">
        <f t="shared" si="7"/>
        <v>0</v>
      </c>
      <c r="L19" s="18">
        <f t="shared" si="1"/>
        <v>87.19</v>
      </c>
      <c r="M19" s="18">
        <f t="shared" si="8"/>
        <v>0</v>
      </c>
      <c r="N19" s="18">
        <f t="shared" si="2"/>
        <v>87.19</v>
      </c>
      <c r="O19" s="8"/>
    </row>
    <row r="20" spans="1:15">
      <c r="A20" s="1" t="s">
        <v>10</v>
      </c>
      <c r="B20" s="11"/>
      <c r="C20" s="11">
        <v>1455000</v>
      </c>
      <c r="D20" s="11">
        <v>1475000</v>
      </c>
      <c r="E20" s="11">
        <v>0</v>
      </c>
      <c r="F20" s="11">
        <f t="shared" si="0"/>
        <v>20000</v>
      </c>
      <c r="G20" s="17">
        <f t="shared" si="3"/>
        <v>40.090000000000003</v>
      </c>
      <c r="H20" s="17">
        <f t="shared" si="4"/>
        <v>21.8</v>
      </c>
      <c r="I20" s="17">
        <f t="shared" si="5"/>
        <v>0</v>
      </c>
      <c r="J20" s="18">
        <f t="shared" si="6"/>
        <v>0</v>
      </c>
      <c r="K20" s="18">
        <f t="shared" si="7"/>
        <v>0</v>
      </c>
      <c r="L20" s="18">
        <f t="shared" si="1"/>
        <v>61.89</v>
      </c>
      <c r="M20" s="18">
        <f t="shared" si="8"/>
        <v>0</v>
      </c>
      <c r="N20" s="18">
        <f t="shared" si="2"/>
        <v>61.89</v>
      </c>
      <c r="O20" s="8"/>
    </row>
    <row r="21" spans="1:15">
      <c r="A21" s="1" t="s">
        <v>11</v>
      </c>
      <c r="B21" s="11"/>
      <c r="C21" s="11">
        <v>1924000</v>
      </c>
      <c r="D21" s="11">
        <v>1935000</v>
      </c>
      <c r="E21" s="11">
        <v>0</v>
      </c>
      <c r="F21" s="11">
        <f t="shared" si="0"/>
        <v>11000</v>
      </c>
      <c r="G21" s="17">
        <f t="shared" si="3"/>
        <v>40.090000000000003</v>
      </c>
      <c r="H21" s="17">
        <f t="shared" si="4"/>
        <v>2.1800000000000002</v>
      </c>
      <c r="I21" s="17">
        <f t="shared" si="5"/>
        <v>0</v>
      </c>
      <c r="J21" s="18">
        <f t="shared" si="6"/>
        <v>0</v>
      </c>
      <c r="K21" s="18">
        <f t="shared" si="7"/>
        <v>0</v>
      </c>
      <c r="L21" s="18">
        <f t="shared" si="1"/>
        <v>42.27</v>
      </c>
      <c r="M21" s="18">
        <f t="shared" si="8"/>
        <v>0</v>
      </c>
      <c r="N21" s="18">
        <f t="shared" si="2"/>
        <v>42.27</v>
      </c>
      <c r="O21" s="8"/>
    </row>
    <row r="22" spans="1:15">
      <c r="A22" s="1" t="s">
        <v>12</v>
      </c>
      <c r="B22" s="11"/>
      <c r="C22" s="11">
        <v>2107000</v>
      </c>
      <c r="D22" s="11">
        <v>2135000</v>
      </c>
      <c r="E22" s="11">
        <v>0</v>
      </c>
      <c r="F22" s="11">
        <f t="shared" si="0"/>
        <v>28000</v>
      </c>
      <c r="G22" s="17">
        <f t="shared" si="3"/>
        <v>40.090000000000003</v>
      </c>
      <c r="H22" s="17">
        <f t="shared" si="4"/>
        <v>21.8</v>
      </c>
      <c r="I22" s="17">
        <f t="shared" si="5"/>
        <v>20.239999999999998</v>
      </c>
      <c r="J22" s="18">
        <f t="shared" si="6"/>
        <v>0</v>
      </c>
      <c r="K22" s="18">
        <f t="shared" si="7"/>
        <v>0</v>
      </c>
      <c r="L22" s="18">
        <f t="shared" si="1"/>
        <v>82.13</v>
      </c>
      <c r="M22" s="18">
        <f t="shared" si="8"/>
        <v>0</v>
      </c>
      <c r="N22" s="18">
        <f t="shared" si="2"/>
        <v>82.13</v>
      </c>
      <c r="O22" s="8"/>
    </row>
    <row r="23" spans="1:15">
      <c r="A23" s="1" t="s">
        <v>13</v>
      </c>
      <c r="B23" s="11" t="s">
        <v>138</v>
      </c>
      <c r="C23" s="11">
        <v>0</v>
      </c>
      <c r="D23" s="11">
        <v>0</v>
      </c>
      <c r="E23" s="11">
        <v>0</v>
      </c>
      <c r="F23" s="11">
        <f t="shared" si="0"/>
        <v>0</v>
      </c>
      <c r="G23" s="17">
        <f t="shared" si="3"/>
        <v>11.79</v>
      </c>
      <c r="H23" s="17">
        <f t="shared" si="4"/>
        <v>0</v>
      </c>
      <c r="I23" s="17">
        <f t="shared" si="5"/>
        <v>0</v>
      </c>
      <c r="J23" s="18">
        <f t="shared" si="6"/>
        <v>0</v>
      </c>
      <c r="K23" s="18">
        <f t="shared" si="7"/>
        <v>0</v>
      </c>
      <c r="L23" s="18">
        <f t="shared" si="1"/>
        <v>11.79</v>
      </c>
      <c r="M23" s="18">
        <f t="shared" si="8"/>
        <v>0</v>
      </c>
      <c r="N23" s="18">
        <f t="shared" si="2"/>
        <v>11.79</v>
      </c>
      <c r="O23" s="8"/>
    </row>
    <row r="24" spans="1:15">
      <c r="A24" s="1" t="s">
        <v>14</v>
      </c>
      <c r="B24" s="11"/>
      <c r="C24" s="11">
        <v>6237000</v>
      </c>
      <c r="D24" s="11">
        <v>6306000</v>
      </c>
      <c r="E24" s="11">
        <v>0</v>
      </c>
      <c r="F24" s="11">
        <f t="shared" si="0"/>
        <v>69000</v>
      </c>
      <c r="G24" s="17">
        <f t="shared" si="3"/>
        <v>40.090000000000003</v>
      </c>
      <c r="H24" s="17">
        <f t="shared" si="4"/>
        <v>21.8</v>
      </c>
      <c r="I24" s="17">
        <f t="shared" si="5"/>
        <v>25.299999999999997</v>
      </c>
      <c r="J24" s="18">
        <f t="shared" si="6"/>
        <v>29.5</v>
      </c>
      <c r="K24" s="18">
        <f t="shared" si="7"/>
        <v>99.179999999999993</v>
      </c>
      <c r="L24" s="18">
        <f t="shared" si="1"/>
        <v>215.87</v>
      </c>
      <c r="M24" s="18">
        <f t="shared" si="8"/>
        <v>83.623376383763841</v>
      </c>
      <c r="N24" s="18">
        <f t="shared" si="2"/>
        <v>299.49337638376386</v>
      </c>
      <c r="O24" s="8"/>
    </row>
    <row r="25" spans="1:15">
      <c r="A25" s="1" t="s">
        <v>15</v>
      </c>
      <c r="B25" s="11"/>
      <c r="C25" s="11">
        <v>2548000</v>
      </c>
      <c r="D25" s="11">
        <v>2588000</v>
      </c>
      <c r="E25" s="11">
        <v>0</v>
      </c>
      <c r="F25" s="11">
        <f t="shared" si="0"/>
        <v>40000</v>
      </c>
      <c r="G25" s="17">
        <f t="shared" si="3"/>
        <v>40.090000000000003</v>
      </c>
      <c r="H25" s="17">
        <f t="shared" si="4"/>
        <v>21.8</v>
      </c>
      <c r="I25" s="17">
        <f t="shared" si="5"/>
        <v>25.299999999999997</v>
      </c>
      <c r="J25" s="18">
        <f t="shared" si="6"/>
        <v>29.5</v>
      </c>
      <c r="K25" s="18">
        <f t="shared" si="7"/>
        <v>0</v>
      </c>
      <c r="L25" s="18">
        <f t="shared" si="1"/>
        <v>116.69</v>
      </c>
      <c r="M25" s="18">
        <f t="shared" si="8"/>
        <v>12.297555350553505</v>
      </c>
      <c r="N25" s="18">
        <f t="shared" si="2"/>
        <v>128.98755535055349</v>
      </c>
      <c r="O25" s="8"/>
    </row>
    <row r="26" spans="1:15">
      <c r="A26" s="1" t="s">
        <v>16</v>
      </c>
      <c r="B26" s="11"/>
      <c r="C26" s="11">
        <v>1512000</v>
      </c>
      <c r="D26" s="11">
        <v>1541000</v>
      </c>
      <c r="E26" s="11">
        <v>0</v>
      </c>
      <c r="F26" s="11">
        <f t="shared" si="0"/>
        <v>29000</v>
      </c>
      <c r="G26" s="17">
        <f t="shared" si="3"/>
        <v>40.090000000000003</v>
      </c>
      <c r="H26" s="17">
        <f t="shared" si="4"/>
        <v>21.8</v>
      </c>
      <c r="I26" s="17">
        <f t="shared" si="5"/>
        <v>22.77</v>
      </c>
      <c r="J26" s="18">
        <f t="shared" si="6"/>
        <v>0</v>
      </c>
      <c r="K26" s="18">
        <f t="shared" si="7"/>
        <v>0</v>
      </c>
      <c r="L26" s="18">
        <f t="shared" si="1"/>
        <v>84.66</v>
      </c>
      <c r="M26" s="18">
        <f t="shared" si="8"/>
        <v>0</v>
      </c>
      <c r="N26" s="18">
        <f t="shared" si="2"/>
        <v>84.66</v>
      </c>
      <c r="O26" s="8"/>
    </row>
    <row r="27" spans="1:15">
      <c r="A27" s="1" t="s">
        <v>17</v>
      </c>
      <c r="B27" s="11"/>
      <c r="C27" s="11">
        <v>1141000</v>
      </c>
      <c r="D27" s="11">
        <v>1147000</v>
      </c>
      <c r="E27" s="11">
        <v>0</v>
      </c>
      <c r="F27" s="11">
        <f t="shared" si="0"/>
        <v>6000</v>
      </c>
      <c r="G27" s="17">
        <f t="shared" si="3"/>
        <v>40.090000000000003</v>
      </c>
      <c r="H27" s="17">
        <f t="shared" si="4"/>
        <v>0</v>
      </c>
      <c r="I27" s="17">
        <f t="shared" si="5"/>
        <v>0</v>
      </c>
      <c r="J27" s="18">
        <f t="shared" si="6"/>
        <v>0</v>
      </c>
      <c r="K27" s="18">
        <f t="shared" si="7"/>
        <v>0</v>
      </c>
      <c r="L27" s="18">
        <f t="shared" si="1"/>
        <v>40.090000000000003</v>
      </c>
      <c r="M27" s="18">
        <f t="shared" si="8"/>
        <v>0</v>
      </c>
      <c r="N27" s="18">
        <f t="shared" si="2"/>
        <v>40.090000000000003</v>
      </c>
      <c r="O27" s="8"/>
    </row>
    <row r="28" spans="1:15">
      <c r="A28" s="1" t="s">
        <v>18</v>
      </c>
      <c r="B28" s="11"/>
      <c r="C28" s="11">
        <v>3992000</v>
      </c>
      <c r="D28" s="11">
        <v>4007000</v>
      </c>
      <c r="E28" s="11">
        <v>0</v>
      </c>
      <c r="F28" s="11">
        <f t="shared" si="0"/>
        <v>15000</v>
      </c>
      <c r="G28" s="17">
        <f t="shared" si="3"/>
        <v>40.090000000000003</v>
      </c>
      <c r="H28" s="17">
        <f t="shared" si="4"/>
        <v>10.9</v>
      </c>
      <c r="I28" s="17">
        <f t="shared" si="5"/>
        <v>0</v>
      </c>
      <c r="J28" s="18">
        <f t="shared" si="6"/>
        <v>0</v>
      </c>
      <c r="K28" s="18">
        <f t="shared" si="7"/>
        <v>0</v>
      </c>
      <c r="L28" s="18">
        <f t="shared" si="1"/>
        <v>50.99</v>
      </c>
      <c r="M28" s="18">
        <f t="shared" si="8"/>
        <v>0</v>
      </c>
      <c r="N28" s="18">
        <f t="shared" si="2"/>
        <v>50.99</v>
      </c>
      <c r="O28" s="8"/>
    </row>
    <row r="29" spans="1:15">
      <c r="A29" s="1" t="s">
        <v>19</v>
      </c>
      <c r="B29" s="11"/>
      <c r="C29" s="11">
        <v>1046000</v>
      </c>
      <c r="D29" s="11">
        <v>1099000</v>
      </c>
      <c r="E29" s="11">
        <v>0</v>
      </c>
      <c r="F29" s="11">
        <f t="shared" si="0"/>
        <v>53000</v>
      </c>
      <c r="G29" s="17">
        <f t="shared" si="3"/>
        <v>40.090000000000003</v>
      </c>
      <c r="H29" s="17">
        <f t="shared" si="4"/>
        <v>21.8</v>
      </c>
      <c r="I29" s="17">
        <f t="shared" si="5"/>
        <v>25.299999999999997</v>
      </c>
      <c r="J29" s="18">
        <f t="shared" si="6"/>
        <v>29.5</v>
      </c>
      <c r="K29" s="18">
        <f t="shared" si="7"/>
        <v>44.46</v>
      </c>
      <c r="L29" s="18">
        <f t="shared" si="1"/>
        <v>161.15</v>
      </c>
      <c r="M29" s="18">
        <f t="shared" si="8"/>
        <v>44.271199261992621</v>
      </c>
      <c r="N29" s="18">
        <f t="shared" si="2"/>
        <v>205.42119926199263</v>
      </c>
      <c r="O29" s="8"/>
    </row>
    <row r="30" spans="1:15">
      <c r="A30" s="1" t="s">
        <v>20</v>
      </c>
      <c r="B30" s="11"/>
      <c r="C30" s="11">
        <v>2153000</v>
      </c>
      <c r="D30" s="11">
        <v>2175000</v>
      </c>
      <c r="E30" s="11">
        <v>0</v>
      </c>
      <c r="F30" s="11">
        <f t="shared" si="0"/>
        <v>22000</v>
      </c>
      <c r="G30" s="17">
        <f t="shared" si="3"/>
        <v>40.090000000000003</v>
      </c>
      <c r="H30" s="17">
        <f t="shared" si="4"/>
        <v>21.8</v>
      </c>
      <c r="I30" s="17">
        <f t="shared" si="5"/>
        <v>5.0599999999999996</v>
      </c>
      <c r="J30" s="18">
        <f t="shared" si="6"/>
        <v>0</v>
      </c>
      <c r="K30" s="18">
        <f t="shared" si="7"/>
        <v>0</v>
      </c>
      <c r="L30" s="18">
        <f t="shared" si="1"/>
        <v>66.95</v>
      </c>
      <c r="M30" s="18">
        <f t="shared" si="8"/>
        <v>0</v>
      </c>
      <c r="N30" s="18">
        <f t="shared" si="2"/>
        <v>66.95</v>
      </c>
      <c r="O30" s="8"/>
    </row>
    <row r="31" spans="1:15">
      <c r="A31" s="1" t="s">
        <v>21</v>
      </c>
      <c r="B31" s="11" t="s">
        <v>138</v>
      </c>
      <c r="C31" s="11">
        <v>0</v>
      </c>
      <c r="D31" s="11">
        <v>0</v>
      </c>
      <c r="E31" s="11">
        <v>0</v>
      </c>
      <c r="F31" s="11">
        <f t="shared" si="0"/>
        <v>0</v>
      </c>
      <c r="G31" s="17">
        <f t="shared" si="3"/>
        <v>11.79</v>
      </c>
      <c r="H31" s="17">
        <f t="shared" si="4"/>
        <v>0</v>
      </c>
      <c r="I31" s="17">
        <f t="shared" si="5"/>
        <v>0</v>
      </c>
      <c r="J31" s="18">
        <f t="shared" si="6"/>
        <v>0</v>
      </c>
      <c r="K31" s="18">
        <f t="shared" si="7"/>
        <v>0</v>
      </c>
      <c r="L31" s="18">
        <f t="shared" si="1"/>
        <v>11.79</v>
      </c>
      <c r="M31" s="18">
        <f t="shared" si="8"/>
        <v>0</v>
      </c>
      <c r="N31" s="18">
        <f t="shared" si="2"/>
        <v>11.79</v>
      </c>
      <c r="O31" s="8"/>
    </row>
    <row r="32" spans="1:15">
      <c r="A32" s="1" t="s">
        <v>22</v>
      </c>
      <c r="B32" s="11"/>
      <c r="C32" s="11">
        <v>583000</v>
      </c>
      <c r="D32" s="11">
        <v>592000</v>
      </c>
      <c r="E32" s="11">
        <v>0</v>
      </c>
      <c r="F32" s="11">
        <f t="shared" si="0"/>
        <v>9000</v>
      </c>
      <c r="G32" s="17">
        <f t="shared" si="3"/>
        <v>40.090000000000003</v>
      </c>
      <c r="H32" s="17">
        <f t="shared" si="4"/>
        <v>0</v>
      </c>
      <c r="I32" s="17">
        <f t="shared" si="5"/>
        <v>0</v>
      </c>
      <c r="J32" s="18">
        <f t="shared" si="6"/>
        <v>0</v>
      </c>
      <c r="K32" s="18">
        <f t="shared" si="7"/>
        <v>0</v>
      </c>
      <c r="L32" s="18">
        <f t="shared" si="1"/>
        <v>40.090000000000003</v>
      </c>
      <c r="M32" s="18">
        <f t="shared" si="8"/>
        <v>0</v>
      </c>
      <c r="N32" s="18">
        <f t="shared" si="2"/>
        <v>40.090000000000003</v>
      </c>
      <c r="O32" s="8"/>
    </row>
    <row r="33" spans="1:15">
      <c r="A33" s="1" t="s">
        <v>23</v>
      </c>
      <c r="B33" s="11" t="s">
        <v>138</v>
      </c>
      <c r="C33" s="11">
        <v>0</v>
      </c>
      <c r="D33" s="11">
        <v>0</v>
      </c>
      <c r="E33" s="11">
        <v>0</v>
      </c>
      <c r="F33" s="11">
        <f t="shared" si="0"/>
        <v>0</v>
      </c>
      <c r="G33" s="17">
        <f t="shared" si="3"/>
        <v>11.79</v>
      </c>
      <c r="H33" s="17">
        <f t="shared" si="4"/>
        <v>0</v>
      </c>
      <c r="I33" s="17">
        <f t="shared" si="5"/>
        <v>0</v>
      </c>
      <c r="J33" s="18">
        <f t="shared" si="6"/>
        <v>0</v>
      </c>
      <c r="K33" s="18">
        <f t="shared" si="7"/>
        <v>0</v>
      </c>
      <c r="L33" s="18">
        <f t="shared" si="1"/>
        <v>11.79</v>
      </c>
      <c r="M33" s="18">
        <f t="shared" si="8"/>
        <v>0</v>
      </c>
      <c r="N33" s="18">
        <f t="shared" si="2"/>
        <v>11.79</v>
      </c>
      <c r="O33" s="8"/>
    </row>
    <row r="34" spans="1:15">
      <c r="A34" s="1" t="s">
        <v>24</v>
      </c>
      <c r="B34" s="11" t="s">
        <v>138</v>
      </c>
      <c r="C34" s="11">
        <v>0</v>
      </c>
      <c r="D34" s="11">
        <v>0</v>
      </c>
      <c r="E34" s="11">
        <v>0</v>
      </c>
      <c r="F34" s="11">
        <f t="shared" si="0"/>
        <v>0</v>
      </c>
      <c r="G34" s="17">
        <f t="shared" si="3"/>
        <v>11.79</v>
      </c>
      <c r="H34" s="17">
        <f t="shared" si="4"/>
        <v>0</v>
      </c>
      <c r="I34" s="17">
        <f t="shared" si="5"/>
        <v>0</v>
      </c>
      <c r="J34" s="18">
        <f t="shared" si="6"/>
        <v>0</v>
      </c>
      <c r="K34" s="18">
        <f t="shared" si="7"/>
        <v>0</v>
      </c>
      <c r="L34" s="18">
        <f t="shared" si="1"/>
        <v>11.79</v>
      </c>
      <c r="M34" s="18">
        <f t="shared" si="8"/>
        <v>0</v>
      </c>
      <c r="N34" s="18">
        <f t="shared" si="2"/>
        <v>11.79</v>
      </c>
      <c r="O34" s="8"/>
    </row>
    <row r="35" spans="1:15">
      <c r="A35" s="1" t="s">
        <v>25</v>
      </c>
      <c r="B35" s="11"/>
      <c r="C35" s="11">
        <v>2254000</v>
      </c>
      <c r="D35" s="11">
        <v>2290000</v>
      </c>
      <c r="E35" s="11">
        <v>0</v>
      </c>
      <c r="F35" s="11">
        <f t="shared" si="0"/>
        <v>36000</v>
      </c>
      <c r="G35" s="17">
        <f t="shared" si="3"/>
        <v>40.090000000000003</v>
      </c>
      <c r="H35" s="17">
        <f t="shared" si="4"/>
        <v>21.8</v>
      </c>
      <c r="I35" s="17">
        <f t="shared" si="5"/>
        <v>25.299999999999997</v>
      </c>
      <c r="J35" s="18">
        <f t="shared" si="6"/>
        <v>17.700000000000003</v>
      </c>
      <c r="K35" s="18">
        <f t="shared" si="7"/>
        <v>0</v>
      </c>
      <c r="L35" s="18">
        <f t="shared" si="1"/>
        <v>104.89</v>
      </c>
      <c r="M35" s="18">
        <f t="shared" si="8"/>
        <v>2.4595110701107012</v>
      </c>
      <c r="N35" s="18">
        <f t="shared" si="2"/>
        <v>107.34951107011071</v>
      </c>
      <c r="O35" s="8"/>
    </row>
    <row r="36" spans="1:15">
      <c r="A36" s="1" t="s">
        <v>26</v>
      </c>
      <c r="B36" s="11"/>
      <c r="C36" s="11">
        <v>299000</v>
      </c>
      <c r="D36" s="11">
        <v>321000</v>
      </c>
      <c r="E36" s="11">
        <v>0</v>
      </c>
      <c r="F36" s="11">
        <f t="shared" si="0"/>
        <v>22000</v>
      </c>
      <c r="G36" s="17">
        <f t="shared" si="3"/>
        <v>40.090000000000003</v>
      </c>
      <c r="H36" s="17">
        <f t="shared" si="4"/>
        <v>21.8</v>
      </c>
      <c r="I36" s="17">
        <f t="shared" si="5"/>
        <v>5.0599999999999996</v>
      </c>
      <c r="J36" s="18">
        <f t="shared" si="6"/>
        <v>0</v>
      </c>
      <c r="K36" s="18">
        <f t="shared" si="7"/>
        <v>0</v>
      </c>
      <c r="L36" s="18">
        <f t="shared" si="1"/>
        <v>66.95</v>
      </c>
      <c r="M36" s="18">
        <f t="shared" si="8"/>
        <v>0</v>
      </c>
      <c r="N36" s="18">
        <f t="shared" si="2"/>
        <v>66.95</v>
      </c>
      <c r="O36" s="8"/>
    </row>
    <row r="37" spans="1:15">
      <c r="A37" s="1" t="s">
        <v>27</v>
      </c>
      <c r="B37" s="11"/>
      <c r="C37" s="11">
        <v>2117000</v>
      </c>
      <c r="D37" s="11">
        <v>2120000</v>
      </c>
      <c r="E37" s="11">
        <v>0</v>
      </c>
      <c r="F37" s="11">
        <f t="shared" si="0"/>
        <v>3000</v>
      </c>
      <c r="G37" s="17">
        <f t="shared" si="3"/>
        <v>40.090000000000003</v>
      </c>
      <c r="H37" s="17">
        <f t="shared" si="4"/>
        <v>0</v>
      </c>
      <c r="I37" s="17">
        <f t="shared" si="5"/>
        <v>0</v>
      </c>
      <c r="J37" s="18">
        <f t="shared" si="6"/>
        <v>0</v>
      </c>
      <c r="K37" s="18">
        <f t="shared" si="7"/>
        <v>0</v>
      </c>
      <c r="L37" s="18">
        <f t="shared" si="1"/>
        <v>40.090000000000003</v>
      </c>
      <c r="M37" s="18">
        <f t="shared" si="8"/>
        <v>0</v>
      </c>
      <c r="N37" s="18">
        <f t="shared" si="2"/>
        <v>40.090000000000003</v>
      </c>
      <c r="O37" s="8"/>
    </row>
    <row r="38" spans="1:15">
      <c r="A38" s="1" t="s">
        <v>28</v>
      </c>
      <c r="B38" s="11"/>
      <c r="C38" s="11">
        <v>1307000</v>
      </c>
      <c r="D38" s="11">
        <v>1320000</v>
      </c>
      <c r="E38" s="11">
        <v>0</v>
      </c>
      <c r="F38" s="11">
        <f t="shared" si="0"/>
        <v>13000</v>
      </c>
      <c r="G38" s="17">
        <f t="shared" si="3"/>
        <v>40.090000000000003</v>
      </c>
      <c r="H38" s="17">
        <f t="shared" si="4"/>
        <v>6.5400000000000009</v>
      </c>
      <c r="I38" s="17">
        <f t="shared" si="5"/>
        <v>0</v>
      </c>
      <c r="J38" s="18">
        <f t="shared" si="6"/>
        <v>0</v>
      </c>
      <c r="K38" s="18">
        <f t="shared" si="7"/>
        <v>0</v>
      </c>
      <c r="L38" s="18">
        <f t="shared" si="1"/>
        <v>46.63</v>
      </c>
      <c r="M38" s="18">
        <f t="shared" si="8"/>
        <v>0</v>
      </c>
      <c r="N38" s="18">
        <f t="shared" si="2"/>
        <v>46.63</v>
      </c>
      <c r="O38" s="8"/>
    </row>
    <row r="39" spans="1:15">
      <c r="A39" s="1" t="s">
        <v>29</v>
      </c>
      <c r="B39" s="11" t="s">
        <v>138</v>
      </c>
      <c r="C39" s="11">
        <v>0</v>
      </c>
      <c r="D39" s="11">
        <v>0</v>
      </c>
      <c r="E39" s="11">
        <v>0</v>
      </c>
      <c r="F39" s="11">
        <f t="shared" si="0"/>
        <v>0</v>
      </c>
      <c r="G39" s="17">
        <f t="shared" si="3"/>
        <v>11.79</v>
      </c>
      <c r="H39" s="17">
        <f t="shared" si="4"/>
        <v>0</v>
      </c>
      <c r="I39" s="17">
        <f t="shared" si="5"/>
        <v>0</v>
      </c>
      <c r="J39" s="18">
        <f t="shared" si="6"/>
        <v>0</v>
      </c>
      <c r="K39" s="18">
        <f t="shared" si="7"/>
        <v>0</v>
      </c>
      <c r="L39" s="18">
        <f t="shared" si="1"/>
        <v>11.79</v>
      </c>
      <c r="M39" s="18">
        <f t="shared" si="8"/>
        <v>0</v>
      </c>
      <c r="N39" s="18">
        <f t="shared" si="2"/>
        <v>11.79</v>
      </c>
      <c r="O39" s="8"/>
    </row>
    <row r="40" spans="1:15">
      <c r="A40" s="1" t="s">
        <v>30</v>
      </c>
      <c r="B40" s="11" t="s">
        <v>138</v>
      </c>
      <c r="C40" s="11">
        <v>0</v>
      </c>
      <c r="D40" s="11">
        <v>0</v>
      </c>
      <c r="E40" s="11">
        <v>0</v>
      </c>
      <c r="F40" s="11">
        <f t="shared" si="0"/>
        <v>0</v>
      </c>
      <c r="G40" s="17">
        <f t="shared" si="3"/>
        <v>11.79</v>
      </c>
      <c r="H40" s="17">
        <f t="shared" si="4"/>
        <v>0</v>
      </c>
      <c r="I40" s="17">
        <f t="shared" si="5"/>
        <v>0</v>
      </c>
      <c r="J40" s="18">
        <f t="shared" si="6"/>
        <v>0</v>
      </c>
      <c r="K40" s="18">
        <f t="shared" si="7"/>
        <v>0</v>
      </c>
      <c r="L40" s="18">
        <f t="shared" si="1"/>
        <v>11.79</v>
      </c>
      <c r="M40" s="18">
        <f t="shared" si="8"/>
        <v>0</v>
      </c>
      <c r="N40" s="18">
        <f t="shared" si="2"/>
        <v>11.79</v>
      </c>
      <c r="O40" s="8"/>
    </row>
    <row r="41" spans="1:15">
      <c r="A41" s="1" t="s">
        <v>31</v>
      </c>
      <c r="B41" s="11"/>
      <c r="C41" s="11">
        <v>492000</v>
      </c>
      <c r="D41" s="11">
        <v>501000</v>
      </c>
      <c r="E41" s="11">
        <v>0</v>
      </c>
      <c r="F41" s="11">
        <f t="shared" si="0"/>
        <v>9000</v>
      </c>
      <c r="G41" s="17">
        <f t="shared" si="3"/>
        <v>40.090000000000003</v>
      </c>
      <c r="H41" s="17">
        <f t="shared" si="4"/>
        <v>0</v>
      </c>
      <c r="I41" s="17">
        <f t="shared" si="5"/>
        <v>0</v>
      </c>
      <c r="J41" s="18">
        <f t="shared" si="6"/>
        <v>0</v>
      </c>
      <c r="K41" s="18">
        <f t="shared" si="7"/>
        <v>0</v>
      </c>
      <c r="L41" s="18">
        <f t="shared" si="1"/>
        <v>40.090000000000003</v>
      </c>
      <c r="M41" s="18">
        <f t="shared" si="8"/>
        <v>0</v>
      </c>
      <c r="N41" s="18">
        <f t="shared" si="2"/>
        <v>40.090000000000003</v>
      </c>
      <c r="O41" s="8"/>
    </row>
    <row r="42" spans="1:15">
      <c r="A42" s="1" t="s">
        <v>32</v>
      </c>
      <c r="B42" s="11"/>
      <c r="C42" s="11">
        <v>3836000</v>
      </c>
      <c r="D42" s="11">
        <v>3855000</v>
      </c>
      <c r="E42" s="11">
        <v>0</v>
      </c>
      <c r="F42" s="11">
        <f t="shared" si="0"/>
        <v>19000</v>
      </c>
      <c r="G42" s="17">
        <f t="shared" si="3"/>
        <v>40.090000000000003</v>
      </c>
      <c r="H42" s="17">
        <f t="shared" si="4"/>
        <v>19.62</v>
      </c>
      <c r="I42" s="17">
        <f t="shared" si="5"/>
        <v>0</v>
      </c>
      <c r="J42" s="18">
        <f t="shared" si="6"/>
        <v>0</v>
      </c>
      <c r="K42" s="18">
        <f t="shared" si="7"/>
        <v>0</v>
      </c>
      <c r="L42" s="18">
        <f t="shared" si="1"/>
        <v>59.710000000000008</v>
      </c>
      <c r="M42" s="18">
        <f t="shared" si="8"/>
        <v>0</v>
      </c>
      <c r="N42" s="18">
        <f t="shared" si="2"/>
        <v>59.710000000000008</v>
      </c>
      <c r="O42" s="8"/>
    </row>
    <row r="43" spans="1:15">
      <c r="A43" s="1" t="s">
        <v>33</v>
      </c>
      <c r="B43" s="11"/>
      <c r="C43" s="11">
        <v>1148000</v>
      </c>
      <c r="D43" s="11">
        <v>1162000</v>
      </c>
      <c r="E43" s="11">
        <v>0</v>
      </c>
      <c r="F43" s="11">
        <f t="shared" si="0"/>
        <v>14000</v>
      </c>
      <c r="G43" s="17">
        <f t="shared" si="3"/>
        <v>40.090000000000003</v>
      </c>
      <c r="H43" s="17">
        <f t="shared" si="4"/>
        <v>8.7200000000000006</v>
      </c>
      <c r="I43" s="17">
        <f t="shared" si="5"/>
        <v>0</v>
      </c>
      <c r="J43" s="18">
        <f t="shared" si="6"/>
        <v>0</v>
      </c>
      <c r="K43" s="18">
        <f t="shared" si="7"/>
        <v>0</v>
      </c>
      <c r="L43" s="18">
        <f t="shared" si="1"/>
        <v>48.81</v>
      </c>
      <c r="M43" s="18">
        <f t="shared" si="8"/>
        <v>0</v>
      </c>
      <c r="N43" s="18">
        <f t="shared" si="2"/>
        <v>48.81</v>
      </c>
      <c r="O43" s="8"/>
    </row>
    <row r="44" spans="1:15">
      <c r="A44" s="1" t="s">
        <v>34</v>
      </c>
      <c r="B44" s="11"/>
      <c r="C44" s="11">
        <v>78000</v>
      </c>
      <c r="D44" s="11">
        <v>122000</v>
      </c>
      <c r="E44" s="11"/>
      <c r="F44" s="11">
        <f t="shared" si="0"/>
        <v>44000</v>
      </c>
      <c r="G44" s="17">
        <f t="shared" si="3"/>
        <v>40.090000000000003</v>
      </c>
      <c r="H44" s="17">
        <f t="shared" si="4"/>
        <v>21.8</v>
      </c>
      <c r="I44" s="17">
        <f t="shared" si="5"/>
        <v>25.299999999999997</v>
      </c>
      <c r="J44" s="18">
        <f t="shared" si="6"/>
        <v>29.5</v>
      </c>
      <c r="K44" s="18">
        <f t="shared" si="7"/>
        <v>13.68</v>
      </c>
      <c r="L44" s="18">
        <f t="shared" si="1"/>
        <v>130.37</v>
      </c>
      <c r="M44" s="18">
        <f t="shared" si="8"/>
        <v>22.13559963099631</v>
      </c>
      <c r="N44" s="18">
        <f t="shared" si="2"/>
        <v>152.5055996309963</v>
      </c>
      <c r="O44" s="8"/>
    </row>
    <row r="45" spans="1:15">
      <c r="A45" s="1" t="s">
        <v>35</v>
      </c>
      <c r="B45" s="11"/>
      <c r="C45" s="11">
        <v>1362000</v>
      </c>
      <c r="D45" s="11">
        <v>1413000</v>
      </c>
      <c r="E45" s="11">
        <v>0</v>
      </c>
      <c r="F45" s="11">
        <f t="shared" si="0"/>
        <v>51000</v>
      </c>
      <c r="G45" s="17">
        <f t="shared" si="3"/>
        <v>40.090000000000003</v>
      </c>
      <c r="H45" s="17">
        <f t="shared" si="4"/>
        <v>21.8</v>
      </c>
      <c r="I45" s="17">
        <f t="shared" si="5"/>
        <v>25.299999999999997</v>
      </c>
      <c r="J45" s="18">
        <f t="shared" si="6"/>
        <v>29.5</v>
      </c>
      <c r="K45" s="18">
        <f t="shared" si="7"/>
        <v>37.619999999999997</v>
      </c>
      <c r="L45" s="18">
        <f t="shared" si="1"/>
        <v>154.31</v>
      </c>
      <c r="M45" s="18">
        <f t="shared" si="8"/>
        <v>39.35217712177122</v>
      </c>
      <c r="N45" s="18">
        <f t="shared" si="2"/>
        <v>193.66217712177121</v>
      </c>
      <c r="O45" s="8"/>
    </row>
    <row r="46" spans="1:15">
      <c r="A46" s="1" t="s">
        <v>36</v>
      </c>
      <c r="B46" s="11"/>
      <c r="C46" s="11">
        <v>1583000</v>
      </c>
      <c r="D46" s="11">
        <v>1586000</v>
      </c>
      <c r="E46" s="11">
        <v>0</v>
      </c>
      <c r="F46" s="11">
        <f t="shared" si="0"/>
        <v>3000</v>
      </c>
      <c r="G46" s="17">
        <f t="shared" si="3"/>
        <v>40.090000000000003</v>
      </c>
      <c r="H46" s="17">
        <f t="shared" si="4"/>
        <v>0</v>
      </c>
      <c r="I46" s="17">
        <f t="shared" si="5"/>
        <v>0</v>
      </c>
      <c r="J46" s="18">
        <f t="shared" si="6"/>
        <v>0</v>
      </c>
      <c r="K46" s="18">
        <f t="shared" si="7"/>
        <v>0</v>
      </c>
      <c r="L46" s="18">
        <f t="shared" si="1"/>
        <v>40.090000000000003</v>
      </c>
      <c r="M46" s="18">
        <f t="shared" si="8"/>
        <v>0</v>
      </c>
      <c r="N46" s="18">
        <f t="shared" si="2"/>
        <v>40.090000000000003</v>
      </c>
      <c r="O46" s="8"/>
    </row>
    <row r="47" spans="1:15">
      <c r="A47" s="1" t="s">
        <v>37</v>
      </c>
      <c r="B47" s="11"/>
      <c r="C47" s="11">
        <v>1657000</v>
      </c>
      <c r="D47" s="11">
        <v>1745000</v>
      </c>
      <c r="E47" s="11">
        <v>0</v>
      </c>
      <c r="F47" s="11">
        <f t="shared" si="0"/>
        <v>88000</v>
      </c>
      <c r="G47" s="17">
        <f t="shared" si="3"/>
        <v>40.090000000000003</v>
      </c>
      <c r="H47" s="17">
        <f t="shared" si="4"/>
        <v>21.8</v>
      </c>
      <c r="I47" s="17">
        <f t="shared" si="5"/>
        <v>25.299999999999997</v>
      </c>
      <c r="J47" s="18">
        <f t="shared" si="6"/>
        <v>29.5</v>
      </c>
      <c r="K47" s="18">
        <f t="shared" si="7"/>
        <v>164.16</v>
      </c>
      <c r="L47" s="18">
        <f t="shared" si="1"/>
        <v>280.85000000000002</v>
      </c>
      <c r="M47" s="18">
        <f t="shared" si="8"/>
        <v>130.35408671586717</v>
      </c>
      <c r="N47" s="18">
        <f t="shared" si="2"/>
        <v>411.20408671586722</v>
      </c>
      <c r="O47" s="8"/>
    </row>
    <row r="48" spans="1:15">
      <c r="A48" s="1" t="s">
        <v>38</v>
      </c>
      <c r="B48" s="11"/>
      <c r="C48" s="11">
        <v>1446000</v>
      </c>
      <c r="D48" s="11">
        <v>1525000</v>
      </c>
      <c r="E48" s="11">
        <v>0</v>
      </c>
      <c r="F48" s="11">
        <f t="shared" si="0"/>
        <v>79000</v>
      </c>
      <c r="G48" s="17">
        <f t="shared" si="3"/>
        <v>40.090000000000003</v>
      </c>
      <c r="H48" s="17">
        <f t="shared" si="4"/>
        <v>21.8</v>
      </c>
      <c r="I48" s="17">
        <f t="shared" si="5"/>
        <v>25.299999999999997</v>
      </c>
      <c r="J48" s="18">
        <f t="shared" si="6"/>
        <v>29.5</v>
      </c>
      <c r="K48" s="18">
        <f t="shared" si="7"/>
        <v>133.38</v>
      </c>
      <c r="L48" s="18">
        <f t="shared" si="1"/>
        <v>250.07</v>
      </c>
      <c r="M48" s="18">
        <f t="shared" si="8"/>
        <v>108.21848708487084</v>
      </c>
      <c r="N48" s="18">
        <f t="shared" si="2"/>
        <v>358.28848708487084</v>
      </c>
      <c r="O48" s="8"/>
    </row>
    <row r="49" spans="1:15">
      <c r="A49" s="1" t="s">
        <v>39</v>
      </c>
      <c r="B49" s="11" t="s">
        <v>138</v>
      </c>
      <c r="C49" s="11">
        <v>0</v>
      </c>
      <c r="D49" s="11">
        <v>0</v>
      </c>
      <c r="E49" s="11">
        <v>0</v>
      </c>
      <c r="F49" s="11">
        <f t="shared" si="0"/>
        <v>0</v>
      </c>
      <c r="G49" s="17">
        <f t="shared" ref="G49:G80" si="9">IF(OR($F49&gt;0,$B49=""),40.09,11.79)</f>
        <v>11.79</v>
      </c>
      <c r="H49" s="17">
        <f t="shared" si="4"/>
        <v>0</v>
      </c>
      <c r="I49" s="17">
        <f t="shared" si="5"/>
        <v>0</v>
      </c>
      <c r="J49" s="18">
        <f t="shared" si="6"/>
        <v>0</v>
      </c>
      <c r="K49" s="18">
        <f t="shared" si="7"/>
        <v>0</v>
      </c>
      <c r="L49" s="18">
        <f t="shared" si="1"/>
        <v>11.79</v>
      </c>
      <c r="M49" s="18">
        <f t="shared" ref="M49:M80" si="10">IF(   $H$5=1,    IF((F49-$H$6)&gt;0,((F49-$H$6)/$N$7)*$E$8,0),   IF(F49&gt;0,(F49/$N$4)*$E$8,0)    )</f>
        <v>0</v>
      </c>
      <c r="N49" s="18">
        <f t="shared" si="2"/>
        <v>11.79</v>
      </c>
      <c r="O49" s="8"/>
    </row>
    <row r="50" spans="1:15">
      <c r="A50" s="1" t="s">
        <v>40</v>
      </c>
      <c r="B50" s="11" t="s">
        <v>138</v>
      </c>
      <c r="C50" s="11">
        <v>0</v>
      </c>
      <c r="D50" s="11">
        <v>0</v>
      </c>
      <c r="E50" s="11">
        <v>0</v>
      </c>
      <c r="F50" s="11">
        <f t="shared" si="0"/>
        <v>0</v>
      </c>
      <c r="G50" s="17">
        <f t="shared" si="9"/>
        <v>11.79</v>
      </c>
      <c r="H50" s="17">
        <f t="shared" si="4"/>
        <v>0</v>
      </c>
      <c r="I50" s="17">
        <f t="shared" si="5"/>
        <v>0</v>
      </c>
      <c r="J50" s="18">
        <f t="shared" si="6"/>
        <v>0</v>
      </c>
      <c r="K50" s="18">
        <f t="shared" si="7"/>
        <v>0</v>
      </c>
      <c r="L50" s="18">
        <f t="shared" si="1"/>
        <v>11.79</v>
      </c>
      <c r="M50" s="18">
        <f t="shared" si="10"/>
        <v>0</v>
      </c>
      <c r="N50" s="18">
        <f t="shared" si="2"/>
        <v>11.79</v>
      </c>
      <c r="O50" s="8"/>
    </row>
    <row r="51" spans="1:15">
      <c r="A51" s="1" t="s">
        <v>41</v>
      </c>
      <c r="B51" s="11" t="s">
        <v>138</v>
      </c>
      <c r="C51" s="11">
        <v>0</v>
      </c>
      <c r="D51" s="11">
        <v>0</v>
      </c>
      <c r="E51" s="11">
        <v>0</v>
      </c>
      <c r="F51" s="11">
        <f t="shared" si="0"/>
        <v>0</v>
      </c>
      <c r="G51" s="17">
        <f t="shared" si="9"/>
        <v>11.79</v>
      </c>
      <c r="H51" s="17">
        <f t="shared" si="4"/>
        <v>0</v>
      </c>
      <c r="I51" s="17">
        <f t="shared" si="5"/>
        <v>0</v>
      </c>
      <c r="J51" s="18">
        <f t="shared" si="6"/>
        <v>0</v>
      </c>
      <c r="K51" s="18">
        <f t="shared" si="7"/>
        <v>0</v>
      </c>
      <c r="L51" s="18">
        <f t="shared" si="1"/>
        <v>11.79</v>
      </c>
      <c r="M51" s="18">
        <f t="shared" si="10"/>
        <v>0</v>
      </c>
      <c r="N51" s="18">
        <f t="shared" si="2"/>
        <v>11.79</v>
      </c>
      <c r="O51" s="8"/>
    </row>
    <row r="52" spans="1:15">
      <c r="A52" s="1" t="s">
        <v>42</v>
      </c>
      <c r="B52" s="11"/>
      <c r="C52" s="11">
        <v>2999000</v>
      </c>
      <c r="D52" s="11">
        <v>3025000</v>
      </c>
      <c r="E52" s="11">
        <v>0</v>
      </c>
      <c r="F52" s="11">
        <f t="shared" si="0"/>
        <v>26000</v>
      </c>
      <c r="G52" s="17">
        <f t="shared" si="9"/>
        <v>40.090000000000003</v>
      </c>
      <c r="H52" s="17">
        <f t="shared" si="4"/>
        <v>21.8</v>
      </c>
      <c r="I52" s="17">
        <f t="shared" si="5"/>
        <v>15.18</v>
      </c>
      <c r="J52" s="18">
        <f t="shared" si="6"/>
        <v>0</v>
      </c>
      <c r="K52" s="18">
        <f t="shared" si="7"/>
        <v>0</v>
      </c>
      <c r="L52" s="18">
        <f t="shared" si="1"/>
        <v>77.069999999999993</v>
      </c>
      <c r="M52" s="18">
        <f t="shared" si="10"/>
        <v>0</v>
      </c>
      <c r="N52" s="18">
        <f t="shared" si="2"/>
        <v>77.069999999999993</v>
      </c>
      <c r="O52" s="8"/>
    </row>
    <row r="53" spans="1:15">
      <c r="A53" s="1" t="s">
        <v>43</v>
      </c>
      <c r="B53" s="11"/>
      <c r="C53" s="11">
        <v>3169000</v>
      </c>
      <c r="D53" s="11">
        <v>3193000</v>
      </c>
      <c r="E53" s="11">
        <v>0</v>
      </c>
      <c r="F53" s="11">
        <f t="shared" si="0"/>
        <v>24000</v>
      </c>
      <c r="G53" s="17">
        <f t="shared" si="9"/>
        <v>40.090000000000003</v>
      </c>
      <c r="H53" s="17">
        <f t="shared" si="4"/>
        <v>21.8</v>
      </c>
      <c r="I53" s="17">
        <f t="shared" si="5"/>
        <v>10.119999999999999</v>
      </c>
      <c r="J53" s="18">
        <f t="shared" si="6"/>
        <v>0</v>
      </c>
      <c r="K53" s="18">
        <f t="shared" si="7"/>
        <v>0</v>
      </c>
      <c r="L53" s="18">
        <f t="shared" si="1"/>
        <v>72.010000000000005</v>
      </c>
      <c r="M53" s="18">
        <f t="shared" si="10"/>
        <v>0</v>
      </c>
      <c r="N53" s="18">
        <f t="shared" si="2"/>
        <v>72.010000000000005</v>
      </c>
      <c r="O53" s="8"/>
    </row>
    <row r="54" spans="1:15">
      <c r="A54" s="1" t="s">
        <v>44</v>
      </c>
      <c r="B54" s="11"/>
      <c r="C54" s="11">
        <v>3953000</v>
      </c>
      <c r="D54" s="11">
        <v>3988000</v>
      </c>
      <c r="E54" s="11">
        <v>0</v>
      </c>
      <c r="F54" s="11">
        <f t="shared" si="0"/>
        <v>35000</v>
      </c>
      <c r="G54" s="17">
        <f t="shared" si="9"/>
        <v>40.090000000000003</v>
      </c>
      <c r="H54" s="17">
        <f t="shared" si="4"/>
        <v>21.8</v>
      </c>
      <c r="I54" s="17">
        <f t="shared" si="5"/>
        <v>25.299999999999997</v>
      </c>
      <c r="J54" s="18">
        <f t="shared" si="6"/>
        <v>14.75</v>
      </c>
      <c r="K54" s="18">
        <f t="shared" si="7"/>
        <v>0</v>
      </c>
      <c r="L54" s="18">
        <f t="shared" si="1"/>
        <v>101.94</v>
      </c>
      <c r="M54" s="18">
        <f t="shared" si="10"/>
        <v>0</v>
      </c>
      <c r="N54" s="18">
        <f t="shared" si="2"/>
        <v>101.94</v>
      </c>
      <c r="O54" s="8"/>
    </row>
    <row r="55" spans="1:15">
      <c r="A55" s="1" t="s">
        <v>45</v>
      </c>
      <c r="B55" s="11" t="s">
        <v>138</v>
      </c>
      <c r="C55" s="11">
        <v>0</v>
      </c>
      <c r="D55" s="11">
        <v>0</v>
      </c>
      <c r="E55" s="11">
        <v>0</v>
      </c>
      <c r="F55" s="11">
        <f t="shared" si="0"/>
        <v>0</v>
      </c>
      <c r="G55" s="17">
        <f t="shared" si="9"/>
        <v>11.79</v>
      </c>
      <c r="H55" s="17">
        <f t="shared" si="4"/>
        <v>0</v>
      </c>
      <c r="I55" s="17">
        <f t="shared" si="5"/>
        <v>0</v>
      </c>
      <c r="J55" s="18">
        <f t="shared" si="6"/>
        <v>0</v>
      </c>
      <c r="K55" s="18">
        <f t="shared" si="7"/>
        <v>0</v>
      </c>
      <c r="L55" s="18">
        <f t="shared" si="1"/>
        <v>11.79</v>
      </c>
      <c r="M55" s="18">
        <f t="shared" si="10"/>
        <v>0</v>
      </c>
      <c r="N55" s="18">
        <f t="shared" si="2"/>
        <v>11.79</v>
      </c>
      <c r="O55" s="8"/>
    </row>
    <row r="56" spans="1:15">
      <c r="A56" s="1" t="s">
        <v>46</v>
      </c>
      <c r="B56" s="11" t="s">
        <v>138</v>
      </c>
      <c r="C56" s="11">
        <v>0</v>
      </c>
      <c r="D56" s="11">
        <v>0</v>
      </c>
      <c r="E56" s="11">
        <v>0</v>
      </c>
      <c r="F56" s="11">
        <f t="shared" si="0"/>
        <v>0</v>
      </c>
      <c r="G56" s="17">
        <f t="shared" si="9"/>
        <v>11.79</v>
      </c>
      <c r="H56" s="17">
        <f t="shared" si="4"/>
        <v>0</v>
      </c>
      <c r="I56" s="17">
        <f t="shared" si="5"/>
        <v>0</v>
      </c>
      <c r="J56" s="18">
        <f t="shared" si="6"/>
        <v>0</v>
      </c>
      <c r="K56" s="18">
        <f t="shared" si="7"/>
        <v>0</v>
      </c>
      <c r="L56" s="18">
        <f t="shared" si="1"/>
        <v>11.79</v>
      </c>
      <c r="M56" s="18">
        <f t="shared" si="10"/>
        <v>0</v>
      </c>
      <c r="N56" s="18">
        <f t="shared" si="2"/>
        <v>11.79</v>
      </c>
      <c r="O56" s="8"/>
    </row>
    <row r="57" spans="1:15">
      <c r="A57" s="1" t="s">
        <v>47</v>
      </c>
      <c r="B57" s="11" t="s">
        <v>138</v>
      </c>
      <c r="C57" s="11">
        <v>0</v>
      </c>
      <c r="D57" s="11">
        <v>0</v>
      </c>
      <c r="E57" s="11">
        <v>0</v>
      </c>
      <c r="F57" s="11">
        <f t="shared" si="0"/>
        <v>0</v>
      </c>
      <c r="G57" s="17">
        <f t="shared" si="9"/>
        <v>11.79</v>
      </c>
      <c r="H57" s="17">
        <f t="shared" si="4"/>
        <v>0</v>
      </c>
      <c r="I57" s="17">
        <f t="shared" si="5"/>
        <v>0</v>
      </c>
      <c r="J57" s="18">
        <f t="shared" si="6"/>
        <v>0</v>
      </c>
      <c r="K57" s="18">
        <f t="shared" si="7"/>
        <v>0</v>
      </c>
      <c r="L57" s="18">
        <f t="shared" si="1"/>
        <v>11.79</v>
      </c>
      <c r="M57" s="18">
        <f t="shared" si="10"/>
        <v>0</v>
      </c>
      <c r="N57" s="18">
        <f t="shared" si="2"/>
        <v>11.79</v>
      </c>
      <c r="O57" s="8"/>
    </row>
    <row r="58" spans="1:15">
      <c r="A58" s="1" t="s">
        <v>48</v>
      </c>
      <c r="B58" s="11"/>
      <c r="C58" s="11">
        <v>1111000</v>
      </c>
      <c r="D58" s="11">
        <v>1113000</v>
      </c>
      <c r="E58" s="11">
        <v>0</v>
      </c>
      <c r="F58" s="11">
        <f t="shared" si="0"/>
        <v>2000</v>
      </c>
      <c r="G58" s="17">
        <f t="shared" si="9"/>
        <v>40.090000000000003</v>
      </c>
      <c r="H58" s="17">
        <f t="shared" si="4"/>
        <v>0</v>
      </c>
      <c r="I58" s="17">
        <f t="shared" si="5"/>
        <v>0</v>
      </c>
      <c r="J58" s="18">
        <f t="shared" si="6"/>
        <v>0</v>
      </c>
      <c r="K58" s="18">
        <f t="shared" si="7"/>
        <v>0</v>
      </c>
      <c r="L58" s="18">
        <f t="shared" si="1"/>
        <v>40.090000000000003</v>
      </c>
      <c r="M58" s="18">
        <f t="shared" si="10"/>
        <v>0</v>
      </c>
      <c r="N58" s="18">
        <f t="shared" si="2"/>
        <v>40.090000000000003</v>
      </c>
      <c r="O58" s="8"/>
    </row>
    <row r="59" spans="1:15">
      <c r="A59" s="1" t="s">
        <v>49</v>
      </c>
      <c r="B59" s="11"/>
      <c r="C59" s="11">
        <v>855000</v>
      </c>
      <c r="D59" s="11">
        <v>864000</v>
      </c>
      <c r="E59" s="11">
        <v>0</v>
      </c>
      <c r="F59" s="11">
        <f t="shared" si="0"/>
        <v>9000</v>
      </c>
      <c r="G59" s="17">
        <f t="shared" si="9"/>
        <v>40.090000000000003</v>
      </c>
      <c r="H59" s="17">
        <f t="shared" si="4"/>
        <v>0</v>
      </c>
      <c r="I59" s="17">
        <f t="shared" si="5"/>
        <v>0</v>
      </c>
      <c r="J59" s="18">
        <f t="shared" si="6"/>
        <v>0</v>
      </c>
      <c r="K59" s="18">
        <f t="shared" si="7"/>
        <v>0</v>
      </c>
      <c r="L59" s="18">
        <f t="shared" si="1"/>
        <v>40.090000000000003</v>
      </c>
      <c r="M59" s="18">
        <f t="shared" si="10"/>
        <v>0</v>
      </c>
      <c r="N59" s="18">
        <f t="shared" si="2"/>
        <v>40.090000000000003</v>
      </c>
      <c r="O59" s="8"/>
    </row>
    <row r="60" spans="1:15">
      <c r="A60" s="1" t="s">
        <v>50</v>
      </c>
      <c r="B60" s="11"/>
      <c r="C60" s="11">
        <v>3436000</v>
      </c>
      <c r="D60" s="11">
        <v>3459000</v>
      </c>
      <c r="E60" s="11">
        <v>0</v>
      </c>
      <c r="F60" s="11">
        <f t="shared" si="0"/>
        <v>23000</v>
      </c>
      <c r="G60" s="17">
        <f t="shared" si="9"/>
        <v>40.090000000000003</v>
      </c>
      <c r="H60" s="17">
        <f t="shared" si="4"/>
        <v>21.8</v>
      </c>
      <c r="I60" s="17">
        <f t="shared" si="5"/>
        <v>7.59</v>
      </c>
      <c r="J60" s="18">
        <f t="shared" si="6"/>
        <v>0</v>
      </c>
      <c r="K60" s="18">
        <f t="shared" si="7"/>
        <v>0</v>
      </c>
      <c r="L60" s="18">
        <f t="shared" si="1"/>
        <v>69.48</v>
      </c>
      <c r="M60" s="18">
        <f t="shared" si="10"/>
        <v>0</v>
      </c>
      <c r="N60" s="18">
        <f t="shared" si="2"/>
        <v>69.48</v>
      </c>
      <c r="O60" s="8"/>
    </row>
    <row r="61" spans="1:15">
      <c r="A61" s="1" t="s">
        <v>51</v>
      </c>
      <c r="B61" s="11" t="s">
        <v>138</v>
      </c>
      <c r="C61" s="11">
        <v>0</v>
      </c>
      <c r="D61" s="11">
        <v>0</v>
      </c>
      <c r="E61" s="11">
        <v>0</v>
      </c>
      <c r="F61" s="11">
        <f t="shared" si="0"/>
        <v>0</v>
      </c>
      <c r="G61" s="17">
        <f t="shared" si="9"/>
        <v>11.79</v>
      </c>
      <c r="H61" s="17">
        <f t="shared" si="4"/>
        <v>0</v>
      </c>
      <c r="I61" s="17">
        <f t="shared" si="5"/>
        <v>0</v>
      </c>
      <c r="J61" s="18">
        <f t="shared" si="6"/>
        <v>0</v>
      </c>
      <c r="K61" s="18">
        <f t="shared" si="7"/>
        <v>0</v>
      </c>
      <c r="L61" s="18">
        <f t="shared" si="1"/>
        <v>11.79</v>
      </c>
      <c r="M61" s="18">
        <f t="shared" si="10"/>
        <v>0</v>
      </c>
      <c r="N61" s="18">
        <f t="shared" si="2"/>
        <v>11.79</v>
      </c>
      <c r="O61" s="8"/>
    </row>
    <row r="62" spans="1:15">
      <c r="A62" s="1" t="s">
        <v>52</v>
      </c>
      <c r="B62" s="11"/>
      <c r="C62" s="11">
        <v>1687000</v>
      </c>
      <c r="D62" s="11">
        <v>1696000</v>
      </c>
      <c r="E62" s="11">
        <v>0</v>
      </c>
      <c r="F62" s="11">
        <f t="shared" si="0"/>
        <v>9000</v>
      </c>
      <c r="G62" s="17">
        <f t="shared" si="9"/>
        <v>40.090000000000003</v>
      </c>
      <c r="H62" s="17">
        <f t="shared" si="4"/>
        <v>0</v>
      </c>
      <c r="I62" s="17">
        <f t="shared" si="5"/>
        <v>0</v>
      </c>
      <c r="J62" s="18">
        <f t="shared" si="6"/>
        <v>0</v>
      </c>
      <c r="K62" s="18">
        <f t="shared" si="7"/>
        <v>0</v>
      </c>
      <c r="L62" s="18">
        <f t="shared" si="1"/>
        <v>40.090000000000003</v>
      </c>
      <c r="M62" s="18">
        <f t="shared" si="10"/>
        <v>0</v>
      </c>
      <c r="N62" s="18">
        <f t="shared" si="2"/>
        <v>40.090000000000003</v>
      </c>
      <c r="O62" s="8"/>
    </row>
    <row r="63" spans="1:15">
      <c r="A63" s="1" t="s">
        <v>53</v>
      </c>
      <c r="B63" s="11"/>
      <c r="C63" s="11">
        <v>2260000</v>
      </c>
      <c r="D63" s="11">
        <v>2281000</v>
      </c>
      <c r="E63" s="11">
        <v>0</v>
      </c>
      <c r="F63" s="11">
        <f t="shared" si="0"/>
        <v>21000</v>
      </c>
      <c r="G63" s="17">
        <f t="shared" si="9"/>
        <v>40.090000000000003</v>
      </c>
      <c r="H63" s="17">
        <f t="shared" si="4"/>
        <v>21.8</v>
      </c>
      <c r="I63" s="17">
        <f t="shared" si="5"/>
        <v>2.5299999999999998</v>
      </c>
      <c r="J63" s="18">
        <f t="shared" si="6"/>
        <v>0</v>
      </c>
      <c r="K63" s="18">
        <f t="shared" si="7"/>
        <v>0</v>
      </c>
      <c r="L63" s="18">
        <f t="shared" si="1"/>
        <v>64.42</v>
      </c>
      <c r="M63" s="18">
        <f t="shared" si="10"/>
        <v>0</v>
      </c>
      <c r="N63" s="18">
        <f t="shared" si="2"/>
        <v>64.42</v>
      </c>
      <c r="O63" s="8"/>
    </row>
    <row r="64" spans="1:15">
      <c r="A64" s="1" t="s">
        <v>54</v>
      </c>
      <c r="B64" s="11"/>
      <c r="C64" s="11">
        <v>2843000</v>
      </c>
      <c r="D64" s="11">
        <v>2939000</v>
      </c>
      <c r="E64" s="11">
        <v>0</v>
      </c>
      <c r="F64" s="11">
        <f t="shared" si="0"/>
        <v>96000</v>
      </c>
      <c r="G64" s="17">
        <f t="shared" si="9"/>
        <v>40.090000000000003</v>
      </c>
      <c r="H64" s="17">
        <f t="shared" si="4"/>
        <v>21.8</v>
      </c>
      <c r="I64" s="17">
        <f t="shared" si="5"/>
        <v>25.299999999999997</v>
      </c>
      <c r="J64" s="18">
        <f t="shared" si="6"/>
        <v>29.5</v>
      </c>
      <c r="K64" s="18">
        <f t="shared" si="7"/>
        <v>191.51999999999998</v>
      </c>
      <c r="L64" s="18">
        <f t="shared" si="1"/>
        <v>308.20999999999998</v>
      </c>
      <c r="M64" s="18">
        <f t="shared" si="10"/>
        <v>150.03017527675277</v>
      </c>
      <c r="N64" s="18">
        <f t="shared" si="2"/>
        <v>458.24017527675278</v>
      </c>
      <c r="O64" s="8"/>
    </row>
    <row r="65" spans="1:15">
      <c r="A65" s="1" t="s">
        <v>55</v>
      </c>
      <c r="B65" s="11" t="s">
        <v>138</v>
      </c>
      <c r="C65" s="11">
        <v>0</v>
      </c>
      <c r="D65" s="11">
        <v>0</v>
      </c>
      <c r="E65" s="11">
        <v>0</v>
      </c>
      <c r="F65" s="11">
        <f t="shared" si="0"/>
        <v>0</v>
      </c>
      <c r="G65" s="17">
        <f t="shared" si="9"/>
        <v>11.79</v>
      </c>
      <c r="H65" s="17">
        <f t="shared" si="4"/>
        <v>0</v>
      </c>
      <c r="I65" s="17">
        <f t="shared" si="5"/>
        <v>0</v>
      </c>
      <c r="J65" s="18">
        <f t="shared" si="6"/>
        <v>0</v>
      </c>
      <c r="K65" s="18">
        <f t="shared" si="7"/>
        <v>0</v>
      </c>
      <c r="L65" s="18">
        <f t="shared" si="1"/>
        <v>11.79</v>
      </c>
      <c r="M65" s="18">
        <f t="shared" si="10"/>
        <v>0</v>
      </c>
      <c r="N65" s="18">
        <f t="shared" si="2"/>
        <v>11.79</v>
      </c>
      <c r="O65" s="8"/>
    </row>
    <row r="66" spans="1:15">
      <c r="A66" s="1" t="s">
        <v>56</v>
      </c>
      <c r="B66" s="11"/>
      <c r="C66" s="11">
        <v>1388000</v>
      </c>
      <c r="D66" s="11">
        <v>1440000</v>
      </c>
      <c r="E66" s="11">
        <v>0</v>
      </c>
      <c r="F66" s="11">
        <f t="shared" si="0"/>
        <v>52000</v>
      </c>
      <c r="G66" s="17">
        <f t="shared" si="9"/>
        <v>40.090000000000003</v>
      </c>
      <c r="H66" s="17">
        <f t="shared" si="4"/>
        <v>21.8</v>
      </c>
      <c r="I66" s="17">
        <f t="shared" si="5"/>
        <v>25.299999999999997</v>
      </c>
      <c r="J66" s="18">
        <f t="shared" si="6"/>
        <v>29.5</v>
      </c>
      <c r="K66" s="18">
        <f t="shared" si="7"/>
        <v>41.04</v>
      </c>
      <c r="L66" s="18">
        <f t="shared" si="1"/>
        <v>157.72999999999999</v>
      </c>
      <c r="M66" s="18">
        <f t="shared" si="10"/>
        <v>41.81168819188192</v>
      </c>
      <c r="N66" s="18">
        <f t="shared" si="2"/>
        <v>199.54168819188192</v>
      </c>
      <c r="O66" s="8"/>
    </row>
    <row r="67" spans="1:15">
      <c r="A67" s="1" t="s">
        <v>57</v>
      </c>
      <c r="B67" s="11"/>
      <c r="C67" s="11">
        <v>1609000</v>
      </c>
      <c r="D67" s="11">
        <v>1609000</v>
      </c>
      <c r="E67" s="11">
        <v>0</v>
      </c>
      <c r="F67" s="11">
        <f t="shared" si="0"/>
        <v>0</v>
      </c>
      <c r="G67" s="17">
        <f t="shared" si="9"/>
        <v>40.090000000000003</v>
      </c>
      <c r="H67" s="17">
        <f t="shared" si="4"/>
        <v>0</v>
      </c>
      <c r="I67" s="17">
        <f t="shared" si="5"/>
        <v>0</v>
      </c>
      <c r="J67" s="18">
        <f t="shared" si="6"/>
        <v>0</v>
      </c>
      <c r="K67" s="18">
        <f t="shared" si="7"/>
        <v>0</v>
      </c>
      <c r="L67" s="18">
        <f t="shared" si="1"/>
        <v>40.090000000000003</v>
      </c>
      <c r="M67" s="18">
        <f t="shared" si="10"/>
        <v>0</v>
      </c>
      <c r="N67" s="18">
        <f t="shared" si="2"/>
        <v>40.090000000000003</v>
      </c>
      <c r="O67" s="8"/>
    </row>
    <row r="68" spans="1:15">
      <c r="A68" s="1" t="s">
        <v>58</v>
      </c>
      <c r="B68" s="11" t="s">
        <v>138</v>
      </c>
      <c r="C68" s="11">
        <v>0</v>
      </c>
      <c r="D68" s="11">
        <v>0</v>
      </c>
      <c r="E68" s="11">
        <v>0</v>
      </c>
      <c r="F68" s="11">
        <f t="shared" si="0"/>
        <v>0</v>
      </c>
      <c r="G68" s="17">
        <f t="shared" si="9"/>
        <v>11.79</v>
      </c>
      <c r="H68" s="17">
        <f t="shared" si="4"/>
        <v>0</v>
      </c>
      <c r="I68" s="17">
        <f t="shared" si="5"/>
        <v>0</v>
      </c>
      <c r="J68" s="18">
        <f t="shared" si="6"/>
        <v>0</v>
      </c>
      <c r="K68" s="18">
        <f t="shared" si="7"/>
        <v>0</v>
      </c>
      <c r="L68" s="18">
        <f t="shared" si="1"/>
        <v>11.79</v>
      </c>
      <c r="M68" s="18">
        <f t="shared" si="10"/>
        <v>0</v>
      </c>
      <c r="N68" s="18">
        <f t="shared" si="2"/>
        <v>11.79</v>
      </c>
      <c r="O68" s="8"/>
    </row>
    <row r="69" spans="1:15">
      <c r="A69" s="1" t="s">
        <v>59</v>
      </c>
      <c r="B69" s="11" t="s">
        <v>138</v>
      </c>
      <c r="C69" s="11">
        <v>0</v>
      </c>
      <c r="D69" s="11">
        <v>0</v>
      </c>
      <c r="E69" s="11">
        <v>0</v>
      </c>
      <c r="F69" s="11">
        <f t="shared" si="0"/>
        <v>0</v>
      </c>
      <c r="G69" s="17">
        <f t="shared" si="9"/>
        <v>11.79</v>
      </c>
      <c r="H69" s="17">
        <f t="shared" si="4"/>
        <v>0</v>
      </c>
      <c r="I69" s="17">
        <f t="shared" si="5"/>
        <v>0</v>
      </c>
      <c r="J69" s="18">
        <f t="shared" si="6"/>
        <v>0</v>
      </c>
      <c r="K69" s="18">
        <f t="shared" si="7"/>
        <v>0</v>
      </c>
      <c r="L69" s="18">
        <f t="shared" si="1"/>
        <v>11.79</v>
      </c>
      <c r="M69" s="18">
        <f t="shared" si="10"/>
        <v>0</v>
      </c>
      <c r="N69" s="18">
        <f t="shared" si="2"/>
        <v>11.79</v>
      </c>
      <c r="O69" s="8"/>
    </row>
    <row r="70" spans="1:15">
      <c r="A70" s="1" t="s">
        <v>60</v>
      </c>
      <c r="B70" s="11" t="s">
        <v>138</v>
      </c>
      <c r="C70" s="11">
        <v>0</v>
      </c>
      <c r="D70" s="11">
        <v>0</v>
      </c>
      <c r="E70" s="11">
        <v>0</v>
      </c>
      <c r="F70" s="11">
        <f t="shared" si="0"/>
        <v>0</v>
      </c>
      <c r="G70" s="17">
        <f t="shared" si="9"/>
        <v>11.79</v>
      </c>
      <c r="H70" s="17">
        <f t="shared" si="4"/>
        <v>0</v>
      </c>
      <c r="I70" s="17">
        <f t="shared" si="5"/>
        <v>0</v>
      </c>
      <c r="J70" s="18">
        <f t="shared" si="6"/>
        <v>0</v>
      </c>
      <c r="K70" s="18">
        <f t="shared" si="7"/>
        <v>0</v>
      </c>
      <c r="L70" s="18">
        <f t="shared" si="1"/>
        <v>11.79</v>
      </c>
      <c r="M70" s="18">
        <f t="shared" si="10"/>
        <v>0</v>
      </c>
      <c r="N70" s="18">
        <f t="shared" si="2"/>
        <v>11.79</v>
      </c>
      <c r="O70" s="8"/>
    </row>
    <row r="71" spans="1:15">
      <c r="A71" s="1" t="s">
        <v>61</v>
      </c>
      <c r="B71" s="11"/>
      <c r="C71" s="11">
        <v>1323000</v>
      </c>
      <c r="D71" s="11">
        <v>1327000</v>
      </c>
      <c r="E71" s="11">
        <v>0</v>
      </c>
      <c r="F71" s="11">
        <f t="shared" si="0"/>
        <v>4000</v>
      </c>
      <c r="G71" s="17">
        <f t="shared" si="9"/>
        <v>40.090000000000003</v>
      </c>
      <c r="H71" s="17">
        <f t="shared" si="4"/>
        <v>0</v>
      </c>
      <c r="I71" s="17">
        <f t="shared" si="5"/>
        <v>0</v>
      </c>
      <c r="J71" s="18">
        <f t="shared" si="6"/>
        <v>0</v>
      </c>
      <c r="K71" s="18">
        <f t="shared" si="7"/>
        <v>0</v>
      </c>
      <c r="L71" s="18">
        <f t="shared" si="1"/>
        <v>40.090000000000003</v>
      </c>
      <c r="M71" s="18">
        <f t="shared" si="10"/>
        <v>0</v>
      </c>
      <c r="N71" s="18">
        <f t="shared" si="2"/>
        <v>40.090000000000003</v>
      </c>
      <c r="O71" s="8"/>
    </row>
    <row r="72" spans="1:15">
      <c r="A72" s="1" t="s">
        <v>62</v>
      </c>
      <c r="B72" s="11"/>
      <c r="C72" s="11">
        <v>1874000</v>
      </c>
      <c r="D72" s="11">
        <v>1882000</v>
      </c>
      <c r="E72" s="11">
        <v>0</v>
      </c>
      <c r="F72" s="11">
        <f t="shared" si="0"/>
        <v>8000</v>
      </c>
      <c r="G72" s="17">
        <f t="shared" si="9"/>
        <v>40.090000000000003</v>
      </c>
      <c r="H72" s="17">
        <f t="shared" si="4"/>
        <v>0</v>
      </c>
      <c r="I72" s="17">
        <f t="shared" si="5"/>
        <v>0</v>
      </c>
      <c r="J72" s="18">
        <f t="shared" si="6"/>
        <v>0</v>
      </c>
      <c r="K72" s="18">
        <f t="shared" si="7"/>
        <v>0</v>
      </c>
      <c r="L72" s="18">
        <f t="shared" si="1"/>
        <v>40.090000000000003</v>
      </c>
      <c r="M72" s="18">
        <f t="shared" si="10"/>
        <v>0</v>
      </c>
      <c r="N72" s="18">
        <f t="shared" si="2"/>
        <v>40.090000000000003</v>
      </c>
      <c r="O72" s="8"/>
    </row>
    <row r="73" spans="1:15">
      <c r="A73" s="1" t="s">
        <v>63</v>
      </c>
      <c r="B73" s="11" t="s">
        <v>138</v>
      </c>
      <c r="C73" s="11">
        <v>0</v>
      </c>
      <c r="D73" s="11">
        <v>0</v>
      </c>
      <c r="E73" s="11">
        <v>0</v>
      </c>
      <c r="F73" s="11">
        <f t="shared" si="0"/>
        <v>0</v>
      </c>
      <c r="G73" s="17">
        <f t="shared" si="9"/>
        <v>11.79</v>
      </c>
      <c r="H73" s="17">
        <f t="shared" si="4"/>
        <v>0</v>
      </c>
      <c r="I73" s="17">
        <f t="shared" si="5"/>
        <v>0</v>
      </c>
      <c r="J73" s="18">
        <f t="shared" si="6"/>
        <v>0</v>
      </c>
      <c r="K73" s="18">
        <f t="shared" si="7"/>
        <v>0</v>
      </c>
      <c r="L73" s="18">
        <f t="shared" si="1"/>
        <v>11.79</v>
      </c>
      <c r="M73" s="18">
        <f t="shared" si="10"/>
        <v>0</v>
      </c>
      <c r="N73" s="18">
        <f t="shared" si="2"/>
        <v>11.79</v>
      </c>
      <c r="O73" s="8"/>
    </row>
    <row r="74" spans="1:15">
      <c r="A74" s="1" t="s">
        <v>64</v>
      </c>
      <c r="B74" s="11"/>
      <c r="C74" s="11">
        <v>4819000</v>
      </c>
      <c r="D74" s="11">
        <v>4859000</v>
      </c>
      <c r="E74" s="11">
        <v>0</v>
      </c>
      <c r="F74" s="11">
        <f t="shared" si="0"/>
        <v>40000</v>
      </c>
      <c r="G74" s="17">
        <f t="shared" si="9"/>
        <v>40.090000000000003</v>
      </c>
      <c r="H74" s="17">
        <f t="shared" si="4"/>
        <v>21.8</v>
      </c>
      <c r="I74" s="17">
        <f t="shared" si="5"/>
        <v>25.299999999999997</v>
      </c>
      <c r="J74" s="18">
        <f t="shared" si="6"/>
        <v>29.5</v>
      </c>
      <c r="K74" s="18">
        <f t="shared" si="7"/>
        <v>0</v>
      </c>
      <c r="L74" s="18">
        <f t="shared" si="1"/>
        <v>116.69</v>
      </c>
      <c r="M74" s="18">
        <f t="shared" si="10"/>
        <v>12.297555350553505</v>
      </c>
      <c r="N74" s="18">
        <f t="shared" si="2"/>
        <v>128.98755535055349</v>
      </c>
      <c r="O74" s="8"/>
    </row>
    <row r="75" spans="1:15">
      <c r="A75" s="1" t="s">
        <v>65</v>
      </c>
      <c r="B75" s="11"/>
      <c r="C75" s="11">
        <v>6502000</v>
      </c>
      <c r="D75" s="11">
        <v>6555000</v>
      </c>
      <c r="E75" s="11">
        <v>0</v>
      </c>
      <c r="F75" s="11">
        <f t="shared" si="0"/>
        <v>53000</v>
      </c>
      <c r="G75" s="17">
        <f t="shared" si="9"/>
        <v>40.090000000000003</v>
      </c>
      <c r="H75" s="17">
        <f t="shared" si="4"/>
        <v>21.8</v>
      </c>
      <c r="I75" s="17">
        <f t="shared" si="5"/>
        <v>25.299999999999997</v>
      </c>
      <c r="J75" s="18">
        <f t="shared" si="6"/>
        <v>29.5</v>
      </c>
      <c r="K75" s="18">
        <f t="shared" si="7"/>
        <v>44.46</v>
      </c>
      <c r="L75" s="18">
        <f t="shared" si="1"/>
        <v>161.15</v>
      </c>
      <c r="M75" s="18">
        <f t="shared" si="10"/>
        <v>44.271199261992621</v>
      </c>
      <c r="N75" s="18">
        <f t="shared" si="2"/>
        <v>205.42119926199263</v>
      </c>
      <c r="O75" s="8"/>
    </row>
    <row r="76" spans="1:15">
      <c r="A76" s="1" t="s">
        <v>66</v>
      </c>
      <c r="B76" s="11"/>
      <c r="C76" s="11">
        <v>9171000</v>
      </c>
      <c r="D76" s="11">
        <v>9190000</v>
      </c>
      <c r="E76" s="11">
        <v>0</v>
      </c>
      <c r="F76" s="11">
        <f t="shared" ref="F76:F136" si="11">($D76-$C76)+$E76</f>
        <v>19000</v>
      </c>
      <c r="G76" s="17">
        <f t="shared" si="9"/>
        <v>40.090000000000003</v>
      </c>
      <c r="H76" s="17">
        <f t="shared" si="4"/>
        <v>19.62</v>
      </c>
      <c r="I76" s="17">
        <f t="shared" si="5"/>
        <v>0</v>
      </c>
      <c r="J76" s="18">
        <f t="shared" si="6"/>
        <v>0</v>
      </c>
      <c r="K76" s="18">
        <f t="shared" si="7"/>
        <v>0</v>
      </c>
      <c r="L76" s="18">
        <f t="shared" ref="L76:L136" si="12">SUM(G76:K76)</f>
        <v>59.710000000000008</v>
      </c>
      <c r="M76" s="18">
        <f t="shared" si="10"/>
        <v>0</v>
      </c>
      <c r="N76" s="18">
        <f t="shared" ref="N76:N136" si="13">SUM(L76:M76)</f>
        <v>59.710000000000008</v>
      </c>
      <c r="O76" s="8"/>
    </row>
    <row r="77" spans="1:15">
      <c r="A77" s="1" t="s">
        <v>67</v>
      </c>
      <c r="B77" s="11" t="s">
        <v>138</v>
      </c>
      <c r="C77" s="11">
        <v>0</v>
      </c>
      <c r="D77" s="11">
        <v>0</v>
      </c>
      <c r="E77" s="11">
        <v>0</v>
      </c>
      <c r="F77" s="11">
        <f t="shared" si="11"/>
        <v>0</v>
      </c>
      <c r="G77" s="17">
        <f t="shared" si="9"/>
        <v>11.79</v>
      </c>
      <c r="H77" s="17">
        <f t="shared" si="4"/>
        <v>0</v>
      </c>
      <c r="I77" s="17">
        <f t="shared" si="5"/>
        <v>0</v>
      </c>
      <c r="J77" s="18">
        <f t="shared" si="6"/>
        <v>0</v>
      </c>
      <c r="K77" s="18">
        <f t="shared" si="7"/>
        <v>0</v>
      </c>
      <c r="L77" s="18">
        <f t="shared" si="12"/>
        <v>11.79</v>
      </c>
      <c r="M77" s="18">
        <f t="shared" si="10"/>
        <v>0</v>
      </c>
      <c r="N77" s="18">
        <f t="shared" si="13"/>
        <v>11.79</v>
      </c>
      <c r="O77" s="8"/>
    </row>
    <row r="78" spans="1:15">
      <c r="A78" s="1" t="s">
        <v>68</v>
      </c>
      <c r="B78" s="11"/>
      <c r="C78" s="11">
        <v>3490000</v>
      </c>
      <c r="D78" s="11">
        <v>3521000</v>
      </c>
      <c r="E78" s="11">
        <v>0</v>
      </c>
      <c r="F78" s="11">
        <f t="shared" si="11"/>
        <v>31000</v>
      </c>
      <c r="G78" s="17">
        <f t="shared" si="9"/>
        <v>40.090000000000003</v>
      </c>
      <c r="H78" s="17">
        <f t="shared" si="4"/>
        <v>21.8</v>
      </c>
      <c r="I78" s="17">
        <f t="shared" si="5"/>
        <v>25.299999999999997</v>
      </c>
      <c r="J78" s="18">
        <f t="shared" si="6"/>
        <v>2.95</v>
      </c>
      <c r="K78" s="18">
        <f t="shared" si="7"/>
        <v>0</v>
      </c>
      <c r="L78" s="18">
        <f t="shared" si="12"/>
        <v>90.14</v>
      </c>
      <c r="M78" s="18">
        <f t="shared" si="10"/>
        <v>0</v>
      </c>
      <c r="N78" s="18">
        <f t="shared" si="13"/>
        <v>90.14</v>
      </c>
      <c r="O78" s="8"/>
    </row>
    <row r="79" spans="1:15">
      <c r="A79" s="1" t="s">
        <v>69</v>
      </c>
      <c r="B79" s="11"/>
      <c r="C79" s="11">
        <v>2231000</v>
      </c>
      <c r="D79" s="11">
        <v>2253000</v>
      </c>
      <c r="E79" s="11">
        <v>0</v>
      </c>
      <c r="F79" s="11">
        <f t="shared" si="11"/>
        <v>22000</v>
      </c>
      <c r="G79" s="17">
        <f t="shared" si="9"/>
        <v>40.090000000000003</v>
      </c>
      <c r="H79" s="17">
        <f t="shared" si="4"/>
        <v>21.8</v>
      </c>
      <c r="I79" s="17">
        <f t="shared" si="5"/>
        <v>5.0599999999999996</v>
      </c>
      <c r="J79" s="18">
        <f t="shared" si="6"/>
        <v>0</v>
      </c>
      <c r="K79" s="18">
        <f t="shared" si="7"/>
        <v>0</v>
      </c>
      <c r="L79" s="18">
        <f t="shared" si="12"/>
        <v>66.95</v>
      </c>
      <c r="M79" s="18">
        <f t="shared" si="10"/>
        <v>0</v>
      </c>
      <c r="N79" s="18">
        <f t="shared" si="13"/>
        <v>66.95</v>
      </c>
      <c r="O79" s="8"/>
    </row>
    <row r="80" spans="1:15">
      <c r="A80" s="1" t="s">
        <v>70</v>
      </c>
      <c r="B80" s="11"/>
      <c r="C80" s="11">
        <v>1335000</v>
      </c>
      <c r="D80" s="11">
        <v>1358000</v>
      </c>
      <c r="E80" s="11">
        <v>0</v>
      </c>
      <c r="F80" s="11">
        <f t="shared" si="11"/>
        <v>23000</v>
      </c>
      <c r="G80" s="17">
        <f t="shared" si="9"/>
        <v>40.090000000000003</v>
      </c>
      <c r="H80" s="17">
        <f t="shared" si="4"/>
        <v>21.8</v>
      </c>
      <c r="I80" s="17">
        <f t="shared" si="5"/>
        <v>7.59</v>
      </c>
      <c r="J80" s="18">
        <f t="shared" si="6"/>
        <v>0</v>
      </c>
      <c r="K80" s="18">
        <f t="shared" si="7"/>
        <v>0</v>
      </c>
      <c r="L80" s="18">
        <f t="shared" si="12"/>
        <v>69.48</v>
      </c>
      <c r="M80" s="18">
        <f t="shared" si="10"/>
        <v>0</v>
      </c>
      <c r="N80" s="18">
        <f t="shared" si="13"/>
        <v>69.48</v>
      </c>
      <c r="O80" s="8"/>
    </row>
    <row r="81" spans="1:15">
      <c r="A81" s="1" t="s">
        <v>71</v>
      </c>
      <c r="B81" s="11" t="s">
        <v>138</v>
      </c>
      <c r="C81" s="11">
        <v>0</v>
      </c>
      <c r="D81" s="11">
        <v>0</v>
      </c>
      <c r="E81" s="11">
        <v>0</v>
      </c>
      <c r="F81" s="11">
        <f t="shared" si="11"/>
        <v>0</v>
      </c>
      <c r="G81" s="17">
        <f t="shared" ref="G81:G112" si="14">IF(OR($F81&gt;0,$B81=""),40.09,11.79)</f>
        <v>11.79</v>
      </c>
      <c r="H81" s="17">
        <f t="shared" ref="H81:H136" si="15">IF(AND((($F81-10000)&gt;=0),(($F81-10000)&lt;= 10000)),($F81-10000)/1000*2.18,IF(($F81-10000)&gt;=10000,2.18*10,0))</f>
        <v>0</v>
      </c>
      <c r="I81" s="17">
        <f t="shared" ref="I81:I136" si="16">IF(AND((($F81-20000)&gt;=0),(($F81-20000)&lt;=10000)),($F81-20000)/1000*2.53,IF(($F81-20000)&gt;=10000,2.53*10,0))</f>
        <v>0</v>
      </c>
      <c r="J81" s="18">
        <f t="shared" ref="J81:J136" si="17">IF(AND((($F81-30000)&gt;=0),(($F81-30000)&lt;=10000)),($F81-30000)/1000*2.95,IF(($F81-30000)&gt;=10000,2.95*10,0))</f>
        <v>0</v>
      </c>
      <c r="K81" s="18">
        <f t="shared" ref="K81:K136" si="18">IF((($F81-40000)&gt;=0),($F81-40000)/1000*3.42,0)</f>
        <v>0</v>
      </c>
      <c r="L81" s="18">
        <f t="shared" si="12"/>
        <v>11.79</v>
      </c>
      <c r="M81" s="18">
        <f t="shared" ref="M81:M112" si="19">IF(   $H$5=1,    IF((F81-$H$6)&gt;0,((F81-$H$6)/$N$7)*$E$8,0),   IF(F81&gt;0,(F81/$N$4)*$E$8,0)    )</f>
        <v>0</v>
      </c>
      <c r="N81" s="18">
        <f t="shared" si="13"/>
        <v>11.79</v>
      </c>
      <c r="O81" s="8"/>
    </row>
    <row r="82" spans="1:15">
      <c r="A82" s="1" t="s">
        <v>72</v>
      </c>
      <c r="B82" s="11"/>
      <c r="C82" s="11">
        <v>43000</v>
      </c>
      <c r="D82" s="11">
        <v>67000</v>
      </c>
      <c r="E82" s="11">
        <v>0</v>
      </c>
      <c r="F82" s="11">
        <f t="shared" si="11"/>
        <v>24000</v>
      </c>
      <c r="G82" s="17">
        <f t="shared" si="14"/>
        <v>40.090000000000003</v>
      </c>
      <c r="H82" s="17">
        <f t="shared" si="15"/>
        <v>21.8</v>
      </c>
      <c r="I82" s="17">
        <f t="shared" si="16"/>
        <v>10.119999999999999</v>
      </c>
      <c r="J82" s="18">
        <f t="shared" si="17"/>
        <v>0</v>
      </c>
      <c r="K82" s="18">
        <f t="shared" si="18"/>
        <v>0</v>
      </c>
      <c r="L82" s="18">
        <f t="shared" si="12"/>
        <v>72.010000000000005</v>
      </c>
      <c r="M82" s="18">
        <f t="shared" si="19"/>
        <v>0</v>
      </c>
      <c r="N82" s="18">
        <f t="shared" si="13"/>
        <v>72.010000000000005</v>
      </c>
      <c r="O82" s="8" t="s">
        <v>139</v>
      </c>
    </row>
    <row r="83" spans="1:15">
      <c r="A83" s="1" t="s">
        <v>73</v>
      </c>
      <c r="B83" s="11"/>
      <c r="C83" s="11">
        <v>1896000</v>
      </c>
      <c r="D83" s="11">
        <v>1900000</v>
      </c>
      <c r="E83" s="11">
        <v>0</v>
      </c>
      <c r="F83" s="11">
        <f t="shared" si="11"/>
        <v>4000</v>
      </c>
      <c r="G83" s="17">
        <f t="shared" si="14"/>
        <v>40.090000000000003</v>
      </c>
      <c r="H83" s="17">
        <f t="shared" si="15"/>
        <v>0</v>
      </c>
      <c r="I83" s="17">
        <f t="shared" si="16"/>
        <v>0</v>
      </c>
      <c r="J83" s="18">
        <f t="shared" si="17"/>
        <v>0</v>
      </c>
      <c r="K83" s="18">
        <f t="shared" si="18"/>
        <v>0</v>
      </c>
      <c r="L83" s="18">
        <f t="shared" si="12"/>
        <v>40.090000000000003</v>
      </c>
      <c r="M83" s="18">
        <f t="shared" si="19"/>
        <v>0</v>
      </c>
      <c r="N83" s="18">
        <f t="shared" si="13"/>
        <v>40.090000000000003</v>
      </c>
      <c r="O83" s="8"/>
    </row>
    <row r="84" spans="1:15">
      <c r="A84" s="1" t="s">
        <v>74</v>
      </c>
      <c r="B84" s="11" t="s">
        <v>138</v>
      </c>
      <c r="C84" s="11">
        <v>0</v>
      </c>
      <c r="D84" s="11">
        <v>0</v>
      </c>
      <c r="E84" s="11">
        <v>0</v>
      </c>
      <c r="F84" s="11">
        <f t="shared" si="11"/>
        <v>0</v>
      </c>
      <c r="G84" s="17">
        <f t="shared" si="14"/>
        <v>11.79</v>
      </c>
      <c r="H84" s="17">
        <f t="shared" si="15"/>
        <v>0</v>
      </c>
      <c r="I84" s="17">
        <f t="shared" si="16"/>
        <v>0</v>
      </c>
      <c r="J84" s="18">
        <f t="shared" si="17"/>
        <v>0</v>
      </c>
      <c r="K84" s="18">
        <f t="shared" si="18"/>
        <v>0</v>
      </c>
      <c r="L84" s="18">
        <f t="shared" si="12"/>
        <v>11.79</v>
      </c>
      <c r="M84" s="18">
        <f t="shared" si="19"/>
        <v>0</v>
      </c>
      <c r="N84" s="18">
        <f t="shared" si="13"/>
        <v>11.79</v>
      </c>
      <c r="O84" s="8"/>
    </row>
    <row r="85" spans="1:15">
      <c r="A85" s="1" t="s">
        <v>75</v>
      </c>
      <c r="B85" s="11"/>
      <c r="C85" s="11">
        <v>713000</v>
      </c>
      <c r="D85" s="11">
        <v>716000</v>
      </c>
      <c r="E85" s="11">
        <v>0</v>
      </c>
      <c r="F85" s="11">
        <f t="shared" si="11"/>
        <v>3000</v>
      </c>
      <c r="G85" s="17">
        <f t="shared" si="14"/>
        <v>40.090000000000003</v>
      </c>
      <c r="H85" s="17">
        <f t="shared" si="15"/>
        <v>0</v>
      </c>
      <c r="I85" s="17">
        <f t="shared" si="16"/>
        <v>0</v>
      </c>
      <c r="J85" s="18">
        <f t="shared" si="17"/>
        <v>0</v>
      </c>
      <c r="K85" s="18">
        <f t="shared" si="18"/>
        <v>0</v>
      </c>
      <c r="L85" s="18">
        <f t="shared" si="12"/>
        <v>40.090000000000003</v>
      </c>
      <c r="M85" s="18">
        <f t="shared" si="19"/>
        <v>0</v>
      </c>
      <c r="N85" s="18">
        <f t="shared" si="13"/>
        <v>40.090000000000003</v>
      </c>
      <c r="O85" s="8"/>
    </row>
    <row r="86" spans="1:15">
      <c r="A86" s="1" t="s">
        <v>76</v>
      </c>
      <c r="B86" s="11"/>
      <c r="C86" s="11">
        <v>51000</v>
      </c>
      <c r="D86" s="11">
        <v>83000</v>
      </c>
      <c r="E86" s="11">
        <v>0</v>
      </c>
      <c r="F86" s="11">
        <f t="shared" si="11"/>
        <v>32000</v>
      </c>
      <c r="G86" s="17">
        <f t="shared" si="14"/>
        <v>40.090000000000003</v>
      </c>
      <c r="H86" s="17">
        <f t="shared" si="15"/>
        <v>21.8</v>
      </c>
      <c r="I86" s="17">
        <f t="shared" si="16"/>
        <v>25.299999999999997</v>
      </c>
      <c r="J86" s="18">
        <f t="shared" si="17"/>
        <v>5.9</v>
      </c>
      <c r="K86" s="18">
        <f t="shared" si="18"/>
        <v>0</v>
      </c>
      <c r="L86" s="18">
        <f t="shared" si="12"/>
        <v>93.09</v>
      </c>
      <c r="M86" s="18">
        <f t="shared" si="19"/>
        <v>0</v>
      </c>
      <c r="N86" s="18">
        <f t="shared" si="13"/>
        <v>93.09</v>
      </c>
      <c r="O86" s="8" t="s">
        <v>139</v>
      </c>
    </row>
    <row r="87" spans="1:15">
      <c r="A87" s="1" t="s">
        <v>77</v>
      </c>
      <c r="B87" s="11"/>
      <c r="C87" s="11">
        <v>65000</v>
      </c>
      <c r="D87" s="11">
        <v>76000</v>
      </c>
      <c r="E87" s="11">
        <v>0</v>
      </c>
      <c r="F87" s="11">
        <f t="shared" si="11"/>
        <v>11000</v>
      </c>
      <c r="G87" s="17">
        <f t="shared" si="14"/>
        <v>40.090000000000003</v>
      </c>
      <c r="H87" s="17">
        <f t="shared" si="15"/>
        <v>2.1800000000000002</v>
      </c>
      <c r="I87" s="17">
        <f t="shared" si="16"/>
        <v>0</v>
      </c>
      <c r="J87" s="18">
        <f t="shared" si="17"/>
        <v>0</v>
      </c>
      <c r="K87" s="18">
        <f t="shared" si="18"/>
        <v>0</v>
      </c>
      <c r="L87" s="18">
        <f t="shared" si="12"/>
        <v>42.27</v>
      </c>
      <c r="M87" s="18">
        <f t="shared" si="19"/>
        <v>0</v>
      </c>
      <c r="N87" s="18">
        <f t="shared" si="13"/>
        <v>42.27</v>
      </c>
      <c r="O87" s="8"/>
    </row>
    <row r="88" spans="1:15">
      <c r="A88" s="1" t="s">
        <v>78</v>
      </c>
      <c r="B88" s="11"/>
      <c r="C88" s="11">
        <v>1114000</v>
      </c>
      <c r="D88" s="11">
        <v>1176000</v>
      </c>
      <c r="E88" s="11">
        <v>0</v>
      </c>
      <c r="F88" s="11">
        <f t="shared" si="11"/>
        <v>62000</v>
      </c>
      <c r="G88" s="17">
        <f t="shared" si="14"/>
        <v>40.090000000000003</v>
      </c>
      <c r="H88" s="17">
        <f t="shared" si="15"/>
        <v>21.8</v>
      </c>
      <c r="I88" s="17">
        <f t="shared" si="16"/>
        <v>25.299999999999997</v>
      </c>
      <c r="J88" s="18">
        <f t="shared" si="17"/>
        <v>29.5</v>
      </c>
      <c r="K88" s="18">
        <f t="shared" si="18"/>
        <v>75.239999999999995</v>
      </c>
      <c r="L88" s="18">
        <f t="shared" si="12"/>
        <v>191.93</v>
      </c>
      <c r="M88" s="18">
        <f t="shared" si="19"/>
        <v>66.406798892988931</v>
      </c>
      <c r="N88" s="18">
        <f t="shared" si="13"/>
        <v>258.33679889298895</v>
      </c>
      <c r="O88" s="8"/>
    </row>
    <row r="89" spans="1:15">
      <c r="A89" s="1" t="s">
        <v>79</v>
      </c>
      <c r="B89" s="11"/>
      <c r="C89" s="11">
        <v>3402000</v>
      </c>
      <c r="D89" s="11">
        <v>3412000</v>
      </c>
      <c r="E89" s="11">
        <v>0</v>
      </c>
      <c r="F89" s="11">
        <f t="shared" si="11"/>
        <v>10000</v>
      </c>
      <c r="G89" s="17">
        <f t="shared" si="14"/>
        <v>40.090000000000003</v>
      </c>
      <c r="H89" s="17">
        <f t="shared" si="15"/>
        <v>0</v>
      </c>
      <c r="I89" s="17">
        <f t="shared" si="16"/>
        <v>0</v>
      </c>
      <c r="J89" s="18">
        <f t="shared" si="17"/>
        <v>0</v>
      </c>
      <c r="K89" s="18">
        <f t="shared" si="18"/>
        <v>0</v>
      </c>
      <c r="L89" s="18">
        <f t="shared" si="12"/>
        <v>40.090000000000003</v>
      </c>
      <c r="M89" s="18">
        <f t="shared" si="19"/>
        <v>0</v>
      </c>
      <c r="N89" s="18">
        <f t="shared" si="13"/>
        <v>40.090000000000003</v>
      </c>
      <c r="O89" s="8"/>
    </row>
    <row r="90" spans="1:15">
      <c r="A90" s="1" t="s">
        <v>80</v>
      </c>
      <c r="B90" s="11"/>
      <c r="C90" s="11">
        <v>3004000</v>
      </c>
      <c r="D90" s="11">
        <v>3008000</v>
      </c>
      <c r="E90" s="11">
        <v>0</v>
      </c>
      <c r="F90" s="11">
        <f t="shared" si="11"/>
        <v>4000</v>
      </c>
      <c r="G90" s="17">
        <f t="shared" si="14"/>
        <v>40.090000000000003</v>
      </c>
      <c r="H90" s="17">
        <f t="shared" si="15"/>
        <v>0</v>
      </c>
      <c r="I90" s="17">
        <f t="shared" si="16"/>
        <v>0</v>
      </c>
      <c r="J90" s="18">
        <f t="shared" si="17"/>
        <v>0</v>
      </c>
      <c r="K90" s="18">
        <f t="shared" si="18"/>
        <v>0</v>
      </c>
      <c r="L90" s="18">
        <f t="shared" si="12"/>
        <v>40.090000000000003</v>
      </c>
      <c r="M90" s="18">
        <f t="shared" si="19"/>
        <v>0</v>
      </c>
      <c r="N90" s="18">
        <f t="shared" si="13"/>
        <v>40.090000000000003</v>
      </c>
      <c r="O90" s="8"/>
    </row>
    <row r="91" spans="1:15">
      <c r="A91" s="1" t="s">
        <v>81</v>
      </c>
      <c r="B91" s="11" t="s">
        <v>138</v>
      </c>
      <c r="C91" s="11">
        <v>0</v>
      </c>
      <c r="D91" s="11">
        <v>0</v>
      </c>
      <c r="E91" s="11">
        <v>0</v>
      </c>
      <c r="F91" s="11">
        <f t="shared" si="11"/>
        <v>0</v>
      </c>
      <c r="G91" s="17">
        <f t="shared" si="14"/>
        <v>11.79</v>
      </c>
      <c r="H91" s="17">
        <f t="shared" si="15"/>
        <v>0</v>
      </c>
      <c r="I91" s="17">
        <f t="shared" si="16"/>
        <v>0</v>
      </c>
      <c r="J91" s="18">
        <f t="shared" si="17"/>
        <v>0</v>
      </c>
      <c r="K91" s="18">
        <f t="shared" si="18"/>
        <v>0</v>
      </c>
      <c r="L91" s="18">
        <f t="shared" si="12"/>
        <v>11.79</v>
      </c>
      <c r="M91" s="18">
        <f t="shared" si="19"/>
        <v>0</v>
      </c>
      <c r="N91" s="18">
        <f t="shared" si="13"/>
        <v>11.79</v>
      </c>
      <c r="O91" s="8"/>
    </row>
    <row r="92" spans="1:15">
      <c r="A92" s="1" t="s">
        <v>82</v>
      </c>
      <c r="B92" s="11"/>
      <c r="C92" s="11">
        <v>3077000</v>
      </c>
      <c r="D92" s="11">
        <v>3138000</v>
      </c>
      <c r="E92" s="11">
        <v>0</v>
      </c>
      <c r="F92" s="11">
        <f t="shared" si="11"/>
        <v>61000</v>
      </c>
      <c r="G92" s="17">
        <f t="shared" si="14"/>
        <v>40.090000000000003</v>
      </c>
      <c r="H92" s="17">
        <f t="shared" si="15"/>
        <v>21.8</v>
      </c>
      <c r="I92" s="17">
        <f t="shared" si="16"/>
        <v>25.299999999999997</v>
      </c>
      <c r="J92" s="18">
        <f t="shared" si="17"/>
        <v>29.5</v>
      </c>
      <c r="K92" s="18">
        <f t="shared" si="18"/>
        <v>71.819999999999993</v>
      </c>
      <c r="L92" s="18">
        <f t="shared" si="12"/>
        <v>188.51</v>
      </c>
      <c r="M92" s="18">
        <f t="shared" si="19"/>
        <v>63.947287822878238</v>
      </c>
      <c r="N92" s="18">
        <f t="shared" si="13"/>
        <v>252.45728782287824</v>
      </c>
      <c r="O92" s="8"/>
    </row>
    <row r="93" spans="1:15">
      <c r="A93" s="1" t="s">
        <v>83</v>
      </c>
      <c r="B93" s="11"/>
      <c r="C93" s="11">
        <v>7410000</v>
      </c>
      <c r="D93" s="11">
        <v>7481000</v>
      </c>
      <c r="E93" s="11">
        <v>0</v>
      </c>
      <c r="F93" s="11">
        <f t="shared" si="11"/>
        <v>71000</v>
      </c>
      <c r="G93" s="17">
        <f t="shared" si="14"/>
        <v>40.090000000000003</v>
      </c>
      <c r="H93" s="17">
        <f t="shared" si="15"/>
        <v>21.8</v>
      </c>
      <c r="I93" s="17">
        <f t="shared" si="16"/>
        <v>25.299999999999997</v>
      </c>
      <c r="J93" s="18">
        <f t="shared" si="17"/>
        <v>29.5</v>
      </c>
      <c r="K93" s="18">
        <f t="shared" si="18"/>
        <v>106.02</v>
      </c>
      <c r="L93" s="18">
        <f t="shared" si="12"/>
        <v>222.70999999999998</v>
      </c>
      <c r="M93" s="18">
        <f t="shared" si="19"/>
        <v>88.542398523985241</v>
      </c>
      <c r="N93" s="18">
        <f t="shared" si="13"/>
        <v>311.25239852398522</v>
      </c>
      <c r="O93" s="8"/>
    </row>
    <row r="94" spans="1:15">
      <c r="A94" s="1" t="s">
        <v>84</v>
      </c>
      <c r="B94" s="11"/>
      <c r="C94" s="11">
        <v>2964000</v>
      </c>
      <c r="D94" s="11">
        <v>2971000</v>
      </c>
      <c r="E94" s="11">
        <v>0</v>
      </c>
      <c r="F94" s="11">
        <f t="shared" si="11"/>
        <v>7000</v>
      </c>
      <c r="G94" s="17">
        <f t="shared" si="14"/>
        <v>40.090000000000003</v>
      </c>
      <c r="H94" s="17">
        <f t="shared" si="15"/>
        <v>0</v>
      </c>
      <c r="I94" s="17">
        <f t="shared" si="16"/>
        <v>0</v>
      </c>
      <c r="J94" s="18">
        <f t="shared" si="17"/>
        <v>0</v>
      </c>
      <c r="K94" s="18">
        <f t="shared" si="18"/>
        <v>0</v>
      </c>
      <c r="L94" s="18">
        <f t="shared" si="12"/>
        <v>40.090000000000003</v>
      </c>
      <c r="M94" s="18">
        <f t="shared" si="19"/>
        <v>0</v>
      </c>
      <c r="N94" s="18">
        <f t="shared" si="13"/>
        <v>40.090000000000003</v>
      </c>
      <c r="O94" s="8"/>
    </row>
    <row r="95" spans="1:15">
      <c r="A95" s="1" t="s">
        <v>85</v>
      </c>
      <c r="B95" s="11"/>
      <c r="C95" s="11">
        <v>1948000</v>
      </c>
      <c r="D95" s="11">
        <v>1972000</v>
      </c>
      <c r="E95" s="11">
        <v>0</v>
      </c>
      <c r="F95" s="11">
        <f t="shared" si="11"/>
        <v>24000</v>
      </c>
      <c r="G95" s="17">
        <f t="shared" si="14"/>
        <v>40.090000000000003</v>
      </c>
      <c r="H95" s="17">
        <f t="shared" si="15"/>
        <v>21.8</v>
      </c>
      <c r="I95" s="17">
        <f t="shared" si="16"/>
        <v>10.119999999999999</v>
      </c>
      <c r="J95" s="18">
        <f t="shared" si="17"/>
        <v>0</v>
      </c>
      <c r="K95" s="18">
        <f t="shared" si="18"/>
        <v>0</v>
      </c>
      <c r="L95" s="18">
        <f t="shared" si="12"/>
        <v>72.010000000000005</v>
      </c>
      <c r="M95" s="18">
        <f t="shared" si="19"/>
        <v>0</v>
      </c>
      <c r="N95" s="18">
        <f t="shared" si="13"/>
        <v>72.010000000000005</v>
      </c>
      <c r="O95" s="8"/>
    </row>
    <row r="96" spans="1:15">
      <c r="A96" s="1" t="s">
        <v>86</v>
      </c>
      <c r="B96" s="11"/>
      <c r="C96" s="11">
        <v>1817000</v>
      </c>
      <c r="D96" s="11">
        <v>1824000</v>
      </c>
      <c r="E96" s="11">
        <v>0</v>
      </c>
      <c r="F96" s="11">
        <f t="shared" si="11"/>
        <v>7000</v>
      </c>
      <c r="G96" s="17">
        <f t="shared" si="14"/>
        <v>40.090000000000003</v>
      </c>
      <c r="H96" s="17">
        <f t="shared" si="15"/>
        <v>0</v>
      </c>
      <c r="I96" s="17">
        <f t="shared" si="16"/>
        <v>0</v>
      </c>
      <c r="J96" s="18">
        <f t="shared" si="17"/>
        <v>0</v>
      </c>
      <c r="K96" s="18">
        <f t="shared" si="18"/>
        <v>0</v>
      </c>
      <c r="L96" s="18">
        <f t="shared" si="12"/>
        <v>40.090000000000003</v>
      </c>
      <c r="M96" s="18">
        <f t="shared" si="19"/>
        <v>0</v>
      </c>
      <c r="N96" s="18">
        <f t="shared" si="13"/>
        <v>40.090000000000003</v>
      </c>
      <c r="O96" s="8"/>
    </row>
    <row r="97" spans="1:15">
      <c r="A97" s="1" t="s">
        <v>87</v>
      </c>
      <c r="B97" s="11" t="s">
        <v>138</v>
      </c>
      <c r="C97" s="11">
        <v>0</v>
      </c>
      <c r="D97" s="11">
        <v>0</v>
      </c>
      <c r="E97" s="11">
        <v>0</v>
      </c>
      <c r="F97" s="11">
        <f t="shared" si="11"/>
        <v>0</v>
      </c>
      <c r="G97" s="17">
        <f t="shared" si="14"/>
        <v>11.79</v>
      </c>
      <c r="H97" s="17">
        <f t="shared" si="15"/>
        <v>0</v>
      </c>
      <c r="I97" s="17">
        <f t="shared" si="16"/>
        <v>0</v>
      </c>
      <c r="J97" s="18">
        <f t="shared" si="17"/>
        <v>0</v>
      </c>
      <c r="K97" s="18">
        <f t="shared" si="18"/>
        <v>0</v>
      </c>
      <c r="L97" s="18">
        <f t="shared" si="12"/>
        <v>11.79</v>
      </c>
      <c r="M97" s="18">
        <f t="shared" si="19"/>
        <v>0</v>
      </c>
      <c r="N97" s="18">
        <f t="shared" si="13"/>
        <v>11.79</v>
      </c>
      <c r="O97" s="8"/>
    </row>
    <row r="98" spans="1:15">
      <c r="A98" s="1" t="s">
        <v>88</v>
      </c>
      <c r="B98" s="11"/>
      <c r="C98" s="11">
        <v>1216000</v>
      </c>
      <c r="D98" s="11">
        <v>1221000</v>
      </c>
      <c r="E98" s="11">
        <v>0</v>
      </c>
      <c r="F98" s="11">
        <f t="shared" si="11"/>
        <v>5000</v>
      </c>
      <c r="G98" s="17">
        <f t="shared" si="14"/>
        <v>40.090000000000003</v>
      </c>
      <c r="H98" s="17">
        <f t="shared" si="15"/>
        <v>0</v>
      </c>
      <c r="I98" s="17">
        <f t="shared" si="16"/>
        <v>0</v>
      </c>
      <c r="J98" s="18">
        <f t="shared" si="17"/>
        <v>0</v>
      </c>
      <c r="K98" s="18">
        <f t="shared" si="18"/>
        <v>0</v>
      </c>
      <c r="L98" s="18">
        <f t="shared" si="12"/>
        <v>40.090000000000003</v>
      </c>
      <c r="M98" s="18">
        <f t="shared" si="19"/>
        <v>0</v>
      </c>
      <c r="N98" s="18">
        <f t="shared" si="13"/>
        <v>40.090000000000003</v>
      </c>
      <c r="O98" s="8"/>
    </row>
    <row r="99" spans="1:15">
      <c r="A99" s="1" t="s">
        <v>89</v>
      </c>
      <c r="B99" s="11"/>
      <c r="C99" s="11">
        <v>2132000</v>
      </c>
      <c r="D99" s="11">
        <v>2178000</v>
      </c>
      <c r="E99" s="11">
        <v>0</v>
      </c>
      <c r="F99" s="11">
        <f t="shared" si="11"/>
        <v>46000</v>
      </c>
      <c r="G99" s="17">
        <f t="shared" si="14"/>
        <v>40.090000000000003</v>
      </c>
      <c r="H99" s="17">
        <f t="shared" si="15"/>
        <v>21.8</v>
      </c>
      <c r="I99" s="17">
        <f t="shared" si="16"/>
        <v>25.299999999999997</v>
      </c>
      <c r="J99" s="18">
        <f t="shared" si="17"/>
        <v>29.5</v>
      </c>
      <c r="K99" s="18">
        <f t="shared" si="18"/>
        <v>20.52</v>
      </c>
      <c r="L99" s="18">
        <f t="shared" si="12"/>
        <v>137.21</v>
      </c>
      <c r="M99" s="18">
        <f t="shared" si="19"/>
        <v>27.054621771217711</v>
      </c>
      <c r="N99" s="18">
        <f t="shared" si="13"/>
        <v>164.26462177121772</v>
      </c>
      <c r="O99" s="8"/>
    </row>
    <row r="100" spans="1:15">
      <c r="A100" s="1" t="s">
        <v>90</v>
      </c>
      <c r="B100" s="11"/>
      <c r="C100" s="11">
        <v>1216000</v>
      </c>
      <c r="D100" s="11">
        <v>1220000</v>
      </c>
      <c r="E100" s="11">
        <v>0</v>
      </c>
      <c r="F100" s="11">
        <f t="shared" si="11"/>
        <v>4000</v>
      </c>
      <c r="G100" s="17">
        <f t="shared" si="14"/>
        <v>40.090000000000003</v>
      </c>
      <c r="H100" s="17">
        <f t="shared" si="15"/>
        <v>0</v>
      </c>
      <c r="I100" s="17">
        <f t="shared" si="16"/>
        <v>0</v>
      </c>
      <c r="J100" s="18">
        <f t="shared" si="17"/>
        <v>0</v>
      </c>
      <c r="K100" s="18">
        <f t="shared" si="18"/>
        <v>0</v>
      </c>
      <c r="L100" s="18">
        <f t="shared" si="12"/>
        <v>40.090000000000003</v>
      </c>
      <c r="M100" s="18">
        <f t="shared" si="19"/>
        <v>0</v>
      </c>
      <c r="N100" s="18">
        <f t="shared" si="13"/>
        <v>40.090000000000003</v>
      </c>
      <c r="O100" s="8"/>
    </row>
    <row r="101" spans="1:15">
      <c r="A101" s="1" t="s">
        <v>91</v>
      </c>
      <c r="B101" s="11"/>
      <c r="C101" s="11">
        <v>224800</v>
      </c>
      <c r="D101" s="11">
        <v>230700</v>
      </c>
      <c r="E101" s="11">
        <v>0</v>
      </c>
      <c r="F101" s="11">
        <f t="shared" si="11"/>
        <v>5900</v>
      </c>
      <c r="G101" s="17">
        <f t="shared" si="14"/>
        <v>40.090000000000003</v>
      </c>
      <c r="H101" s="17">
        <f t="shared" si="15"/>
        <v>0</v>
      </c>
      <c r="I101" s="17">
        <f t="shared" si="16"/>
        <v>0</v>
      </c>
      <c r="J101" s="18">
        <f t="shared" si="17"/>
        <v>0</v>
      </c>
      <c r="K101" s="18">
        <f t="shared" si="18"/>
        <v>0</v>
      </c>
      <c r="L101" s="18">
        <f t="shared" si="12"/>
        <v>40.090000000000003</v>
      </c>
      <c r="M101" s="18">
        <f t="shared" si="19"/>
        <v>0</v>
      </c>
      <c r="N101" s="18">
        <f t="shared" si="13"/>
        <v>40.090000000000003</v>
      </c>
      <c r="O101" s="8"/>
    </row>
    <row r="102" spans="1:15">
      <c r="A102" s="1" t="s">
        <v>92</v>
      </c>
      <c r="B102" s="11"/>
      <c r="C102" s="11">
        <v>2498000</v>
      </c>
      <c r="D102" s="11">
        <v>2502000</v>
      </c>
      <c r="E102" s="11">
        <v>0</v>
      </c>
      <c r="F102" s="11">
        <f t="shared" si="11"/>
        <v>4000</v>
      </c>
      <c r="G102" s="17">
        <f t="shared" si="14"/>
        <v>40.090000000000003</v>
      </c>
      <c r="H102" s="17">
        <f t="shared" si="15"/>
        <v>0</v>
      </c>
      <c r="I102" s="17">
        <f t="shared" si="16"/>
        <v>0</v>
      </c>
      <c r="J102" s="18">
        <f t="shared" si="17"/>
        <v>0</v>
      </c>
      <c r="K102" s="18">
        <f t="shared" si="18"/>
        <v>0</v>
      </c>
      <c r="L102" s="18">
        <f t="shared" si="12"/>
        <v>40.090000000000003</v>
      </c>
      <c r="M102" s="18">
        <f t="shared" si="19"/>
        <v>0</v>
      </c>
      <c r="N102" s="18">
        <f t="shared" si="13"/>
        <v>40.090000000000003</v>
      </c>
      <c r="O102" s="8"/>
    </row>
    <row r="103" spans="1:15">
      <c r="A103" s="1" t="s">
        <v>93</v>
      </c>
      <c r="B103" s="11" t="s">
        <v>138</v>
      </c>
      <c r="C103" s="11">
        <v>0</v>
      </c>
      <c r="D103" s="11">
        <v>0</v>
      </c>
      <c r="E103" s="11">
        <v>0</v>
      </c>
      <c r="F103" s="11">
        <f t="shared" si="11"/>
        <v>0</v>
      </c>
      <c r="G103" s="17">
        <f t="shared" si="14"/>
        <v>11.79</v>
      </c>
      <c r="H103" s="17">
        <f t="shared" si="15"/>
        <v>0</v>
      </c>
      <c r="I103" s="17">
        <f t="shared" si="16"/>
        <v>0</v>
      </c>
      <c r="J103" s="18">
        <f t="shared" si="17"/>
        <v>0</v>
      </c>
      <c r="K103" s="18">
        <f t="shared" si="18"/>
        <v>0</v>
      </c>
      <c r="L103" s="18">
        <f t="shared" si="12"/>
        <v>11.79</v>
      </c>
      <c r="M103" s="18">
        <f t="shared" si="19"/>
        <v>0</v>
      </c>
      <c r="N103" s="18">
        <f t="shared" si="13"/>
        <v>11.79</v>
      </c>
      <c r="O103" s="8"/>
    </row>
    <row r="104" spans="1:15">
      <c r="A104" s="1" t="s">
        <v>94</v>
      </c>
      <c r="B104" s="11" t="s">
        <v>138</v>
      </c>
      <c r="C104" s="11">
        <v>0</v>
      </c>
      <c r="D104" s="11">
        <v>0</v>
      </c>
      <c r="E104" s="11">
        <v>0</v>
      </c>
      <c r="F104" s="11">
        <f t="shared" si="11"/>
        <v>0</v>
      </c>
      <c r="G104" s="17">
        <f t="shared" si="14"/>
        <v>11.79</v>
      </c>
      <c r="H104" s="17">
        <f t="shared" si="15"/>
        <v>0</v>
      </c>
      <c r="I104" s="17">
        <f t="shared" si="16"/>
        <v>0</v>
      </c>
      <c r="J104" s="18">
        <f t="shared" si="17"/>
        <v>0</v>
      </c>
      <c r="K104" s="18">
        <f t="shared" si="18"/>
        <v>0</v>
      </c>
      <c r="L104" s="18">
        <f t="shared" si="12"/>
        <v>11.79</v>
      </c>
      <c r="M104" s="18">
        <f t="shared" si="19"/>
        <v>0</v>
      </c>
      <c r="N104" s="18">
        <f t="shared" si="13"/>
        <v>11.79</v>
      </c>
      <c r="O104" s="8"/>
    </row>
    <row r="105" spans="1:15">
      <c r="A105" s="1" t="s">
        <v>95</v>
      </c>
      <c r="B105" s="11" t="s">
        <v>138</v>
      </c>
      <c r="C105" s="11">
        <v>0</v>
      </c>
      <c r="D105" s="11">
        <v>0</v>
      </c>
      <c r="E105" s="11">
        <v>0</v>
      </c>
      <c r="F105" s="11">
        <f t="shared" si="11"/>
        <v>0</v>
      </c>
      <c r="G105" s="17">
        <f t="shared" si="14"/>
        <v>11.79</v>
      </c>
      <c r="H105" s="17">
        <f t="shared" si="15"/>
        <v>0</v>
      </c>
      <c r="I105" s="17">
        <f t="shared" si="16"/>
        <v>0</v>
      </c>
      <c r="J105" s="18">
        <f t="shared" si="17"/>
        <v>0</v>
      </c>
      <c r="K105" s="18">
        <f t="shared" si="18"/>
        <v>0</v>
      </c>
      <c r="L105" s="18">
        <f t="shared" si="12"/>
        <v>11.79</v>
      </c>
      <c r="M105" s="18">
        <f t="shared" si="19"/>
        <v>0</v>
      </c>
      <c r="N105" s="18">
        <f t="shared" si="13"/>
        <v>11.79</v>
      </c>
      <c r="O105" s="8"/>
    </row>
    <row r="106" spans="1:15">
      <c r="A106" s="1" t="s">
        <v>96</v>
      </c>
      <c r="B106" s="11"/>
      <c r="C106" s="11">
        <v>1790000</v>
      </c>
      <c r="D106" s="11">
        <v>1808000</v>
      </c>
      <c r="E106" s="11">
        <v>0</v>
      </c>
      <c r="F106" s="11">
        <f t="shared" si="11"/>
        <v>18000</v>
      </c>
      <c r="G106" s="17">
        <f t="shared" si="14"/>
        <v>40.090000000000003</v>
      </c>
      <c r="H106" s="17">
        <f t="shared" si="15"/>
        <v>17.440000000000001</v>
      </c>
      <c r="I106" s="17">
        <f t="shared" si="16"/>
        <v>0</v>
      </c>
      <c r="J106" s="18">
        <f t="shared" si="17"/>
        <v>0</v>
      </c>
      <c r="K106" s="18">
        <f t="shared" si="18"/>
        <v>0</v>
      </c>
      <c r="L106" s="18">
        <f t="shared" si="12"/>
        <v>57.53</v>
      </c>
      <c r="M106" s="18">
        <f t="shared" si="19"/>
        <v>0</v>
      </c>
      <c r="N106" s="18">
        <f t="shared" si="13"/>
        <v>57.53</v>
      </c>
      <c r="O106" s="8"/>
    </row>
    <row r="107" spans="1:15">
      <c r="A107" s="1" t="s">
        <v>97</v>
      </c>
      <c r="B107" s="11" t="s">
        <v>138</v>
      </c>
      <c r="C107" s="11">
        <v>0</v>
      </c>
      <c r="D107" s="11">
        <v>0</v>
      </c>
      <c r="E107" s="11">
        <v>0</v>
      </c>
      <c r="F107" s="11">
        <f t="shared" si="11"/>
        <v>0</v>
      </c>
      <c r="G107" s="17">
        <f t="shared" si="14"/>
        <v>11.79</v>
      </c>
      <c r="H107" s="17">
        <f t="shared" si="15"/>
        <v>0</v>
      </c>
      <c r="I107" s="17">
        <f t="shared" si="16"/>
        <v>0</v>
      </c>
      <c r="J107" s="18">
        <f t="shared" si="17"/>
        <v>0</v>
      </c>
      <c r="K107" s="18">
        <f t="shared" si="18"/>
        <v>0</v>
      </c>
      <c r="L107" s="18">
        <f t="shared" si="12"/>
        <v>11.79</v>
      </c>
      <c r="M107" s="18">
        <f t="shared" si="19"/>
        <v>0</v>
      </c>
      <c r="N107" s="18">
        <f t="shared" si="13"/>
        <v>11.79</v>
      </c>
      <c r="O107" s="8"/>
    </row>
    <row r="108" spans="1:15">
      <c r="A108" s="1" t="s">
        <v>98</v>
      </c>
      <c r="B108" s="11" t="s">
        <v>138</v>
      </c>
      <c r="C108" s="11">
        <v>0</v>
      </c>
      <c r="D108" s="11">
        <v>0</v>
      </c>
      <c r="E108" s="11">
        <v>0</v>
      </c>
      <c r="F108" s="11">
        <f t="shared" si="11"/>
        <v>0</v>
      </c>
      <c r="G108" s="17">
        <f t="shared" si="14"/>
        <v>11.79</v>
      </c>
      <c r="H108" s="17">
        <f t="shared" si="15"/>
        <v>0</v>
      </c>
      <c r="I108" s="17">
        <f t="shared" si="16"/>
        <v>0</v>
      </c>
      <c r="J108" s="18">
        <f t="shared" si="17"/>
        <v>0</v>
      </c>
      <c r="K108" s="18">
        <f t="shared" si="18"/>
        <v>0</v>
      </c>
      <c r="L108" s="18">
        <f t="shared" si="12"/>
        <v>11.79</v>
      </c>
      <c r="M108" s="18">
        <f t="shared" si="19"/>
        <v>0</v>
      </c>
      <c r="N108" s="18">
        <f t="shared" si="13"/>
        <v>11.79</v>
      </c>
      <c r="O108" s="8"/>
    </row>
    <row r="109" spans="1:15">
      <c r="A109" s="1" t="s">
        <v>99</v>
      </c>
      <c r="B109" s="11"/>
      <c r="C109" s="11">
        <v>1639000</v>
      </c>
      <c r="D109" s="11">
        <v>1648000</v>
      </c>
      <c r="E109" s="11">
        <v>0</v>
      </c>
      <c r="F109" s="11">
        <f t="shared" si="11"/>
        <v>9000</v>
      </c>
      <c r="G109" s="17">
        <f t="shared" si="14"/>
        <v>40.090000000000003</v>
      </c>
      <c r="H109" s="17">
        <f t="shared" si="15"/>
        <v>0</v>
      </c>
      <c r="I109" s="17">
        <f t="shared" si="16"/>
        <v>0</v>
      </c>
      <c r="J109" s="18">
        <f t="shared" si="17"/>
        <v>0</v>
      </c>
      <c r="K109" s="18">
        <f t="shared" si="18"/>
        <v>0</v>
      </c>
      <c r="L109" s="18">
        <f t="shared" si="12"/>
        <v>40.090000000000003</v>
      </c>
      <c r="M109" s="18">
        <f t="shared" si="19"/>
        <v>0</v>
      </c>
      <c r="N109" s="18">
        <f t="shared" si="13"/>
        <v>40.090000000000003</v>
      </c>
      <c r="O109" s="8"/>
    </row>
    <row r="110" spans="1:15">
      <c r="A110" s="1" t="s">
        <v>100</v>
      </c>
      <c r="B110" s="11"/>
      <c r="C110" s="11">
        <v>492000</v>
      </c>
      <c r="D110" s="11">
        <v>497000</v>
      </c>
      <c r="E110" s="11">
        <v>0</v>
      </c>
      <c r="F110" s="11">
        <f t="shared" si="11"/>
        <v>5000</v>
      </c>
      <c r="G110" s="17">
        <f t="shared" si="14"/>
        <v>40.090000000000003</v>
      </c>
      <c r="H110" s="17">
        <f t="shared" si="15"/>
        <v>0</v>
      </c>
      <c r="I110" s="17">
        <f t="shared" si="16"/>
        <v>0</v>
      </c>
      <c r="J110" s="18">
        <f t="shared" si="17"/>
        <v>0</v>
      </c>
      <c r="K110" s="18">
        <f t="shared" si="18"/>
        <v>0</v>
      </c>
      <c r="L110" s="18">
        <f t="shared" si="12"/>
        <v>40.090000000000003</v>
      </c>
      <c r="M110" s="18">
        <f t="shared" si="19"/>
        <v>0</v>
      </c>
      <c r="N110" s="18">
        <f t="shared" si="13"/>
        <v>40.090000000000003</v>
      </c>
      <c r="O110" s="8"/>
    </row>
    <row r="111" spans="1:15">
      <c r="A111" s="1" t="s">
        <v>101</v>
      </c>
      <c r="B111" s="11"/>
      <c r="C111" s="11">
        <v>4475000</v>
      </c>
      <c r="D111" s="11">
        <v>4504000</v>
      </c>
      <c r="E111" s="11">
        <v>0</v>
      </c>
      <c r="F111" s="11">
        <f t="shared" si="11"/>
        <v>29000</v>
      </c>
      <c r="G111" s="17">
        <f t="shared" si="14"/>
        <v>40.090000000000003</v>
      </c>
      <c r="H111" s="17">
        <f t="shared" si="15"/>
        <v>21.8</v>
      </c>
      <c r="I111" s="17">
        <f t="shared" si="16"/>
        <v>22.77</v>
      </c>
      <c r="J111" s="18">
        <f t="shared" si="17"/>
        <v>0</v>
      </c>
      <c r="K111" s="18">
        <f t="shared" si="18"/>
        <v>0</v>
      </c>
      <c r="L111" s="18">
        <f t="shared" si="12"/>
        <v>84.66</v>
      </c>
      <c r="M111" s="18">
        <f t="shared" si="19"/>
        <v>0</v>
      </c>
      <c r="N111" s="18">
        <f t="shared" si="13"/>
        <v>84.66</v>
      </c>
      <c r="O111" s="8"/>
    </row>
    <row r="112" spans="1:15">
      <c r="A112" s="1" t="s">
        <v>102</v>
      </c>
      <c r="B112" s="11" t="s">
        <v>138</v>
      </c>
      <c r="C112" s="11">
        <v>0</v>
      </c>
      <c r="D112" s="11">
        <v>0</v>
      </c>
      <c r="E112" s="11">
        <v>0</v>
      </c>
      <c r="F112" s="11">
        <f t="shared" si="11"/>
        <v>0</v>
      </c>
      <c r="G112" s="17">
        <f t="shared" si="14"/>
        <v>11.79</v>
      </c>
      <c r="H112" s="17">
        <f t="shared" si="15"/>
        <v>0</v>
      </c>
      <c r="I112" s="17">
        <f t="shared" si="16"/>
        <v>0</v>
      </c>
      <c r="J112" s="18">
        <f t="shared" si="17"/>
        <v>0</v>
      </c>
      <c r="K112" s="18">
        <f t="shared" si="18"/>
        <v>0</v>
      </c>
      <c r="L112" s="18">
        <f t="shared" si="12"/>
        <v>11.79</v>
      </c>
      <c r="M112" s="18">
        <f t="shared" si="19"/>
        <v>0</v>
      </c>
      <c r="N112" s="18">
        <f t="shared" si="13"/>
        <v>11.79</v>
      </c>
      <c r="O112" s="8"/>
    </row>
    <row r="113" spans="1:15">
      <c r="A113" s="1" t="s">
        <v>103</v>
      </c>
      <c r="B113" s="11"/>
      <c r="C113" s="11">
        <v>1105000</v>
      </c>
      <c r="D113" s="11">
        <v>1137000</v>
      </c>
      <c r="E113" s="11">
        <v>0</v>
      </c>
      <c r="F113" s="11">
        <f t="shared" si="11"/>
        <v>32000</v>
      </c>
      <c r="G113" s="17">
        <f t="shared" ref="G113:G136" si="20">IF(OR($F113&gt;0,$B113=""),40.09,11.79)</f>
        <v>40.090000000000003</v>
      </c>
      <c r="H113" s="17">
        <f t="shared" si="15"/>
        <v>21.8</v>
      </c>
      <c r="I113" s="17">
        <f t="shared" si="16"/>
        <v>25.299999999999997</v>
      </c>
      <c r="J113" s="18">
        <f t="shared" si="17"/>
        <v>5.9</v>
      </c>
      <c r="K113" s="18">
        <f t="shared" si="18"/>
        <v>0</v>
      </c>
      <c r="L113" s="18">
        <f t="shared" si="12"/>
        <v>93.09</v>
      </c>
      <c r="M113" s="18">
        <f t="shared" ref="M113:M136" si="21">IF(   $H$5=1,    IF((F113-$H$6)&gt;0,((F113-$H$6)/$N$7)*$E$8,0),   IF(F113&gt;0,(F113/$N$4)*$E$8,0)    )</f>
        <v>0</v>
      </c>
      <c r="N113" s="18">
        <f t="shared" si="13"/>
        <v>93.09</v>
      </c>
      <c r="O113" s="8"/>
    </row>
    <row r="114" spans="1:15">
      <c r="A114" s="1" t="s">
        <v>104</v>
      </c>
      <c r="B114" s="11" t="s">
        <v>138</v>
      </c>
      <c r="C114" s="11">
        <v>0</v>
      </c>
      <c r="D114" s="11">
        <v>0</v>
      </c>
      <c r="E114" s="11">
        <v>0</v>
      </c>
      <c r="F114" s="11">
        <f t="shared" si="11"/>
        <v>0</v>
      </c>
      <c r="G114" s="17">
        <f t="shared" si="20"/>
        <v>11.79</v>
      </c>
      <c r="H114" s="17">
        <f t="shared" si="15"/>
        <v>0</v>
      </c>
      <c r="I114" s="17">
        <f t="shared" si="16"/>
        <v>0</v>
      </c>
      <c r="J114" s="18">
        <f t="shared" si="17"/>
        <v>0</v>
      </c>
      <c r="K114" s="18">
        <f t="shared" si="18"/>
        <v>0</v>
      </c>
      <c r="L114" s="18">
        <f t="shared" si="12"/>
        <v>11.79</v>
      </c>
      <c r="M114" s="18">
        <f t="shared" si="21"/>
        <v>0</v>
      </c>
      <c r="N114" s="18">
        <f t="shared" si="13"/>
        <v>11.79</v>
      </c>
      <c r="O114" s="8"/>
    </row>
    <row r="115" spans="1:15">
      <c r="A115" s="1" t="s">
        <v>105</v>
      </c>
      <c r="B115" s="11"/>
      <c r="C115" s="11">
        <v>1338000</v>
      </c>
      <c r="D115" s="11">
        <v>1387000</v>
      </c>
      <c r="E115" s="11">
        <v>0</v>
      </c>
      <c r="F115" s="11">
        <f t="shared" si="11"/>
        <v>49000</v>
      </c>
      <c r="G115" s="17">
        <f t="shared" si="20"/>
        <v>40.090000000000003</v>
      </c>
      <c r="H115" s="17">
        <f t="shared" si="15"/>
        <v>21.8</v>
      </c>
      <c r="I115" s="17">
        <f t="shared" si="16"/>
        <v>25.299999999999997</v>
      </c>
      <c r="J115" s="18">
        <f t="shared" si="17"/>
        <v>29.5</v>
      </c>
      <c r="K115" s="18">
        <f t="shared" si="18"/>
        <v>30.78</v>
      </c>
      <c r="L115" s="18">
        <f t="shared" si="12"/>
        <v>147.47</v>
      </c>
      <c r="M115" s="18">
        <f t="shared" si="21"/>
        <v>34.433154981549819</v>
      </c>
      <c r="N115" s="18">
        <f t="shared" si="13"/>
        <v>181.90315498154982</v>
      </c>
      <c r="O115" s="8"/>
    </row>
    <row r="116" spans="1:15">
      <c r="A116" s="1" t="s">
        <v>106</v>
      </c>
      <c r="B116" s="11"/>
      <c r="C116" s="11">
        <v>1783000</v>
      </c>
      <c r="D116" s="11">
        <v>1785000</v>
      </c>
      <c r="E116" s="11">
        <v>0</v>
      </c>
      <c r="F116" s="11">
        <f t="shared" si="11"/>
        <v>2000</v>
      </c>
      <c r="G116" s="17">
        <f t="shared" si="20"/>
        <v>40.090000000000003</v>
      </c>
      <c r="H116" s="17">
        <f t="shared" si="15"/>
        <v>0</v>
      </c>
      <c r="I116" s="17">
        <f t="shared" si="16"/>
        <v>0</v>
      </c>
      <c r="J116" s="18">
        <f t="shared" si="17"/>
        <v>0</v>
      </c>
      <c r="K116" s="18">
        <f t="shared" si="18"/>
        <v>0</v>
      </c>
      <c r="L116" s="18">
        <f t="shared" si="12"/>
        <v>40.090000000000003</v>
      </c>
      <c r="M116" s="18">
        <f t="shared" si="21"/>
        <v>0</v>
      </c>
      <c r="N116" s="18">
        <f t="shared" si="13"/>
        <v>40.090000000000003</v>
      </c>
      <c r="O116" s="8"/>
    </row>
    <row r="117" spans="1:15">
      <c r="A117" s="1" t="s">
        <v>107</v>
      </c>
      <c r="B117" s="11"/>
      <c r="C117" s="11">
        <v>312000</v>
      </c>
      <c r="D117" s="11">
        <v>314000</v>
      </c>
      <c r="E117" s="11">
        <v>0</v>
      </c>
      <c r="F117" s="11">
        <f t="shared" si="11"/>
        <v>2000</v>
      </c>
      <c r="G117" s="17">
        <f t="shared" si="20"/>
        <v>40.090000000000003</v>
      </c>
      <c r="H117" s="17">
        <f t="shared" si="15"/>
        <v>0</v>
      </c>
      <c r="I117" s="17">
        <f t="shared" si="16"/>
        <v>0</v>
      </c>
      <c r="J117" s="18">
        <f t="shared" si="17"/>
        <v>0</v>
      </c>
      <c r="K117" s="18">
        <f t="shared" si="18"/>
        <v>0</v>
      </c>
      <c r="L117" s="18">
        <f t="shared" si="12"/>
        <v>40.090000000000003</v>
      </c>
      <c r="M117" s="18">
        <f t="shared" si="21"/>
        <v>0</v>
      </c>
      <c r="N117" s="18">
        <f t="shared" si="13"/>
        <v>40.090000000000003</v>
      </c>
      <c r="O117" s="8"/>
    </row>
    <row r="118" spans="1:15">
      <c r="A118" s="1" t="s">
        <v>108</v>
      </c>
      <c r="B118" s="11"/>
      <c r="C118" s="11">
        <v>2511000</v>
      </c>
      <c r="D118" s="11">
        <v>2540000</v>
      </c>
      <c r="E118" s="11">
        <v>0</v>
      </c>
      <c r="F118" s="11">
        <f t="shared" si="11"/>
        <v>29000</v>
      </c>
      <c r="G118" s="17">
        <f t="shared" si="20"/>
        <v>40.090000000000003</v>
      </c>
      <c r="H118" s="17">
        <f t="shared" si="15"/>
        <v>21.8</v>
      </c>
      <c r="I118" s="17">
        <f t="shared" si="16"/>
        <v>22.77</v>
      </c>
      <c r="J118" s="18">
        <f t="shared" si="17"/>
        <v>0</v>
      </c>
      <c r="K118" s="18">
        <f t="shared" si="18"/>
        <v>0</v>
      </c>
      <c r="L118" s="18">
        <f t="shared" si="12"/>
        <v>84.66</v>
      </c>
      <c r="M118" s="18">
        <f t="shared" si="21"/>
        <v>0</v>
      </c>
      <c r="N118" s="18">
        <f t="shared" si="13"/>
        <v>84.66</v>
      </c>
      <c r="O118" s="8"/>
    </row>
    <row r="119" spans="1:15">
      <c r="A119" s="1" t="s">
        <v>109</v>
      </c>
      <c r="B119" s="11" t="s">
        <v>138</v>
      </c>
      <c r="C119" s="11">
        <v>0</v>
      </c>
      <c r="D119" s="11">
        <v>0</v>
      </c>
      <c r="E119" s="11">
        <v>0</v>
      </c>
      <c r="F119" s="11">
        <f t="shared" si="11"/>
        <v>0</v>
      </c>
      <c r="G119" s="17">
        <f t="shared" si="20"/>
        <v>11.79</v>
      </c>
      <c r="H119" s="17">
        <f t="shared" si="15"/>
        <v>0</v>
      </c>
      <c r="I119" s="17">
        <f t="shared" si="16"/>
        <v>0</v>
      </c>
      <c r="J119" s="18">
        <f t="shared" si="17"/>
        <v>0</v>
      </c>
      <c r="K119" s="18">
        <f t="shared" si="18"/>
        <v>0</v>
      </c>
      <c r="L119" s="18">
        <f t="shared" si="12"/>
        <v>11.79</v>
      </c>
      <c r="M119" s="18">
        <f t="shared" si="21"/>
        <v>0</v>
      </c>
      <c r="N119" s="18">
        <f t="shared" si="13"/>
        <v>11.79</v>
      </c>
      <c r="O119" s="8"/>
    </row>
    <row r="120" spans="1:15">
      <c r="A120" s="1" t="s">
        <v>110</v>
      </c>
      <c r="B120" s="11"/>
      <c r="C120" s="11">
        <v>3755000</v>
      </c>
      <c r="D120" s="11">
        <v>3764000</v>
      </c>
      <c r="E120" s="11">
        <v>0</v>
      </c>
      <c r="F120" s="11">
        <f t="shared" si="11"/>
        <v>9000</v>
      </c>
      <c r="G120" s="17">
        <f t="shared" si="20"/>
        <v>40.090000000000003</v>
      </c>
      <c r="H120" s="17">
        <f t="shared" si="15"/>
        <v>0</v>
      </c>
      <c r="I120" s="17">
        <f t="shared" si="16"/>
        <v>0</v>
      </c>
      <c r="J120" s="18">
        <f t="shared" si="17"/>
        <v>0</v>
      </c>
      <c r="K120" s="18">
        <f t="shared" si="18"/>
        <v>0</v>
      </c>
      <c r="L120" s="18">
        <f t="shared" si="12"/>
        <v>40.090000000000003</v>
      </c>
      <c r="M120" s="18">
        <f t="shared" si="21"/>
        <v>0</v>
      </c>
      <c r="N120" s="18">
        <f t="shared" si="13"/>
        <v>40.090000000000003</v>
      </c>
      <c r="O120" s="8"/>
    </row>
    <row r="121" spans="1:15">
      <c r="A121" s="1" t="s">
        <v>111</v>
      </c>
      <c r="B121" s="11"/>
      <c r="C121" s="11">
        <v>3388000</v>
      </c>
      <c r="D121" s="11">
        <v>3430000</v>
      </c>
      <c r="E121" s="11">
        <v>0</v>
      </c>
      <c r="F121" s="11">
        <f t="shared" si="11"/>
        <v>42000</v>
      </c>
      <c r="G121" s="17">
        <f t="shared" si="20"/>
        <v>40.090000000000003</v>
      </c>
      <c r="H121" s="17">
        <f t="shared" si="15"/>
        <v>21.8</v>
      </c>
      <c r="I121" s="17">
        <f t="shared" si="16"/>
        <v>25.299999999999997</v>
      </c>
      <c r="J121" s="18">
        <f t="shared" si="17"/>
        <v>29.5</v>
      </c>
      <c r="K121" s="18">
        <f t="shared" si="18"/>
        <v>6.84</v>
      </c>
      <c r="L121" s="18">
        <f t="shared" si="12"/>
        <v>123.53</v>
      </c>
      <c r="M121" s="18">
        <f t="shared" si="21"/>
        <v>17.21657749077491</v>
      </c>
      <c r="N121" s="18">
        <f t="shared" si="13"/>
        <v>140.74657749077491</v>
      </c>
      <c r="O121" s="8"/>
    </row>
    <row r="122" spans="1:15">
      <c r="A122" s="1" t="s">
        <v>112</v>
      </c>
      <c r="B122" s="11"/>
      <c r="C122" s="11">
        <v>334000</v>
      </c>
      <c r="D122" s="11">
        <v>335000</v>
      </c>
      <c r="E122" s="11">
        <v>0</v>
      </c>
      <c r="F122" s="11">
        <f t="shared" si="11"/>
        <v>1000</v>
      </c>
      <c r="G122" s="17">
        <f t="shared" si="20"/>
        <v>40.090000000000003</v>
      </c>
      <c r="H122" s="17">
        <f t="shared" si="15"/>
        <v>0</v>
      </c>
      <c r="I122" s="17">
        <f t="shared" si="16"/>
        <v>0</v>
      </c>
      <c r="J122" s="18">
        <f t="shared" si="17"/>
        <v>0</v>
      </c>
      <c r="K122" s="18">
        <f t="shared" si="18"/>
        <v>0</v>
      </c>
      <c r="L122" s="18">
        <f t="shared" si="12"/>
        <v>40.090000000000003</v>
      </c>
      <c r="M122" s="18">
        <f t="shared" si="21"/>
        <v>0</v>
      </c>
      <c r="N122" s="18">
        <f t="shared" si="13"/>
        <v>40.090000000000003</v>
      </c>
      <c r="O122" s="8"/>
    </row>
    <row r="123" spans="1:15">
      <c r="A123" s="1" t="s">
        <v>113</v>
      </c>
      <c r="B123" s="11"/>
      <c r="C123" s="11">
        <v>1352000</v>
      </c>
      <c r="D123" s="11">
        <v>1391000</v>
      </c>
      <c r="E123" s="11">
        <v>0</v>
      </c>
      <c r="F123" s="11">
        <f t="shared" si="11"/>
        <v>39000</v>
      </c>
      <c r="G123" s="17">
        <f t="shared" si="20"/>
        <v>40.090000000000003</v>
      </c>
      <c r="H123" s="17">
        <f t="shared" si="15"/>
        <v>21.8</v>
      </c>
      <c r="I123" s="17">
        <f t="shared" si="16"/>
        <v>25.299999999999997</v>
      </c>
      <c r="J123" s="18">
        <f t="shared" si="17"/>
        <v>26.55</v>
      </c>
      <c r="K123" s="18">
        <f t="shared" si="18"/>
        <v>0</v>
      </c>
      <c r="L123" s="18">
        <f t="shared" si="12"/>
        <v>113.74</v>
      </c>
      <c r="M123" s="18">
        <f t="shared" si="21"/>
        <v>9.838044280442805</v>
      </c>
      <c r="N123" s="18">
        <f t="shared" si="13"/>
        <v>123.5780442804428</v>
      </c>
      <c r="O123" s="8"/>
    </row>
    <row r="124" spans="1:15">
      <c r="A124" s="1" t="s">
        <v>114</v>
      </c>
      <c r="B124" s="11"/>
      <c r="C124" s="11">
        <v>2553000</v>
      </c>
      <c r="D124" s="11">
        <v>2558000</v>
      </c>
      <c r="E124" s="11">
        <v>0</v>
      </c>
      <c r="F124" s="11">
        <f t="shared" si="11"/>
        <v>5000</v>
      </c>
      <c r="G124" s="17">
        <f t="shared" si="20"/>
        <v>40.090000000000003</v>
      </c>
      <c r="H124" s="17">
        <f t="shared" si="15"/>
        <v>0</v>
      </c>
      <c r="I124" s="17">
        <f t="shared" si="16"/>
        <v>0</v>
      </c>
      <c r="J124" s="18">
        <f t="shared" si="17"/>
        <v>0</v>
      </c>
      <c r="K124" s="18">
        <f t="shared" si="18"/>
        <v>0</v>
      </c>
      <c r="L124" s="18">
        <f t="shared" si="12"/>
        <v>40.090000000000003</v>
      </c>
      <c r="M124" s="18">
        <f t="shared" si="21"/>
        <v>0</v>
      </c>
      <c r="N124" s="18">
        <f t="shared" si="13"/>
        <v>40.090000000000003</v>
      </c>
      <c r="O124" s="8"/>
    </row>
    <row r="125" spans="1:15">
      <c r="A125" s="1" t="s">
        <v>115</v>
      </c>
      <c r="B125" s="11"/>
      <c r="C125" s="11">
        <v>2396000</v>
      </c>
      <c r="D125" s="11">
        <v>2410000</v>
      </c>
      <c r="E125" s="11">
        <v>0</v>
      </c>
      <c r="F125" s="11">
        <f t="shared" si="11"/>
        <v>14000</v>
      </c>
      <c r="G125" s="17">
        <f t="shared" si="20"/>
        <v>40.090000000000003</v>
      </c>
      <c r="H125" s="17">
        <f t="shared" si="15"/>
        <v>8.7200000000000006</v>
      </c>
      <c r="I125" s="17">
        <f t="shared" si="16"/>
        <v>0</v>
      </c>
      <c r="J125" s="18">
        <f t="shared" si="17"/>
        <v>0</v>
      </c>
      <c r="K125" s="18">
        <f t="shared" si="18"/>
        <v>0</v>
      </c>
      <c r="L125" s="18">
        <f t="shared" si="12"/>
        <v>48.81</v>
      </c>
      <c r="M125" s="18">
        <f t="shared" si="21"/>
        <v>0</v>
      </c>
      <c r="N125" s="18">
        <f t="shared" si="13"/>
        <v>48.81</v>
      </c>
      <c r="O125" s="8"/>
    </row>
    <row r="126" spans="1:15">
      <c r="A126" s="1" t="s">
        <v>116</v>
      </c>
      <c r="B126" s="11"/>
      <c r="C126" s="11">
        <v>4236000</v>
      </c>
      <c r="D126" s="11">
        <v>4242000</v>
      </c>
      <c r="E126" s="11">
        <v>0</v>
      </c>
      <c r="F126" s="11">
        <f t="shared" si="11"/>
        <v>6000</v>
      </c>
      <c r="G126" s="17">
        <f t="shared" si="20"/>
        <v>40.090000000000003</v>
      </c>
      <c r="H126" s="17">
        <f t="shared" si="15"/>
        <v>0</v>
      </c>
      <c r="I126" s="17">
        <f t="shared" si="16"/>
        <v>0</v>
      </c>
      <c r="J126" s="18">
        <f t="shared" si="17"/>
        <v>0</v>
      </c>
      <c r="K126" s="18">
        <f t="shared" si="18"/>
        <v>0</v>
      </c>
      <c r="L126" s="18">
        <f t="shared" si="12"/>
        <v>40.090000000000003</v>
      </c>
      <c r="M126" s="18">
        <f t="shared" si="21"/>
        <v>0</v>
      </c>
      <c r="N126" s="18">
        <f t="shared" si="13"/>
        <v>40.090000000000003</v>
      </c>
      <c r="O126" s="8"/>
    </row>
    <row r="127" spans="1:15">
      <c r="A127" s="1" t="s">
        <v>117</v>
      </c>
      <c r="B127" s="11"/>
      <c r="C127" s="11">
        <v>1862000</v>
      </c>
      <c r="D127" s="11">
        <v>1871000</v>
      </c>
      <c r="E127" s="11">
        <v>0</v>
      </c>
      <c r="F127" s="11">
        <f t="shared" si="11"/>
        <v>9000</v>
      </c>
      <c r="G127" s="17">
        <f t="shared" si="20"/>
        <v>40.090000000000003</v>
      </c>
      <c r="H127" s="17">
        <f t="shared" si="15"/>
        <v>0</v>
      </c>
      <c r="I127" s="17">
        <f t="shared" si="16"/>
        <v>0</v>
      </c>
      <c r="J127" s="18">
        <f t="shared" si="17"/>
        <v>0</v>
      </c>
      <c r="K127" s="18">
        <f t="shared" si="18"/>
        <v>0</v>
      </c>
      <c r="L127" s="18">
        <f t="shared" si="12"/>
        <v>40.090000000000003</v>
      </c>
      <c r="M127" s="18">
        <f t="shared" si="21"/>
        <v>0</v>
      </c>
      <c r="N127" s="18">
        <f t="shared" si="13"/>
        <v>40.090000000000003</v>
      </c>
      <c r="O127" s="8"/>
    </row>
    <row r="128" spans="1:15">
      <c r="A128" s="14" t="s">
        <v>118</v>
      </c>
      <c r="B128" s="15"/>
      <c r="C128" s="15">
        <v>1146000</v>
      </c>
      <c r="D128" s="15">
        <v>1153000</v>
      </c>
      <c r="E128" s="15">
        <v>0</v>
      </c>
      <c r="F128" s="15">
        <f t="shared" si="11"/>
        <v>7000</v>
      </c>
      <c r="G128" s="19">
        <f t="shared" si="20"/>
        <v>40.090000000000003</v>
      </c>
      <c r="H128" s="19">
        <f t="shared" si="15"/>
        <v>0</v>
      </c>
      <c r="I128" s="19">
        <f t="shared" si="16"/>
        <v>0</v>
      </c>
      <c r="J128" s="20">
        <f t="shared" si="17"/>
        <v>0</v>
      </c>
      <c r="K128" s="20">
        <f t="shared" si="18"/>
        <v>0</v>
      </c>
      <c r="L128" s="18">
        <f t="shared" si="12"/>
        <v>40.090000000000003</v>
      </c>
      <c r="M128" s="18">
        <f t="shared" si="21"/>
        <v>0</v>
      </c>
      <c r="N128" s="18">
        <f t="shared" si="13"/>
        <v>40.090000000000003</v>
      </c>
      <c r="O128" s="16" t="s">
        <v>153</v>
      </c>
    </row>
    <row r="129" spans="1:15">
      <c r="A129" s="1" t="s">
        <v>119</v>
      </c>
      <c r="B129" s="11"/>
      <c r="C129" s="11">
        <v>6508000</v>
      </c>
      <c r="D129" s="11">
        <v>6661000</v>
      </c>
      <c r="E129" s="11">
        <v>0</v>
      </c>
      <c r="F129" s="11">
        <f t="shared" si="11"/>
        <v>153000</v>
      </c>
      <c r="G129" s="17">
        <f t="shared" si="20"/>
        <v>40.090000000000003</v>
      </c>
      <c r="H129" s="17">
        <f t="shared" si="15"/>
        <v>21.8</v>
      </c>
      <c r="I129" s="17">
        <f t="shared" si="16"/>
        <v>25.299999999999997</v>
      </c>
      <c r="J129" s="18">
        <f t="shared" si="17"/>
        <v>29.5</v>
      </c>
      <c r="K129" s="18">
        <f t="shared" si="18"/>
        <v>386.46</v>
      </c>
      <c r="L129" s="18">
        <f t="shared" si="12"/>
        <v>503.15</v>
      </c>
      <c r="M129" s="18">
        <f t="shared" si="21"/>
        <v>290.22230627306271</v>
      </c>
      <c r="N129" s="18">
        <f t="shared" si="13"/>
        <v>793.37230627306269</v>
      </c>
      <c r="O129" s="8"/>
    </row>
    <row r="130" spans="1:15">
      <c r="A130" s="1" t="s">
        <v>120</v>
      </c>
      <c r="B130" s="11"/>
      <c r="C130" s="11">
        <v>3648000</v>
      </c>
      <c r="D130" s="11">
        <v>3659000</v>
      </c>
      <c r="E130" s="11">
        <v>0</v>
      </c>
      <c r="F130" s="11">
        <f t="shared" si="11"/>
        <v>11000</v>
      </c>
      <c r="G130" s="17">
        <f t="shared" si="20"/>
        <v>40.090000000000003</v>
      </c>
      <c r="H130" s="17">
        <f t="shared" si="15"/>
        <v>2.1800000000000002</v>
      </c>
      <c r="I130" s="17">
        <f t="shared" si="16"/>
        <v>0</v>
      </c>
      <c r="J130" s="18">
        <f t="shared" si="17"/>
        <v>0</v>
      </c>
      <c r="K130" s="18">
        <f t="shared" si="18"/>
        <v>0</v>
      </c>
      <c r="L130" s="18">
        <f t="shared" si="12"/>
        <v>42.27</v>
      </c>
      <c r="M130" s="18">
        <f t="shared" si="21"/>
        <v>0</v>
      </c>
      <c r="N130" s="18">
        <f t="shared" si="13"/>
        <v>42.27</v>
      </c>
      <c r="O130" s="8"/>
    </row>
    <row r="131" spans="1:15">
      <c r="A131" s="1" t="s">
        <v>121</v>
      </c>
      <c r="B131" s="11" t="s">
        <v>138</v>
      </c>
      <c r="C131" s="11">
        <v>0</v>
      </c>
      <c r="D131" s="11">
        <v>0</v>
      </c>
      <c r="E131" s="11">
        <v>0</v>
      </c>
      <c r="F131" s="11">
        <f t="shared" si="11"/>
        <v>0</v>
      </c>
      <c r="G131" s="17">
        <f t="shared" si="20"/>
        <v>11.79</v>
      </c>
      <c r="H131" s="17">
        <f t="shared" si="15"/>
        <v>0</v>
      </c>
      <c r="I131" s="17">
        <f t="shared" si="16"/>
        <v>0</v>
      </c>
      <c r="J131" s="18">
        <f t="shared" si="17"/>
        <v>0</v>
      </c>
      <c r="K131" s="18">
        <f t="shared" si="18"/>
        <v>0</v>
      </c>
      <c r="L131" s="18">
        <f t="shared" si="12"/>
        <v>11.79</v>
      </c>
      <c r="M131" s="18">
        <f t="shared" si="21"/>
        <v>0</v>
      </c>
      <c r="N131" s="18">
        <f t="shared" si="13"/>
        <v>11.79</v>
      </c>
      <c r="O131" s="8"/>
    </row>
    <row r="132" spans="1:15">
      <c r="A132" s="1" t="s">
        <v>122</v>
      </c>
      <c r="B132" s="11"/>
      <c r="C132" s="11">
        <v>1234000</v>
      </c>
      <c r="D132" s="11">
        <v>1247000</v>
      </c>
      <c r="E132" s="11">
        <v>0</v>
      </c>
      <c r="F132" s="11">
        <f t="shared" si="11"/>
        <v>13000</v>
      </c>
      <c r="G132" s="17">
        <f t="shared" si="20"/>
        <v>40.090000000000003</v>
      </c>
      <c r="H132" s="17">
        <f t="shared" si="15"/>
        <v>6.5400000000000009</v>
      </c>
      <c r="I132" s="17">
        <f t="shared" si="16"/>
        <v>0</v>
      </c>
      <c r="J132" s="18">
        <f t="shared" si="17"/>
        <v>0</v>
      </c>
      <c r="K132" s="18">
        <f t="shared" si="18"/>
        <v>0</v>
      </c>
      <c r="L132" s="18">
        <f t="shared" si="12"/>
        <v>46.63</v>
      </c>
      <c r="M132" s="18">
        <f t="shared" si="21"/>
        <v>0</v>
      </c>
      <c r="N132" s="18">
        <f t="shared" si="13"/>
        <v>46.63</v>
      </c>
      <c r="O132" s="8"/>
    </row>
    <row r="133" spans="1:15">
      <c r="A133" s="1" t="s">
        <v>123</v>
      </c>
      <c r="B133" s="11" t="s">
        <v>138</v>
      </c>
      <c r="C133" s="11">
        <v>0</v>
      </c>
      <c r="D133" s="11">
        <v>0</v>
      </c>
      <c r="E133" s="11">
        <v>0</v>
      </c>
      <c r="F133" s="11">
        <f t="shared" si="11"/>
        <v>0</v>
      </c>
      <c r="G133" s="17">
        <f t="shared" si="20"/>
        <v>11.79</v>
      </c>
      <c r="H133" s="17">
        <f t="shared" si="15"/>
        <v>0</v>
      </c>
      <c r="I133" s="17">
        <f t="shared" si="16"/>
        <v>0</v>
      </c>
      <c r="J133" s="18">
        <f t="shared" si="17"/>
        <v>0</v>
      </c>
      <c r="K133" s="18">
        <f t="shared" si="18"/>
        <v>0</v>
      </c>
      <c r="L133" s="18">
        <f t="shared" si="12"/>
        <v>11.79</v>
      </c>
      <c r="M133" s="18">
        <f t="shared" si="21"/>
        <v>0</v>
      </c>
      <c r="N133" s="18">
        <f t="shared" si="13"/>
        <v>11.79</v>
      </c>
      <c r="O133" s="8"/>
    </row>
    <row r="134" spans="1:15">
      <c r="A134" s="1" t="s">
        <v>124</v>
      </c>
      <c r="B134" s="11" t="s">
        <v>138</v>
      </c>
      <c r="C134" s="11">
        <v>0</v>
      </c>
      <c r="D134" s="11">
        <v>0</v>
      </c>
      <c r="E134" s="11">
        <v>0</v>
      </c>
      <c r="F134" s="11">
        <f t="shared" si="11"/>
        <v>0</v>
      </c>
      <c r="G134" s="17">
        <f t="shared" si="20"/>
        <v>11.79</v>
      </c>
      <c r="H134" s="17">
        <f t="shared" si="15"/>
        <v>0</v>
      </c>
      <c r="I134" s="17">
        <f t="shared" si="16"/>
        <v>0</v>
      </c>
      <c r="J134" s="18">
        <f t="shared" si="17"/>
        <v>0</v>
      </c>
      <c r="K134" s="18">
        <f t="shared" si="18"/>
        <v>0</v>
      </c>
      <c r="L134" s="18">
        <f t="shared" si="12"/>
        <v>11.79</v>
      </c>
      <c r="M134" s="18">
        <f t="shared" si="21"/>
        <v>0</v>
      </c>
      <c r="N134" s="18">
        <f t="shared" si="13"/>
        <v>11.79</v>
      </c>
      <c r="O134" s="8"/>
    </row>
    <row r="135" spans="1:15">
      <c r="A135" s="1" t="s">
        <v>125</v>
      </c>
      <c r="B135" s="11" t="s">
        <v>138</v>
      </c>
      <c r="C135" s="11">
        <v>0</v>
      </c>
      <c r="D135" s="11">
        <v>0</v>
      </c>
      <c r="E135" s="11">
        <v>0</v>
      </c>
      <c r="F135" s="11">
        <f t="shared" si="11"/>
        <v>0</v>
      </c>
      <c r="G135" s="17">
        <f t="shared" si="20"/>
        <v>11.79</v>
      </c>
      <c r="H135" s="17">
        <f t="shared" si="15"/>
        <v>0</v>
      </c>
      <c r="I135" s="17">
        <f t="shared" si="16"/>
        <v>0</v>
      </c>
      <c r="J135" s="18">
        <f t="shared" si="17"/>
        <v>0</v>
      </c>
      <c r="K135" s="18">
        <f t="shared" si="18"/>
        <v>0</v>
      </c>
      <c r="L135" s="18">
        <f t="shared" si="12"/>
        <v>11.79</v>
      </c>
      <c r="M135" s="18">
        <f t="shared" si="21"/>
        <v>0</v>
      </c>
      <c r="N135" s="18">
        <f t="shared" si="13"/>
        <v>11.79</v>
      </c>
      <c r="O135" s="8"/>
    </row>
    <row r="136" spans="1:15">
      <c r="A136" s="1" t="s">
        <v>126</v>
      </c>
      <c r="B136" s="11"/>
      <c r="C136" s="11">
        <v>907000</v>
      </c>
      <c r="D136" s="11">
        <v>946000</v>
      </c>
      <c r="E136" s="11">
        <v>0</v>
      </c>
      <c r="F136" s="11">
        <f t="shared" si="11"/>
        <v>39000</v>
      </c>
      <c r="G136" s="17">
        <f t="shared" si="20"/>
        <v>40.090000000000003</v>
      </c>
      <c r="H136" s="17">
        <f t="shared" si="15"/>
        <v>21.8</v>
      </c>
      <c r="I136" s="17">
        <f t="shared" si="16"/>
        <v>25.299999999999997</v>
      </c>
      <c r="J136" s="18">
        <f t="shared" si="17"/>
        <v>26.55</v>
      </c>
      <c r="K136" s="18">
        <f t="shared" si="18"/>
        <v>0</v>
      </c>
      <c r="L136" s="18">
        <f t="shared" si="12"/>
        <v>113.74</v>
      </c>
      <c r="M136" s="18">
        <f t="shared" si="21"/>
        <v>9.838044280442805</v>
      </c>
      <c r="N136" s="18">
        <f t="shared" si="13"/>
        <v>123.5780442804428</v>
      </c>
      <c r="O136" s="8"/>
    </row>
    <row r="138" spans="1:15">
      <c r="J138" s="1" t="s">
        <v>136</v>
      </c>
      <c r="M138" s="6">
        <f>SUM(M11:M137)</f>
        <v>2666.1099999999997</v>
      </c>
      <c r="N138" s="5">
        <f>SUM(N11:N137)</f>
        <v>12841.550000000016</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SUM(Table2[Usage])</f>
        <v>2948900</v>
      </c>
      <c r="G140" s="25">
        <f>SUM(Table2[[Base Rate ]])</f>
        <v>4196.7500000000045</v>
      </c>
      <c r="H140" s="25">
        <f>SUM(Table2[Tier1])</f>
        <v>1255.4399999999989</v>
      </c>
      <c r="I140" s="25">
        <f>SUM(Table2[Tier2])</f>
        <v>933.56999999999937</v>
      </c>
      <c r="J140" s="25">
        <f>SUM(Table2[Tier3])</f>
        <v>749.29999999999984</v>
      </c>
      <c r="K140" s="25">
        <f>SUM(Table2[Tier4])</f>
        <v>3040.3800000000006</v>
      </c>
      <c r="L140" s="25">
        <f>SUM(G140:K140)</f>
        <v>10175.440000000004</v>
      </c>
    </row>
    <row r="141" spans="1:15" customFormat="1">
      <c r="A141" t="s">
        <v>250</v>
      </c>
    </row>
    <row r="142" spans="1:15" customFormat="1">
      <c r="D142" t="s">
        <v>248</v>
      </c>
      <c r="E142" t="s">
        <v>148</v>
      </c>
      <c r="G142" t="s">
        <v>258</v>
      </c>
      <c r="H142" t="s">
        <v>166</v>
      </c>
      <c r="I142" t="s">
        <v>167</v>
      </c>
      <c r="J142" t="s">
        <v>169</v>
      </c>
      <c r="K142" t="s">
        <v>252</v>
      </c>
      <c r="L142" t="s">
        <v>251</v>
      </c>
      <c r="N142" s="1"/>
    </row>
    <row r="143" spans="1:15" customFormat="1">
      <c r="A143" t="s">
        <v>254</v>
      </c>
      <c r="D143">
        <v>82</v>
      </c>
      <c r="E143" s="25">
        <f>SUM(M18:M130)</f>
        <v>1288.7838007380071</v>
      </c>
      <c r="G143" s="25">
        <f>SUM(G18:G130)-G145</f>
        <v>3287.3800000000028</v>
      </c>
      <c r="H143" s="80">
        <f>SUM(H18:H130)-H145</f>
        <v>991.8999999999993</v>
      </c>
      <c r="I143" s="25">
        <f>SUM(I18:I130)-I145</f>
        <v>807.0699999999996</v>
      </c>
      <c r="J143" s="25">
        <f>SUM(J18:J130)-J145</f>
        <v>604.74999999999989</v>
      </c>
      <c r="K143" s="25">
        <f>SUM(K18:K130)-K145</f>
        <v>1467.1799999999998</v>
      </c>
      <c r="L143" s="25">
        <f>SUM(F143:K143)</f>
        <v>7158.2800000000025</v>
      </c>
      <c r="N143" s="1"/>
    </row>
    <row r="144" spans="1:15" customFormat="1">
      <c r="A144" t="s">
        <v>255</v>
      </c>
      <c r="D144">
        <v>8</v>
      </c>
      <c r="E144" s="25">
        <f>SUM(M11:M15)+M17+SUM(M131:M136)</f>
        <v>1190.4033579335794</v>
      </c>
      <c r="G144" s="34">
        <f>SUM(G11:G15)+G17+G132+G136</f>
        <v>320.72000000000003</v>
      </c>
      <c r="H144" s="34">
        <f>SUM(H11:H15)+H17+H132+H136</f>
        <v>119.9</v>
      </c>
      <c r="I144" s="34">
        <f>SUM(I11:I15)+I17+I132+I136</f>
        <v>126.49999999999999</v>
      </c>
      <c r="J144" s="34">
        <f>SUM(J11:J15)+J17+J132+J136</f>
        <v>144.55000000000001</v>
      </c>
      <c r="K144" s="34">
        <f>SUM(K11:K15)+K17+K132+K136</f>
        <v>1573.2</v>
      </c>
      <c r="L144" s="25">
        <f t="shared" ref="L144:L147" si="22">SUM(F144:K144)</f>
        <v>2284.87</v>
      </c>
      <c r="N144" s="1"/>
    </row>
    <row r="145" spans="1:14"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2"/>
        <v>365.49000000000007</v>
      </c>
      <c r="M145" s="25"/>
      <c r="N145" s="1"/>
    </row>
    <row r="146" spans="1:14" customFormat="1">
      <c r="A146" t="s">
        <v>261</v>
      </c>
      <c r="D146">
        <v>4</v>
      </c>
      <c r="E146" s="25">
        <v>0</v>
      </c>
      <c r="G146" s="25">
        <f>G135+G134+G133+G131</f>
        <v>47.16</v>
      </c>
      <c r="H146" s="25">
        <f>H135+H134+H133+H131</f>
        <v>0</v>
      </c>
      <c r="I146" s="25">
        <f>I135+I134+I133+I131</f>
        <v>0</v>
      </c>
      <c r="J146" s="25">
        <f>J135+J134+J133+J131</f>
        <v>0</v>
      </c>
      <c r="K146" s="25">
        <f>K135+K134+K133+K131</f>
        <v>0</v>
      </c>
      <c r="L146" s="25">
        <f t="shared" si="22"/>
        <v>47.16</v>
      </c>
      <c r="N146" s="1"/>
    </row>
    <row r="147" spans="1:14" customFormat="1">
      <c r="A147" t="s">
        <v>253</v>
      </c>
      <c r="D147">
        <v>1</v>
      </c>
      <c r="E147" s="25">
        <f>M16</f>
        <v>186.92284132841328</v>
      </c>
      <c r="G147" s="25">
        <f>G16</f>
        <v>176</v>
      </c>
      <c r="H147" s="25">
        <f>H16</f>
        <v>143.63999999999999</v>
      </c>
      <c r="I147" s="25">
        <f>I16</f>
        <v>0</v>
      </c>
      <c r="J147" s="25">
        <f>J16</f>
        <v>0</v>
      </c>
      <c r="K147" s="25">
        <f>K16</f>
        <v>0</v>
      </c>
      <c r="L147" s="25">
        <f t="shared" si="22"/>
        <v>319.64</v>
      </c>
      <c r="N147" s="1"/>
    </row>
    <row r="148" spans="1:14" customFormat="1" ht="15.75" thickBot="1">
      <c r="B148" t="s">
        <v>257</v>
      </c>
      <c r="D148" s="73">
        <f>SUM(D143:D147)</f>
        <v>126</v>
      </c>
      <c r="E148" s="74">
        <f>SUM(E143:E147)</f>
        <v>2666.1099999999997</v>
      </c>
      <c r="F148" s="73"/>
      <c r="G148" s="74">
        <f t="shared" ref="G148:L148" si="23">SUM(G143:G147)</f>
        <v>4196.7500000000036</v>
      </c>
      <c r="H148" s="74">
        <f t="shared" si="23"/>
        <v>1255.4399999999991</v>
      </c>
      <c r="I148" s="74">
        <f t="shared" si="23"/>
        <v>933.5699999999996</v>
      </c>
      <c r="J148" s="74">
        <f t="shared" si="23"/>
        <v>749.3</v>
      </c>
      <c r="K148" s="74">
        <f t="shared" si="23"/>
        <v>3040.38</v>
      </c>
      <c r="L148" s="74">
        <f t="shared" si="23"/>
        <v>10175.44</v>
      </c>
      <c r="N148" s="1"/>
    </row>
    <row r="149" spans="1:14" customFormat="1" ht="16.5" thickTop="1" thickBot="1">
      <c r="D149" s="78"/>
      <c r="E149" s="78"/>
      <c r="F149" s="78"/>
      <c r="G149" s="79"/>
      <c r="H149" s="79"/>
      <c r="I149" s="79"/>
      <c r="J149" s="79"/>
      <c r="K149" s="79"/>
      <c r="L149" s="79"/>
      <c r="N149" s="1"/>
    </row>
    <row r="150" spans="1:14" customFormat="1">
      <c r="D150" s="188" t="s">
        <v>376</v>
      </c>
      <c r="E150" s="78"/>
      <c r="F150" s="78"/>
      <c r="G150" s="79"/>
      <c r="H150" s="79"/>
      <c r="I150" s="79"/>
      <c r="J150" s="79"/>
      <c r="K150" s="79"/>
      <c r="L150" s="79"/>
      <c r="N150" s="1"/>
    </row>
    <row r="151" spans="1:14" customFormat="1" ht="15.75" thickBot="1">
      <c r="D151" s="189" t="s">
        <v>375</v>
      </c>
      <c r="E151" s="78"/>
      <c r="F151" s="78"/>
      <c r="G151" s="79"/>
      <c r="H151" s="79"/>
      <c r="I151" s="79"/>
      <c r="J151" s="79"/>
      <c r="K151" s="79"/>
      <c r="L151" s="79"/>
      <c r="N151" s="1"/>
    </row>
    <row r="152" spans="1:14" customFormat="1">
      <c r="A152" t="s">
        <v>262</v>
      </c>
      <c r="D152" s="81">
        <f>COUNTIF(M18:M130,"&gt;0")</f>
        <v>20</v>
      </c>
      <c r="E152" s="81">
        <f>E143/E148*N7</f>
        <v>523999.99999999994</v>
      </c>
      <c r="F152" s="75"/>
      <c r="G152" s="81">
        <f>F140-G153-G154-(SUM(H155:K155))</f>
        <v>680900.00000000047</v>
      </c>
      <c r="H152" s="81">
        <f>H143/2.18*1000</f>
        <v>454999.99999999965</v>
      </c>
      <c r="I152" s="81">
        <f>I143/2.53*1000</f>
        <v>318999.99999999988</v>
      </c>
      <c r="J152" s="81">
        <f>J143/2.95*1000</f>
        <v>204999.99999999994</v>
      </c>
      <c r="K152" s="81">
        <f>K143/3.42*1000</f>
        <v>428999.99999999994</v>
      </c>
      <c r="L152" s="81">
        <f>SUM(G152:K152)</f>
        <v>2088900</v>
      </c>
      <c r="N152" s="1"/>
    </row>
    <row r="153" spans="1:14" customFormat="1">
      <c r="A153" t="s">
        <v>263</v>
      </c>
      <c r="D153" s="81">
        <v>7</v>
      </c>
      <c r="E153" s="81">
        <f>E144/E148*N7</f>
        <v>484000.00000000006</v>
      </c>
      <c r="F153" s="75"/>
      <c r="G153" s="81">
        <f>(SUM(F11:F15)+F17+SUM(F131:F136)-H153-I153-J153-K153)</f>
        <v>70000</v>
      </c>
      <c r="H153" s="81">
        <f>H144/2.18*1000</f>
        <v>55000</v>
      </c>
      <c r="I153" s="81">
        <f>I144/2.53*1000</f>
        <v>50000</v>
      </c>
      <c r="J153" s="81">
        <f>J144/2.95*1000</f>
        <v>49000</v>
      </c>
      <c r="K153" s="81">
        <f>K144/3.42*1000</f>
        <v>460000</v>
      </c>
      <c r="L153" s="81">
        <f>SUM(G153:K153)</f>
        <v>684000</v>
      </c>
      <c r="N153" s="1"/>
    </row>
    <row r="154" spans="1:14" customFormat="1">
      <c r="A154" t="s">
        <v>264</v>
      </c>
      <c r="D154" s="81">
        <v>0</v>
      </c>
      <c r="E154" s="81">
        <f>E147/E148*N7</f>
        <v>76000.000000000015</v>
      </c>
      <c r="F154" s="75"/>
      <c r="G154" s="81">
        <f>IF(F16&gt;100000,100000,F16)</f>
        <v>100000</v>
      </c>
      <c r="H154" s="81">
        <f>H147/1.89*1000</f>
        <v>76000</v>
      </c>
      <c r="I154" s="81" t="s">
        <v>259</v>
      </c>
      <c r="J154" s="81" t="s">
        <v>259</v>
      </c>
      <c r="K154" s="81" t="s">
        <v>259</v>
      </c>
      <c r="L154" s="81">
        <f>SUM(G154:K154)</f>
        <v>176000</v>
      </c>
      <c r="N154" s="1"/>
    </row>
    <row r="155" spans="1:14" customFormat="1" ht="15.75" thickBot="1">
      <c r="B155" t="s">
        <v>265</v>
      </c>
      <c r="D155" s="190"/>
      <c r="E155" s="82">
        <f>SUM(E152:E154)</f>
        <v>1084000</v>
      </c>
      <c r="F155" s="77"/>
      <c r="G155" s="82">
        <f>G152+G153+G154</f>
        <v>850900.00000000047</v>
      </c>
      <c r="H155" s="82">
        <f>SUM(H152:H154)</f>
        <v>585999.99999999965</v>
      </c>
      <c r="I155" s="82">
        <f>SUM(I152:I154)</f>
        <v>368999.99999999988</v>
      </c>
      <c r="J155" s="82">
        <f>SUM(J152:J154)</f>
        <v>253999.99999999994</v>
      </c>
      <c r="K155" s="82">
        <f>SUM(K152:K154)</f>
        <v>889000</v>
      </c>
      <c r="L155" s="82">
        <f>SUM(L152:L154)</f>
        <v>2948900</v>
      </c>
      <c r="N155" s="1"/>
    </row>
    <row r="156" spans="1:14" ht="15.75" thickTop="1">
      <c r="E156" s="1" t="s">
        <v>274</v>
      </c>
    </row>
    <row r="157" spans="1:14">
      <c r="E157" s="75" t="s">
        <v>275</v>
      </c>
    </row>
    <row r="158" spans="1:14">
      <c r="E158" s="75" t="s">
        <v>273</v>
      </c>
    </row>
    <row r="159" spans="1:14">
      <c r="E159"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8.xml><?xml version="1.0" encoding="utf-8"?>
<worksheet xmlns="http://schemas.openxmlformats.org/spreadsheetml/2006/main" xmlns:r="http://schemas.openxmlformats.org/officeDocument/2006/relationships">
  <sheetPr>
    <pageSetUpPr fitToPage="1"/>
  </sheetPr>
  <dimension ref="A1:N157"/>
  <sheetViews>
    <sheetView zoomScaleNormal="10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2" width="11.42578125" style="1" customWidth="1"/>
    <col min="13" max="13" width="11.85546875" style="1" customWidth="1"/>
    <col min="14" max="14" width="44.7109375" style="1" customWidth="1"/>
    <col min="15" max="16384" width="9.140625" style="1"/>
  </cols>
  <sheetData>
    <row r="1" spans="1:14" ht="46.5">
      <c r="A1" s="2" t="s">
        <v>141</v>
      </c>
    </row>
    <row r="2" spans="1:14" ht="28.5">
      <c r="A2" s="3" t="s">
        <v>142</v>
      </c>
    </row>
    <row r="4" spans="1:14">
      <c r="A4" s="1" t="s">
        <v>143</v>
      </c>
      <c r="B4" s="4">
        <v>40725</v>
      </c>
      <c r="D4" s="1" t="s">
        <v>146</v>
      </c>
      <c r="G4" s="1" t="s">
        <v>197</v>
      </c>
    </row>
    <row r="5" spans="1:14">
      <c r="B5" s="4"/>
      <c r="D5" s="1" t="s">
        <v>144</v>
      </c>
      <c r="E5" s="1">
        <v>0</v>
      </c>
      <c r="G5" s="1" t="s">
        <v>144</v>
      </c>
      <c r="H5" s="1">
        <v>0</v>
      </c>
    </row>
    <row r="6" spans="1:14">
      <c r="B6" s="4"/>
      <c r="D6" s="1" t="s">
        <v>145</v>
      </c>
      <c r="E6" s="1">
        <v>500000</v>
      </c>
      <c r="G6" s="1" t="s">
        <v>145</v>
      </c>
      <c r="H6" s="1">
        <v>500000</v>
      </c>
    </row>
    <row r="7" spans="1:14">
      <c r="B7" s="4"/>
      <c r="D7" s="1" t="s">
        <v>198</v>
      </c>
      <c r="E7" s="5">
        <v>2.5</v>
      </c>
      <c r="G7" s="1" t="s">
        <v>198</v>
      </c>
      <c r="H7" s="5">
        <v>2.5</v>
      </c>
    </row>
    <row r="8" spans="1:14">
      <c r="D8" s="1" t="s">
        <v>147</v>
      </c>
      <c r="E8" s="6">
        <f>(E6-E5)/1000*E7</f>
        <v>1250</v>
      </c>
      <c r="G8" s="1" t="s">
        <v>147</v>
      </c>
      <c r="H8" s="6">
        <f>(H6-H5)/1000*H7</f>
        <v>1250</v>
      </c>
    </row>
    <row r="10" spans="1:14">
      <c r="A10" s="7" t="s">
        <v>0</v>
      </c>
      <c r="B10" s="10" t="s">
        <v>137</v>
      </c>
      <c r="C10" s="10" t="s">
        <v>199</v>
      </c>
      <c r="D10" s="10" t="s">
        <v>200</v>
      </c>
      <c r="E10" s="10" t="s">
        <v>140</v>
      </c>
      <c r="F10" s="10" t="s">
        <v>189</v>
      </c>
      <c r="G10" s="7" t="s">
        <v>132</v>
      </c>
      <c r="H10" s="7" t="s">
        <v>128</v>
      </c>
      <c r="I10" s="7" t="s">
        <v>129</v>
      </c>
      <c r="J10" s="9" t="s">
        <v>130</v>
      </c>
      <c r="K10" s="9" t="s">
        <v>131</v>
      </c>
      <c r="L10" s="9" t="s">
        <v>148</v>
      </c>
      <c r="M10" s="9" t="s">
        <v>135</v>
      </c>
      <c r="N10" s="9" t="s">
        <v>127</v>
      </c>
    </row>
    <row r="11" spans="1:14">
      <c r="A11" s="1" t="s">
        <v>1</v>
      </c>
      <c r="B11" s="11"/>
      <c r="C11" s="11">
        <v>6677000</v>
      </c>
      <c r="D11" s="11">
        <v>6929000</v>
      </c>
      <c r="E11" s="11">
        <v>0</v>
      </c>
      <c r="F11" s="11">
        <f>($D11-$C11)+$E11</f>
        <v>252000</v>
      </c>
      <c r="G11" s="5">
        <f>IF(OR($F11&gt;0,$B11=""),40.09,11.79)</f>
        <v>40.090000000000003</v>
      </c>
      <c r="H11" s="5">
        <f>IF(AND((($F11-10000)&gt;=0),(($F11-10000)&lt;= 10000)),($F11-10000)/1000*2.18,IF(($F11-10000)&gt;=10000,2.18*10,0))</f>
        <v>21.8</v>
      </c>
      <c r="I11" s="5">
        <f>IF(AND((($F11-20000)&gt;=0),(($F11-20000)&lt;=10000)),($F11-20000)/1000*2.53,IF(($F11-20000)&gt;=10000,2.53*10,0))</f>
        <v>25.299999999999997</v>
      </c>
      <c r="J11" s="42">
        <f>IF(AND((($F11-30000)&gt;=0),(($F11-30000)&lt;=10000)),($F11-30000)/1000*2.95,IF(($F11-30000)&gt;=10000,2.95*10,0))</f>
        <v>29.5</v>
      </c>
      <c r="K11" s="42">
        <f>IF((($F11-40000)&gt;=0),($F11-40000)/1000*3.42,0)</f>
        <v>725.04</v>
      </c>
      <c r="L11" s="42"/>
      <c r="M11" s="42">
        <f t="shared" ref="M11:M74" si="0">SUM(G11:K11)</f>
        <v>841.73</v>
      </c>
      <c r="N11" s="8"/>
    </row>
    <row r="12" spans="1:14">
      <c r="A12" s="1" t="s">
        <v>2</v>
      </c>
      <c r="B12" s="11"/>
      <c r="C12" s="11">
        <v>6091000</v>
      </c>
      <c r="D12" s="11">
        <v>6240000</v>
      </c>
      <c r="E12" s="11">
        <v>0</v>
      </c>
      <c r="F12" s="11">
        <f t="shared" ref="F12:F75" si="1">($D12-$C12)+$E12</f>
        <v>149000</v>
      </c>
      <c r="G12" s="5">
        <f>IF(OR($F12&gt;0,$B12=""),40.09,11.79)</f>
        <v>40.090000000000003</v>
      </c>
      <c r="H12" s="5">
        <f>IF(AND((($F12-10000)&gt;=0),(($F12-10000)&lt;= 10000)),($F12-10000)/1000*2.18,IF(($F12-10000)&gt;=10000,2.18*10,0))</f>
        <v>21.8</v>
      </c>
      <c r="I12" s="5">
        <f>IF(AND((($F12-20000)&gt;=0),(($F12-20000)&lt;=10000)),($F12-20000)/1000*2.53,IF(($F12-20000)&gt;=10000,2.53*10,0))</f>
        <v>25.299999999999997</v>
      </c>
      <c r="J12" s="42">
        <f>IF(AND((($F12-30000)&gt;=0),(($F12-30000)&lt;=10000)),($F12-30000)/1000*2.95,IF(($F12-30000)&gt;=10000,2.95*10,0))</f>
        <v>29.5</v>
      </c>
      <c r="K12" s="42">
        <f>IF((($F12-40000)&gt;=0),($F12-40000)/1000*3.42,0)</f>
        <v>372.78</v>
      </c>
      <c r="L12" s="42"/>
      <c r="M12" s="42">
        <f t="shared" si="0"/>
        <v>489.46999999999997</v>
      </c>
      <c r="N12" s="8"/>
    </row>
    <row r="13" spans="1:14">
      <c r="A13" s="1" t="s">
        <v>3</v>
      </c>
      <c r="B13" s="11"/>
      <c r="C13" s="11">
        <v>0</v>
      </c>
      <c r="D13" s="11">
        <v>0</v>
      </c>
      <c r="E13" s="11">
        <v>0</v>
      </c>
      <c r="F13" s="11">
        <f t="shared" si="1"/>
        <v>0</v>
      </c>
      <c r="G13" s="5">
        <f>IF(OR($F13&gt;0,$B13=""),40.09,11.79)</f>
        <v>40.090000000000003</v>
      </c>
      <c r="H13" s="5">
        <f>IF(AND((($F13-10000)&gt;=0),(($F13-10000)&lt;= 10000)),($F13-10000)/1000*2.18,IF(($F13-10000)&gt;=10000,2.18*10,0))</f>
        <v>0</v>
      </c>
      <c r="I13" s="5">
        <f>IF(AND((($F13-20000)&gt;=0),(($F13-20000)&lt;=10000)),($F13-20000)/1000*2.53,IF(($F13-20000)&gt;=10000,2.53*10,0))</f>
        <v>0</v>
      </c>
      <c r="J13" s="42">
        <f>IF(AND((($F13-30000)&gt;=0),(($F13-30000)&lt;=10000)),($F13-30000)/1000*2.95,IF(($F13-30000)&gt;=10000,2.95*10,0))</f>
        <v>0</v>
      </c>
      <c r="K13" s="42">
        <f>IF((($F13-40000)&gt;=0),($F13-40000)/1000*3.42,0)</f>
        <v>0</v>
      </c>
      <c r="L13" s="42"/>
      <c r="M13" s="42">
        <f t="shared" si="0"/>
        <v>40.090000000000003</v>
      </c>
      <c r="N13" s="8" t="s">
        <v>134</v>
      </c>
    </row>
    <row r="14" spans="1:14">
      <c r="A14" s="1" t="s">
        <v>4</v>
      </c>
      <c r="B14" s="11"/>
      <c r="C14" s="11">
        <v>2654000</v>
      </c>
      <c r="D14" s="11">
        <v>2826000</v>
      </c>
      <c r="E14" s="11">
        <v>0</v>
      </c>
      <c r="F14" s="11">
        <f t="shared" si="1"/>
        <v>172000</v>
      </c>
      <c r="G14" s="5">
        <f>IF(OR($F14&gt;0,$B14=""),40.09,11.79)</f>
        <v>40.090000000000003</v>
      </c>
      <c r="H14" s="5">
        <f>IF(AND((($F14-10000)&gt;=0),(($F14-10000)&lt;= 10000)),($F14-10000)/1000*2.18,IF(($F14-10000)&gt;=10000,2.18*10,0))</f>
        <v>21.8</v>
      </c>
      <c r="I14" s="5">
        <f>IF(AND((($F14-20000)&gt;=0),(($F14-20000)&lt;=10000)),($F14-20000)/1000*2.53,IF(($F14-20000)&gt;=10000,2.53*10,0))</f>
        <v>25.299999999999997</v>
      </c>
      <c r="J14" s="42">
        <f>IF(AND((($F14-30000)&gt;=0),(($F14-30000)&lt;=10000)),($F14-30000)/1000*2.95,IF(($F14-30000)&gt;=10000,2.95*10,0))</f>
        <v>29.5</v>
      </c>
      <c r="K14" s="42">
        <f>IF((($F14-40000)&gt;=0),($F14-40000)/1000*3.42,0)</f>
        <v>451.44</v>
      </c>
      <c r="L14" s="42"/>
      <c r="M14" s="42">
        <f t="shared" si="0"/>
        <v>568.13</v>
      </c>
      <c r="N14" s="8"/>
    </row>
    <row r="15" spans="1:14">
      <c r="A15" s="1" t="s">
        <v>5</v>
      </c>
      <c r="B15" s="11"/>
      <c r="C15" s="11">
        <v>1840000</v>
      </c>
      <c r="D15" s="11">
        <v>1937000</v>
      </c>
      <c r="E15" s="11">
        <v>0</v>
      </c>
      <c r="F15" s="11">
        <f t="shared" si="1"/>
        <v>97000</v>
      </c>
      <c r="G15" s="5">
        <f>IF(OR($F15&gt;0,$B15=""),40.09,11.79)</f>
        <v>40.090000000000003</v>
      </c>
      <c r="H15" s="5">
        <f>IF(AND((($F15-10000)&gt;=0),(($F15-10000)&lt;= 10000)),($F15-10000)/1000*2.18,IF(($F15-10000)&gt;=10000,2.18*10,0))</f>
        <v>21.8</v>
      </c>
      <c r="I15" s="5">
        <f>IF(AND((($F15-20000)&gt;=0),(($F15-20000)&lt;=10000)),($F15-20000)/1000*2.53,IF(($F15-20000)&gt;=10000,2.53*10,0))</f>
        <v>25.299999999999997</v>
      </c>
      <c r="J15" s="42">
        <f>IF(AND((($F15-30000)&gt;=0),(($F15-30000)&lt;=10000)),($F15-30000)/1000*2.95,IF(($F15-30000)&gt;=10000,2.95*10,0))</f>
        <v>29.5</v>
      </c>
      <c r="K15" s="42">
        <f>IF((($F15-40000)&gt;=0),($F15-40000)/1000*3.42,0)</f>
        <v>194.94</v>
      </c>
      <c r="L15" s="42"/>
      <c r="M15" s="42">
        <f t="shared" si="0"/>
        <v>311.63</v>
      </c>
      <c r="N15" s="8"/>
    </row>
    <row r="16" spans="1:14">
      <c r="A16" s="1" t="s">
        <v>6</v>
      </c>
      <c r="B16" s="11"/>
      <c r="C16" s="11">
        <v>24082000</v>
      </c>
      <c r="D16" s="11">
        <v>24267000</v>
      </c>
      <c r="E16" s="11">
        <v>0</v>
      </c>
      <c r="F16" s="11">
        <f t="shared" si="1"/>
        <v>185000</v>
      </c>
      <c r="G16" s="5">
        <v>176</v>
      </c>
      <c r="H16" s="5">
        <f>IF(($F16-100000)&gt;=0,($F16-100000)/1000*1.89,0)</f>
        <v>160.65</v>
      </c>
      <c r="I16" s="5"/>
      <c r="J16" s="42"/>
      <c r="K16" s="42"/>
      <c r="L16" s="42"/>
      <c r="M16" s="42">
        <f t="shared" si="0"/>
        <v>336.65</v>
      </c>
      <c r="N16" s="8" t="s">
        <v>133</v>
      </c>
    </row>
    <row r="17" spans="1:14">
      <c r="A17" s="1" t="s">
        <v>7</v>
      </c>
      <c r="B17" s="11"/>
      <c r="C17" s="11">
        <v>466000</v>
      </c>
      <c r="D17" s="11">
        <v>481000</v>
      </c>
      <c r="E17" s="11">
        <v>0</v>
      </c>
      <c r="F17" s="11">
        <f t="shared" si="1"/>
        <v>15000</v>
      </c>
      <c r="G17" s="5">
        <f t="shared" ref="G17:G80" si="2">IF(OR($F17&gt;0,$B17=""),40.09,11.79)</f>
        <v>40.090000000000003</v>
      </c>
      <c r="H17" s="5">
        <f t="shared" ref="H17:H80" si="3">IF(AND((($F17-10000)&gt;=0),(($F17-10000)&lt;= 10000)),($F17-10000)/1000*2.18,IF(($F17-10000)&gt;=10000,2.18*10,0))</f>
        <v>10.9</v>
      </c>
      <c r="I17" s="5">
        <f t="shared" ref="I17:I80" si="4">IF(AND((($F17-20000)&gt;=0),(($F17-20000)&lt;=10000)),($F17-20000)/1000*2.53,IF(($F17-20000)&gt;=10000,2.53*10,0))</f>
        <v>0</v>
      </c>
      <c r="J17" s="42">
        <f t="shared" ref="J17:J80" si="5">IF(AND((($F17-30000)&gt;=0),(($F17-30000)&lt;=10000)),($F17-30000)/1000*2.95,IF(($F17-30000)&gt;=10000,2.95*10,0))</f>
        <v>0</v>
      </c>
      <c r="K17" s="42">
        <f t="shared" ref="K17:K80" si="6">IF((($F17-40000)&gt;=0),($F17-40000)/1000*3.42,0)</f>
        <v>0</v>
      </c>
      <c r="L17" s="42"/>
      <c r="M17" s="42">
        <f t="shared" si="0"/>
        <v>50.99</v>
      </c>
      <c r="N17" s="8"/>
    </row>
    <row r="18" spans="1:14">
      <c r="A18" s="1" t="s">
        <v>8</v>
      </c>
      <c r="B18" s="11"/>
      <c r="C18" s="11">
        <v>2122000</v>
      </c>
      <c r="D18" s="11">
        <v>2150000</v>
      </c>
      <c r="E18" s="11">
        <v>0</v>
      </c>
      <c r="F18" s="11">
        <f t="shared" si="1"/>
        <v>28000</v>
      </c>
      <c r="G18" s="5">
        <f t="shared" si="2"/>
        <v>40.090000000000003</v>
      </c>
      <c r="H18" s="5">
        <f t="shared" si="3"/>
        <v>21.8</v>
      </c>
      <c r="I18" s="5">
        <f t="shared" si="4"/>
        <v>20.239999999999998</v>
      </c>
      <c r="J18" s="42">
        <f t="shared" si="5"/>
        <v>0</v>
      </c>
      <c r="K18" s="42">
        <f t="shared" si="6"/>
        <v>0</v>
      </c>
      <c r="L18" s="42"/>
      <c r="M18" s="42">
        <f t="shared" si="0"/>
        <v>82.13</v>
      </c>
      <c r="N18" s="8"/>
    </row>
    <row r="19" spans="1:14">
      <c r="A19" s="1" t="s">
        <v>9</v>
      </c>
      <c r="B19" s="11"/>
      <c r="C19" s="11">
        <v>43000</v>
      </c>
      <c r="D19" s="11">
        <v>91000</v>
      </c>
      <c r="E19" s="11">
        <v>0</v>
      </c>
      <c r="F19" s="11">
        <f t="shared" si="1"/>
        <v>48000</v>
      </c>
      <c r="G19" s="5">
        <f t="shared" si="2"/>
        <v>40.090000000000003</v>
      </c>
      <c r="H19" s="5">
        <f t="shared" si="3"/>
        <v>21.8</v>
      </c>
      <c r="I19" s="5">
        <f t="shared" si="4"/>
        <v>25.299999999999997</v>
      </c>
      <c r="J19" s="42">
        <f t="shared" si="5"/>
        <v>29.5</v>
      </c>
      <c r="K19" s="42">
        <f t="shared" si="6"/>
        <v>27.36</v>
      </c>
      <c r="L19" s="42"/>
      <c r="M19" s="42">
        <f t="shared" si="0"/>
        <v>144.05000000000001</v>
      </c>
      <c r="N19" s="8"/>
    </row>
    <row r="20" spans="1:14">
      <c r="A20" s="1" t="s">
        <v>10</v>
      </c>
      <c r="B20" s="11"/>
      <c r="C20" s="11">
        <v>1435000</v>
      </c>
      <c r="D20" s="11">
        <v>1455000</v>
      </c>
      <c r="E20" s="11">
        <v>0</v>
      </c>
      <c r="F20" s="11">
        <f t="shared" si="1"/>
        <v>20000</v>
      </c>
      <c r="G20" s="5">
        <f t="shared" si="2"/>
        <v>40.090000000000003</v>
      </c>
      <c r="H20" s="5">
        <f t="shared" si="3"/>
        <v>21.8</v>
      </c>
      <c r="I20" s="5">
        <f t="shared" si="4"/>
        <v>0</v>
      </c>
      <c r="J20" s="42">
        <f t="shared" si="5"/>
        <v>0</v>
      </c>
      <c r="K20" s="42">
        <f t="shared" si="6"/>
        <v>0</v>
      </c>
      <c r="L20" s="42"/>
      <c r="M20" s="42">
        <f t="shared" si="0"/>
        <v>61.89</v>
      </c>
      <c r="N20" s="8"/>
    </row>
    <row r="21" spans="1:14">
      <c r="A21" s="1" t="s">
        <v>11</v>
      </c>
      <c r="B21" s="11"/>
      <c r="C21" s="11">
        <v>1913000</v>
      </c>
      <c r="D21" s="11">
        <v>1924000</v>
      </c>
      <c r="E21" s="11">
        <v>0</v>
      </c>
      <c r="F21" s="11">
        <f t="shared" si="1"/>
        <v>11000</v>
      </c>
      <c r="G21" s="5">
        <f t="shared" si="2"/>
        <v>40.090000000000003</v>
      </c>
      <c r="H21" s="5">
        <f t="shared" si="3"/>
        <v>2.1800000000000002</v>
      </c>
      <c r="I21" s="5">
        <f t="shared" si="4"/>
        <v>0</v>
      </c>
      <c r="J21" s="42">
        <f t="shared" si="5"/>
        <v>0</v>
      </c>
      <c r="K21" s="42">
        <f t="shared" si="6"/>
        <v>0</v>
      </c>
      <c r="L21" s="42"/>
      <c r="M21" s="42">
        <f t="shared" si="0"/>
        <v>42.27</v>
      </c>
      <c r="N21" s="8"/>
    </row>
    <row r="22" spans="1:14">
      <c r="A22" s="1" t="s">
        <v>12</v>
      </c>
      <c r="B22" s="11"/>
      <c r="C22" s="11">
        <v>2065000</v>
      </c>
      <c r="D22" s="11">
        <v>2107000</v>
      </c>
      <c r="E22" s="11">
        <v>0</v>
      </c>
      <c r="F22" s="11">
        <f t="shared" si="1"/>
        <v>42000</v>
      </c>
      <c r="G22" s="5">
        <f t="shared" si="2"/>
        <v>40.090000000000003</v>
      </c>
      <c r="H22" s="5">
        <f t="shared" si="3"/>
        <v>21.8</v>
      </c>
      <c r="I22" s="5">
        <f t="shared" si="4"/>
        <v>25.299999999999997</v>
      </c>
      <c r="J22" s="42">
        <f t="shared" si="5"/>
        <v>29.5</v>
      </c>
      <c r="K22" s="42">
        <f t="shared" si="6"/>
        <v>6.84</v>
      </c>
      <c r="L22" s="42"/>
      <c r="M22" s="42">
        <f t="shared" si="0"/>
        <v>123.53</v>
      </c>
      <c r="N22" s="8"/>
    </row>
    <row r="23" spans="1:14">
      <c r="A23" s="1" t="s">
        <v>13</v>
      </c>
      <c r="B23" s="11" t="s">
        <v>138</v>
      </c>
      <c r="C23" s="11">
        <v>0</v>
      </c>
      <c r="D23" s="11">
        <v>0</v>
      </c>
      <c r="E23" s="11">
        <v>0</v>
      </c>
      <c r="F23" s="11">
        <f t="shared" si="1"/>
        <v>0</v>
      </c>
      <c r="G23" s="5">
        <f t="shared" si="2"/>
        <v>11.79</v>
      </c>
      <c r="H23" s="5">
        <f t="shared" si="3"/>
        <v>0</v>
      </c>
      <c r="I23" s="5">
        <f t="shared" si="4"/>
        <v>0</v>
      </c>
      <c r="J23" s="42">
        <f t="shared" si="5"/>
        <v>0</v>
      </c>
      <c r="K23" s="42">
        <f t="shared" si="6"/>
        <v>0</v>
      </c>
      <c r="L23" s="42"/>
      <c r="M23" s="42">
        <f t="shared" si="0"/>
        <v>11.79</v>
      </c>
      <c r="N23" s="8"/>
    </row>
    <row r="24" spans="1:14">
      <c r="A24" s="1" t="s">
        <v>14</v>
      </c>
      <c r="B24" s="11"/>
      <c r="C24" s="11">
        <v>6160000</v>
      </c>
      <c r="D24" s="11">
        <v>6237000</v>
      </c>
      <c r="E24" s="11">
        <v>0</v>
      </c>
      <c r="F24" s="11">
        <f t="shared" si="1"/>
        <v>77000</v>
      </c>
      <c r="G24" s="5">
        <f t="shared" si="2"/>
        <v>40.090000000000003</v>
      </c>
      <c r="H24" s="5">
        <f t="shared" si="3"/>
        <v>21.8</v>
      </c>
      <c r="I24" s="5">
        <f t="shared" si="4"/>
        <v>25.299999999999997</v>
      </c>
      <c r="J24" s="42">
        <f t="shared" si="5"/>
        <v>29.5</v>
      </c>
      <c r="K24" s="42">
        <f t="shared" si="6"/>
        <v>126.53999999999999</v>
      </c>
      <c r="L24" s="42"/>
      <c r="M24" s="42">
        <f t="shared" si="0"/>
        <v>243.23</v>
      </c>
      <c r="N24" s="8"/>
    </row>
    <row r="25" spans="1:14">
      <c r="A25" s="1" t="s">
        <v>15</v>
      </c>
      <c r="B25" s="11"/>
      <c r="C25" s="11">
        <v>2528000</v>
      </c>
      <c r="D25" s="11">
        <v>2548000</v>
      </c>
      <c r="E25" s="11">
        <v>0</v>
      </c>
      <c r="F25" s="11">
        <f t="shared" si="1"/>
        <v>20000</v>
      </c>
      <c r="G25" s="5">
        <f t="shared" si="2"/>
        <v>40.090000000000003</v>
      </c>
      <c r="H25" s="5">
        <f t="shared" si="3"/>
        <v>21.8</v>
      </c>
      <c r="I25" s="5">
        <f t="shared" si="4"/>
        <v>0</v>
      </c>
      <c r="J25" s="42">
        <f t="shared" si="5"/>
        <v>0</v>
      </c>
      <c r="K25" s="42">
        <f t="shared" si="6"/>
        <v>0</v>
      </c>
      <c r="L25" s="42"/>
      <c r="M25" s="42">
        <f t="shared" si="0"/>
        <v>61.89</v>
      </c>
      <c r="N25" s="8"/>
    </row>
    <row r="26" spans="1:14">
      <c r="A26" s="1" t="s">
        <v>16</v>
      </c>
      <c r="B26" s="11"/>
      <c r="C26" s="11">
        <v>1473000</v>
      </c>
      <c r="D26" s="11">
        <v>1512000</v>
      </c>
      <c r="E26" s="11">
        <v>0</v>
      </c>
      <c r="F26" s="11">
        <f t="shared" si="1"/>
        <v>39000</v>
      </c>
      <c r="G26" s="5">
        <f t="shared" si="2"/>
        <v>40.090000000000003</v>
      </c>
      <c r="H26" s="5">
        <f t="shared" si="3"/>
        <v>21.8</v>
      </c>
      <c r="I26" s="5">
        <f t="shared" si="4"/>
        <v>25.299999999999997</v>
      </c>
      <c r="J26" s="42">
        <f t="shared" si="5"/>
        <v>26.55</v>
      </c>
      <c r="K26" s="42">
        <f t="shared" si="6"/>
        <v>0</v>
      </c>
      <c r="L26" s="42"/>
      <c r="M26" s="42">
        <f t="shared" si="0"/>
        <v>113.74</v>
      </c>
      <c r="N26" s="8"/>
    </row>
    <row r="27" spans="1:14">
      <c r="A27" s="1" t="s">
        <v>17</v>
      </c>
      <c r="B27" s="11"/>
      <c r="C27" s="11">
        <v>1123000</v>
      </c>
      <c r="D27" s="11">
        <v>1141000</v>
      </c>
      <c r="E27" s="11">
        <v>0</v>
      </c>
      <c r="F27" s="11">
        <f t="shared" si="1"/>
        <v>18000</v>
      </c>
      <c r="G27" s="5">
        <f t="shared" si="2"/>
        <v>40.090000000000003</v>
      </c>
      <c r="H27" s="5">
        <f t="shared" si="3"/>
        <v>17.440000000000001</v>
      </c>
      <c r="I27" s="5">
        <f t="shared" si="4"/>
        <v>0</v>
      </c>
      <c r="J27" s="42">
        <f t="shared" si="5"/>
        <v>0</v>
      </c>
      <c r="K27" s="42">
        <f t="shared" si="6"/>
        <v>0</v>
      </c>
      <c r="L27" s="42"/>
      <c r="M27" s="42">
        <f t="shared" si="0"/>
        <v>57.53</v>
      </c>
      <c r="N27" s="8"/>
    </row>
    <row r="28" spans="1:14">
      <c r="A28" s="1" t="s">
        <v>18</v>
      </c>
      <c r="B28" s="11"/>
      <c r="C28" s="11">
        <v>3972000</v>
      </c>
      <c r="D28" s="11">
        <v>3992000</v>
      </c>
      <c r="E28" s="11">
        <v>0</v>
      </c>
      <c r="F28" s="11">
        <f t="shared" si="1"/>
        <v>20000</v>
      </c>
      <c r="G28" s="5">
        <f t="shared" si="2"/>
        <v>40.090000000000003</v>
      </c>
      <c r="H28" s="5">
        <f t="shared" si="3"/>
        <v>21.8</v>
      </c>
      <c r="I28" s="5">
        <f t="shared" si="4"/>
        <v>0</v>
      </c>
      <c r="J28" s="42">
        <f t="shared" si="5"/>
        <v>0</v>
      </c>
      <c r="K28" s="42">
        <f t="shared" si="6"/>
        <v>0</v>
      </c>
      <c r="L28" s="42"/>
      <c r="M28" s="42">
        <f t="shared" si="0"/>
        <v>61.89</v>
      </c>
      <c r="N28" s="8"/>
    </row>
    <row r="29" spans="1:14">
      <c r="A29" s="1" t="s">
        <v>19</v>
      </c>
      <c r="B29" s="11"/>
      <c r="C29" s="11">
        <v>1009000</v>
      </c>
      <c r="D29" s="11">
        <v>1046000</v>
      </c>
      <c r="E29" s="11">
        <v>0</v>
      </c>
      <c r="F29" s="11">
        <f t="shared" si="1"/>
        <v>37000</v>
      </c>
      <c r="G29" s="5">
        <f t="shared" si="2"/>
        <v>40.090000000000003</v>
      </c>
      <c r="H29" s="5">
        <f t="shared" si="3"/>
        <v>21.8</v>
      </c>
      <c r="I29" s="5">
        <f t="shared" si="4"/>
        <v>25.299999999999997</v>
      </c>
      <c r="J29" s="42">
        <f t="shared" si="5"/>
        <v>20.650000000000002</v>
      </c>
      <c r="K29" s="42">
        <f t="shared" si="6"/>
        <v>0</v>
      </c>
      <c r="L29" s="42"/>
      <c r="M29" s="42">
        <f t="shared" si="0"/>
        <v>107.84</v>
      </c>
      <c r="N29" s="8"/>
    </row>
    <row r="30" spans="1:14">
      <c r="A30" s="1" t="s">
        <v>20</v>
      </c>
      <c r="B30" s="11"/>
      <c r="C30" s="11">
        <v>2143000</v>
      </c>
      <c r="D30" s="11">
        <v>2153000</v>
      </c>
      <c r="E30" s="11">
        <v>0</v>
      </c>
      <c r="F30" s="11">
        <f t="shared" si="1"/>
        <v>10000</v>
      </c>
      <c r="G30" s="5">
        <f t="shared" si="2"/>
        <v>40.090000000000003</v>
      </c>
      <c r="H30" s="5">
        <f t="shared" si="3"/>
        <v>0</v>
      </c>
      <c r="I30" s="5">
        <f t="shared" si="4"/>
        <v>0</v>
      </c>
      <c r="J30" s="42">
        <f t="shared" si="5"/>
        <v>0</v>
      </c>
      <c r="K30" s="42">
        <f t="shared" si="6"/>
        <v>0</v>
      </c>
      <c r="L30" s="42"/>
      <c r="M30" s="42">
        <f t="shared" si="0"/>
        <v>40.090000000000003</v>
      </c>
      <c r="N30" s="8"/>
    </row>
    <row r="31" spans="1:14">
      <c r="A31" s="1" t="s">
        <v>21</v>
      </c>
      <c r="B31" s="11" t="s">
        <v>138</v>
      </c>
      <c r="C31" s="11">
        <v>0</v>
      </c>
      <c r="D31" s="11">
        <v>0</v>
      </c>
      <c r="E31" s="11">
        <v>0</v>
      </c>
      <c r="F31" s="11">
        <f t="shared" si="1"/>
        <v>0</v>
      </c>
      <c r="G31" s="5">
        <f t="shared" si="2"/>
        <v>11.79</v>
      </c>
      <c r="H31" s="5">
        <f t="shared" si="3"/>
        <v>0</v>
      </c>
      <c r="I31" s="5">
        <f t="shared" si="4"/>
        <v>0</v>
      </c>
      <c r="J31" s="42">
        <f t="shared" si="5"/>
        <v>0</v>
      </c>
      <c r="K31" s="42">
        <f t="shared" si="6"/>
        <v>0</v>
      </c>
      <c r="L31" s="42"/>
      <c r="M31" s="42">
        <f t="shared" si="0"/>
        <v>11.79</v>
      </c>
      <c r="N31" s="8"/>
    </row>
    <row r="32" spans="1:14">
      <c r="A32" s="1" t="s">
        <v>22</v>
      </c>
      <c r="B32" s="11"/>
      <c r="C32" s="11">
        <v>575000</v>
      </c>
      <c r="D32" s="11">
        <v>583000</v>
      </c>
      <c r="E32" s="11">
        <v>0</v>
      </c>
      <c r="F32" s="11">
        <f t="shared" si="1"/>
        <v>8000</v>
      </c>
      <c r="G32" s="5">
        <f t="shared" si="2"/>
        <v>40.090000000000003</v>
      </c>
      <c r="H32" s="5">
        <f t="shared" si="3"/>
        <v>0</v>
      </c>
      <c r="I32" s="5">
        <f t="shared" si="4"/>
        <v>0</v>
      </c>
      <c r="J32" s="42">
        <f t="shared" si="5"/>
        <v>0</v>
      </c>
      <c r="K32" s="42">
        <f t="shared" si="6"/>
        <v>0</v>
      </c>
      <c r="L32" s="42"/>
      <c r="M32" s="42">
        <f t="shared" si="0"/>
        <v>40.090000000000003</v>
      </c>
      <c r="N32" s="8"/>
    </row>
    <row r="33" spans="1:14">
      <c r="A33" s="1" t="s">
        <v>23</v>
      </c>
      <c r="B33" s="11" t="s">
        <v>138</v>
      </c>
      <c r="C33" s="11">
        <v>0</v>
      </c>
      <c r="D33" s="11">
        <v>0</v>
      </c>
      <c r="E33" s="11">
        <v>0</v>
      </c>
      <c r="F33" s="11">
        <f t="shared" si="1"/>
        <v>0</v>
      </c>
      <c r="G33" s="5">
        <f t="shared" si="2"/>
        <v>11.79</v>
      </c>
      <c r="H33" s="5">
        <f t="shared" si="3"/>
        <v>0</v>
      </c>
      <c r="I33" s="5">
        <f t="shared" si="4"/>
        <v>0</v>
      </c>
      <c r="J33" s="42">
        <f t="shared" si="5"/>
        <v>0</v>
      </c>
      <c r="K33" s="42">
        <f t="shared" si="6"/>
        <v>0</v>
      </c>
      <c r="L33" s="42"/>
      <c r="M33" s="42">
        <f t="shared" si="0"/>
        <v>11.79</v>
      </c>
      <c r="N33" s="8"/>
    </row>
    <row r="34" spans="1:14">
      <c r="A34" s="1" t="s">
        <v>24</v>
      </c>
      <c r="B34" s="11" t="s">
        <v>138</v>
      </c>
      <c r="C34" s="11">
        <v>0</v>
      </c>
      <c r="D34" s="11">
        <v>0</v>
      </c>
      <c r="E34" s="11">
        <v>0</v>
      </c>
      <c r="F34" s="11">
        <f t="shared" si="1"/>
        <v>0</v>
      </c>
      <c r="G34" s="5">
        <f t="shared" si="2"/>
        <v>11.79</v>
      </c>
      <c r="H34" s="5">
        <f t="shared" si="3"/>
        <v>0</v>
      </c>
      <c r="I34" s="5">
        <f t="shared" si="4"/>
        <v>0</v>
      </c>
      <c r="J34" s="42">
        <f t="shared" si="5"/>
        <v>0</v>
      </c>
      <c r="K34" s="42">
        <f t="shared" si="6"/>
        <v>0</v>
      </c>
      <c r="L34" s="42"/>
      <c r="M34" s="42">
        <f t="shared" si="0"/>
        <v>11.79</v>
      </c>
      <c r="N34" s="8"/>
    </row>
    <row r="35" spans="1:14">
      <c r="A35" s="1" t="s">
        <v>25</v>
      </c>
      <c r="B35" s="11"/>
      <c r="C35" s="11">
        <v>2208000</v>
      </c>
      <c r="D35" s="11">
        <v>2254000</v>
      </c>
      <c r="E35" s="11">
        <v>0</v>
      </c>
      <c r="F35" s="11">
        <f t="shared" si="1"/>
        <v>46000</v>
      </c>
      <c r="G35" s="5">
        <f t="shared" si="2"/>
        <v>40.090000000000003</v>
      </c>
      <c r="H35" s="5">
        <f t="shared" si="3"/>
        <v>21.8</v>
      </c>
      <c r="I35" s="5">
        <f t="shared" si="4"/>
        <v>25.299999999999997</v>
      </c>
      <c r="J35" s="42">
        <f t="shared" si="5"/>
        <v>29.5</v>
      </c>
      <c r="K35" s="42">
        <f t="shared" si="6"/>
        <v>20.52</v>
      </c>
      <c r="L35" s="42"/>
      <c r="M35" s="42">
        <f t="shared" si="0"/>
        <v>137.21</v>
      </c>
      <c r="N35" s="8"/>
    </row>
    <row r="36" spans="1:14">
      <c r="A36" s="1" t="s">
        <v>26</v>
      </c>
      <c r="B36" s="11"/>
      <c r="C36" s="11">
        <v>277000</v>
      </c>
      <c r="D36" s="11">
        <v>299000</v>
      </c>
      <c r="E36" s="11">
        <v>0</v>
      </c>
      <c r="F36" s="11">
        <f t="shared" si="1"/>
        <v>22000</v>
      </c>
      <c r="G36" s="5">
        <f t="shared" si="2"/>
        <v>40.090000000000003</v>
      </c>
      <c r="H36" s="5">
        <f t="shared" si="3"/>
        <v>21.8</v>
      </c>
      <c r="I36" s="5">
        <f t="shared" si="4"/>
        <v>5.0599999999999996</v>
      </c>
      <c r="J36" s="42">
        <f t="shared" si="5"/>
        <v>0</v>
      </c>
      <c r="K36" s="42">
        <f t="shared" si="6"/>
        <v>0</v>
      </c>
      <c r="L36" s="42"/>
      <c r="M36" s="42">
        <f t="shared" si="0"/>
        <v>66.95</v>
      </c>
      <c r="N36" s="8"/>
    </row>
    <row r="37" spans="1:14">
      <c r="A37" s="1" t="s">
        <v>27</v>
      </c>
      <c r="B37" s="11"/>
      <c r="C37" s="11">
        <v>2114000</v>
      </c>
      <c r="D37" s="11">
        <v>2117000</v>
      </c>
      <c r="E37" s="11">
        <v>0</v>
      </c>
      <c r="F37" s="11">
        <f t="shared" si="1"/>
        <v>3000</v>
      </c>
      <c r="G37" s="5">
        <f t="shared" si="2"/>
        <v>40.090000000000003</v>
      </c>
      <c r="H37" s="5">
        <f t="shared" si="3"/>
        <v>0</v>
      </c>
      <c r="I37" s="5">
        <f t="shared" si="4"/>
        <v>0</v>
      </c>
      <c r="J37" s="42">
        <f t="shared" si="5"/>
        <v>0</v>
      </c>
      <c r="K37" s="42">
        <f t="shared" si="6"/>
        <v>0</v>
      </c>
      <c r="L37" s="42"/>
      <c r="M37" s="42">
        <f t="shared" si="0"/>
        <v>40.090000000000003</v>
      </c>
      <c r="N37" s="8"/>
    </row>
    <row r="38" spans="1:14">
      <c r="A38" s="1" t="s">
        <v>28</v>
      </c>
      <c r="B38" s="11"/>
      <c r="C38" s="11">
        <v>1295000</v>
      </c>
      <c r="D38" s="11">
        <v>1307000</v>
      </c>
      <c r="E38" s="11">
        <v>0</v>
      </c>
      <c r="F38" s="11">
        <f t="shared" si="1"/>
        <v>12000</v>
      </c>
      <c r="G38" s="5">
        <f t="shared" si="2"/>
        <v>40.090000000000003</v>
      </c>
      <c r="H38" s="5">
        <f t="shared" si="3"/>
        <v>4.3600000000000003</v>
      </c>
      <c r="I38" s="5">
        <f t="shared" si="4"/>
        <v>0</v>
      </c>
      <c r="J38" s="42">
        <f t="shared" si="5"/>
        <v>0</v>
      </c>
      <c r="K38" s="42">
        <f t="shared" si="6"/>
        <v>0</v>
      </c>
      <c r="L38" s="42"/>
      <c r="M38" s="42">
        <f t="shared" si="0"/>
        <v>44.45</v>
      </c>
      <c r="N38" s="8"/>
    </row>
    <row r="39" spans="1:14">
      <c r="A39" s="1" t="s">
        <v>29</v>
      </c>
      <c r="B39" s="11" t="s">
        <v>138</v>
      </c>
      <c r="C39" s="11">
        <v>0</v>
      </c>
      <c r="D39" s="11">
        <v>0</v>
      </c>
      <c r="E39" s="11">
        <v>0</v>
      </c>
      <c r="F39" s="11">
        <f t="shared" si="1"/>
        <v>0</v>
      </c>
      <c r="G39" s="5">
        <f t="shared" si="2"/>
        <v>11.79</v>
      </c>
      <c r="H39" s="5">
        <f t="shared" si="3"/>
        <v>0</v>
      </c>
      <c r="I39" s="5">
        <f t="shared" si="4"/>
        <v>0</v>
      </c>
      <c r="J39" s="42">
        <f t="shared" si="5"/>
        <v>0</v>
      </c>
      <c r="K39" s="42">
        <f t="shared" si="6"/>
        <v>0</v>
      </c>
      <c r="L39" s="42"/>
      <c r="M39" s="42">
        <f t="shared" si="0"/>
        <v>11.79</v>
      </c>
      <c r="N39" s="8"/>
    </row>
    <row r="40" spans="1:14">
      <c r="A40" s="1" t="s">
        <v>30</v>
      </c>
      <c r="B40" s="11" t="s">
        <v>138</v>
      </c>
      <c r="C40" s="11">
        <v>0</v>
      </c>
      <c r="D40" s="11">
        <v>0</v>
      </c>
      <c r="E40" s="11">
        <v>0</v>
      </c>
      <c r="F40" s="11">
        <f t="shared" si="1"/>
        <v>0</v>
      </c>
      <c r="G40" s="5">
        <f t="shared" si="2"/>
        <v>11.79</v>
      </c>
      <c r="H40" s="5">
        <f t="shared" si="3"/>
        <v>0</v>
      </c>
      <c r="I40" s="5">
        <f t="shared" si="4"/>
        <v>0</v>
      </c>
      <c r="J40" s="42">
        <f t="shared" si="5"/>
        <v>0</v>
      </c>
      <c r="K40" s="42">
        <f t="shared" si="6"/>
        <v>0</v>
      </c>
      <c r="L40" s="42"/>
      <c r="M40" s="42">
        <f t="shared" si="0"/>
        <v>11.79</v>
      </c>
      <c r="N40" s="8"/>
    </row>
    <row r="41" spans="1:14">
      <c r="A41" s="1" t="s">
        <v>31</v>
      </c>
      <c r="B41" s="11"/>
      <c r="C41" s="11">
        <v>485000</v>
      </c>
      <c r="D41" s="11">
        <v>492000</v>
      </c>
      <c r="E41" s="11">
        <v>0</v>
      </c>
      <c r="F41" s="11">
        <f t="shared" si="1"/>
        <v>7000</v>
      </c>
      <c r="G41" s="5">
        <f t="shared" si="2"/>
        <v>40.090000000000003</v>
      </c>
      <c r="H41" s="5">
        <f t="shared" si="3"/>
        <v>0</v>
      </c>
      <c r="I41" s="5">
        <f t="shared" si="4"/>
        <v>0</v>
      </c>
      <c r="J41" s="42">
        <f t="shared" si="5"/>
        <v>0</v>
      </c>
      <c r="K41" s="42">
        <f t="shared" si="6"/>
        <v>0</v>
      </c>
      <c r="L41" s="42"/>
      <c r="M41" s="42">
        <f t="shared" si="0"/>
        <v>40.090000000000003</v>
      </c>
      <c r="N41" s="8"/>
    </row>
    <row r="42" spans="1:14">
      <c r="A42" s="1" t="s">
        <v>32</v>
      </c>
      <c r="B42" s="11"/>
      <c r="C42" s="11">
        <v>3814000</v>
      </c>
      <c r="D42" s="11">
        <v>3836000</v>
      </c>
      <c r="E42" s="11">
        <v>0</v>
      </c>
      <c r="F42" s="11">
        <f t="shared" si="1"/>
        <v>22000</v>
      </c>
      <c r="G42" s="5">
        <f t="shared" si="2"/>
        <v>40.090000000000003</v>
      </c>
      <c r="H42" s="5">
        <f t="shared" si="3"/>
        <v>21.8</v>
      </c>
      <c r="I42" s="5">
        <f t="shared" si="4"/>
        <v>5.0599999999999996</v>
      </c>
      <c r="J42" s="42">
        <f t="shared" si="5"/>
        <v>0</v>
      </c>
      <c r="K42" s="42">
        <f t="shared" si="6"/>
        <v>0</v>
      </c>
      <c r="L42" s="42"/>
      <c r="M42" s="42">
        <f t="shared" si="0"/>
        <v>66.95</v>
      </c>
      <c r="N42" s="8"/>
    </row>
    <row r="43" spans="1:14">
      <c r="A43" s="1" t="s">
        <v>33</v>
      </c>
      <c r="B43" s="11"/>
      <c r="C43" s="11">
        <v>1131000</v>
      </c>
      <c r="D43" s="11">
        <v>1148000</v>
      </c>
      <c r="E43" s="11">
        <v>0</v>
      </c>
      <c r="F43" s="11">
        <f t="shared" si="1"/>
        <v>17000</v>
      </c>
      <c r="G43" s="5">
        <f t="shared" si="2"/>
        <v>40.090000000000003</v>
      </c>
      <c r="H43" s="5">
        <f t="shared" si="3"/>
        <v>15.260000000000002</v>
      </c>
      <c r="I43" s="5">
        <f t="shared" si="4"/>
        <v>0</v>
      </c>
      <c r="J43" s="42">
        <f t="shared" si="5"/>
        <v>0</v>
      </c>
      <c r="K43" s="42">
        <f t="shared" si="6"/>
        <v>0</v>
      </c>
      <c r="L43" s="42"/>
      <c r="M43" s="42">
        <f t="shared" si="0"/>
        <v>55.350000000000009</v>
      </c>
      <c r="N43" s="8"/>
    </row>
    <row r="44" spans="1:14">
      <c r="A44" s="1" t="s">
        <v>34</v>
      </c>
      <c r="B44" s="11"/>
      <c r="C44" s="11">
        <v>23000</v>
      </c>
      <c r="D44" s="11">
        <v>78000</v>
      </c>
      <c r="E44" s="11"/>
      <c r="F44" s="11">
        <f t="shared" si="1"/>
        <v>55000</v>
      </c>
      <c r="G44" s="5">
        <f t="shared" si="2"/>
        <v>40.090000000000003</v>
      </c>
      <c r="H44" s="5">
        <f t="shared" si="3"/>
        <v>21.8</v>
      </c>
      <c r="I44" s="5">
        <f t="shared" si="4"/>
        <v>25.299999999999997</v>
      </c>
      <c r="J44" s="42">
        <f t="shared" si="5"/>
        <v>29.5</v>
      </c>
      <c r="K44" s="42">
        <f t="shared" si="6"/>
        <v>51.3</v>
      </c>
      <c r="L44" s="42"/>
      <c r="M44" s="42">
        <f t="shared" si="0"/>
        <v>167.99</v>
      </c>
      <c r="N44" s="8"/>
    </row>
    <row r="45" spans="1:14">
      <c r="A45" s="1" t="s">
        <v>35</v>
      </c>
      <c r="B45" s="11"/>
      <c r="C45" s="11">
        <v>1303000</v>
      </c>
      <c r="D45" s="11">
        <v>1362000</v>
      </c>
      <c r="E45" s="11">
        <v>0</v>
      </c>
      <c r="F45" s="11">
        <f t="shared" si="1"/>
        <v>59000</v>
      </c>
      <c r="G45" s="5">
        <f t="shared" si="2"/>
        <v>40.090000000000003</v>
      </c>
      <c r="H45" s="5">
        <f t="shared" si="3"/>
        <v>21.8</v>
      </c>
      <c r="I45" s="5">
        <f t="shared" si="4"/>
        <v>25.299999999999997</v>
      </c>
      <c r="J45" s="42">
        <f t="shared" si="5"/>
        <v>29.5</v>
      </c>
      <c r="K45" s="42">
        <f t="shared" si="6"/>
        <v>64.98</v>
      </c>
      <c r="L45" s="42"/>
      <c r="M45" s="42">
        <f t="shared" si="0"/>
        <v>181.67000000000002</v>
      </c>
      <c r="N45" s="8"/>
    </row>
    <row r="46" spans="1:14">
      <c r="A46" s="1" t="s">
        <v>36</v>
      </c>
      <c r="B46" s="11"/>
      <c r="C46" s="11">
        <v>1578000</v>
      </c>
      <c r="D46" s="11">
        <v>1583000</v>
      </c>
      <c r="E46" s="11">
        <v>0</v>
      </c>
      <c r="F46" s="11">
        <f t="shared" si="1"/>
        <v>5000</v>
      </c>
      <c r="G46" s="5">
        <f t="shared" si="2"/>
        <v>40.090000000000003</v>
      </c>
      <c r="H46" s="5">
        <f t="shared" si="3"/>
        <v>0</v>
      </c>
      <c r="I46" s="5">
        <f t="shared" si="4"/>
        <v>0</v>
      </c>
      <c r="J46" s="42">
        <f t="shared" si="5"/>
        <v>0</v>
      </c>
      <c r="K46" s="42">
        <f t="shared" si="6"/>
        <v>0</v>
      </c>
      <c r="L46" s="42"/>
      <c r="M46" s="42">
        <f t="shared" si="0"/>
        <v>40.090000000000003</v>
      </c>
      <c r="N46" s="8"/>
    </row>
    <row r="47" spans="1:14">
      <c r="A47" s="1" t="s">
        <v>37</v>
      </c>
      <c r="B47" s="11"/>
      <c r="C47" s="11">
        <v>1571000</v>
      </c>
      <c r="D47" s="11">
        <v>1657000</v>
      </c>
      <c r="E47" s="11">
        <v>0</v>
      </c>
      <c r="F47" s="11">
        <f t="shared" si="1"/>
        <v>86000</v>
      </c>
      <c r="G47" s="5">
        <f t="shared" si="2"/>
        <v>40.090000000000003</v>
      </c>
      <c r="H47" s="5">
        <f t="shared" si="3"/>
        <v>21.8</v>
      </c>
      <c r="I47" s="5">
        <f t="shared" si="4"/>
        <v>25.299999999999997</v>
      </c>
      <c r="J47" s="42">
        <f t="shared" si="5"/>
        <v>29.5</v>
      </c>
      <c r="K47" s="42">
        <f t="shared" si="6"/>
        <v>157.32</v>
      </c>
      <c r="L47" s="42"/>
      <c r="M47" s="42">
        <f>SUM(G47:K47)</f>
        <v>274.01</v>
      </c>
      <c r="N47" s="8"/>
    </row>
    <row r="48" spans="1:14">
      <c r="A48" s="1" t="s">
        <v>38</v>
      </c>
      <c r="B48" s="11"/>
      <c r="C48" s="11">
        <v>1411000</v>
      </c>
      <c r="D48" s="11">
        <v>1446000</v>
      </c>
      <c r="E48" s="11">
        <v>0</v>
      </c>
      <c r="F48" s="11">
        <f t="shared" si="1"/>
        <v>35000</v>
      </c>
      <c r="G48" s="5">
        <f t="shared" si="2"/>
        <v>40.090000000000003</v>
      </c>
      <c r="H48" s="5">
        <f t="shared" si="3"/>
        <v>21.8</v>
      </c>
      <c r="I48" s="5">
        <f t="shared" si="4"/>
        <v>25.299999999999997</v>
      </c>
      <c r="J48" s="42">
        <f t="shared" si="5"/>
        <v>14.75</v>
      </c>
      <c r="K48" s="42">
        <f t="shared" si="6"/>
        <v>0</v>
      </c>
      <c r="L48" s="42"/>
      <c r="M48" s="42">
        <f t="shared" si="0"/>
        <v>101.94</v>
      </c>
      <c r="N48" s="8"/>
    </row>
    <row r="49" spans="1:14">
      <c r="A49" s="1" t="s">
        <v>39</v>
      </c>
      <c r="B49" s="11" t="s">
        <v>138</v>
      </c>
      <c r="C49" s="11">
        <v>0</v>
      </c>
      <c r="D49" s="11">
        <v>0</v>
      </c>
      <c r="E49" s="11">
        <v>0</v>
      </c>
      <c r="F49" s="11">
        <f t="shared" si="1"/>
        <v>0</v>
      </c>
      <c r="G49" s="5">
        <f t="shared" si="2"/>
        <v>11.79</v>
      </c>
      <c r="H49" s="5">
        <f t="shared" si="3"/>
        <v>0</v>
      </c>
      <c r="I49" s="5">
        <f t="shared" si="4"/>
        <v>0</v>
      </c>
      <c r="J49" s="42">
        <f t="shared" si="5"/>
        <v>0</v>
      </c>
      <c r="K49" s="42">
        <f t="shared" si="6"/>
        <v>0</v>
      </c>
      <c r="L49" s="42"/>
      <c r="M49" s="42">
        <f t="shared" si="0"/>
        <v>11.79</v>
      </c>
      <c r="N49" s="8"/>
    </row>
    <row r="50" spans="1:14">
      <c r="A50" s="1" t="s">
        <v>40</v>
      </c>
      <c r="B50" s="11" t="s">
        <v>138</v>
      </c>
      <c r="C50" s="11">
        <v>0</v>
      </c>
      <c r="D50" s="11">
        <v>0</v>
      </c>
      <c r="E50" s="11">
        <v>0</v>
      </c>
      <c r="F50" s="11">
        <f t="shared" si="1"/>
        <v>0</v>
      </c>
      <c r="G50" s="5">
        <f t="shared" si="2"/>
        <v>11.79</v>
      </c>
      <c r="H50" s="5">
        <f t="shared" si="3"/>
        <v>0</v>
      </c>
      <c r="I50" s="5">
        <f t="shared" si="4"/>
        <v>0</v>
      </c>
      <c r="J50" s="42">
        <f t="shared" si="5"/>
        <v>0</v>
      </c>
      <c r="K50" s="42">
        <f t="shared" si="6"/>
        <v>0</v>
      </c>
      <c r="L50" s="42"/>
      <c r="M50" s="42">
        <f t="shared" si="0"/>
        <v>11.79</v>
      </c>
      <c r="N50" s="8"/>
    </row>
    <row r="51" spans="1:14">
      <c r="A51" s="1" t="s">
        <v>41</v>
      </c>
      <c r="B51" s="11" t="s">
        <v>138</v>
      </c>
      <c r="C51" s="11">
        <v>0</v>
      </c>
      <c r="D51" s="11">
        <v>0</v>
      </c>
      <c r="E51" s="11">
        <v>0</v>
      </c>
      <c r="F51" s="11">
        <f t="shared" si="1"/>
        <v>0</v>
      </c>
      <c r="G51" s="5">
        <f t="shared" si="2"/>
        <v>11.79</v>
      </c>
      <c r="H51" s="5">
        <f t="shared" si="3"/>
        <v>0</v>
      </c>
      <c r="I51" s="5">
        <f t="shared" si="4"/>
        <v>0</v>
      </c>
      <c r="J51" s="42">
        <f t="shared" si="5"/>
        <v>0</v>
      </c>
      <c r="K51" s="42">
        <f t="shared" si="6"/>
        <v>0</v>
      </c>
      <c r="L51" s="42"/>
      <c r="M51" s="42">
        <f t="shared" si="0"/>
        <v>11.79</v>
      </c>
      <c r="N51" s="8"/>
    </row>
    <row r="52" spans="1:14">
      <c r="A52" s="1" t="s">
        <v>42</v>
      </c>
      <c r="B52" s="11"/>
      <c r="C52" s="11">
        <v>2977000</v>
      </c>
      <c r="D52" s="11">
        <v>2999000</v>
      </c>
      <c r="E52" s="11">
        <v>0</v>
      </c>
      <c r="F52" s="11">
        <f t="shared" si="1"/>
        <v>22000</v>
      </c>
      <c r="G52" s="5">
        <f t="shared" si="2"/>
        <v>40.090000000000003</v>
      </c>
      <c r="H52" s="5">
        <f t="shared" si="3"/>
        <v>21.8</v>
      </c>
      <c r="I52" s="5">
        <f t="shared" si="4"/>
        <v>5.0599999999999996</v>
      </c>
      <c r="J52" s="42">
        <f t="shared" si="5"/>
        <v>0</v>
      </c>
      <c r="K52" s="42">
        <f t="shared" si="6"/>
        <v>0</v>
      </c>
      <c r="L52" s="42"/>
      <c r="M52" s="42">
        <f t="shared" si="0"/>
        <v>66.95</v>
      </c>
      <c r="N52" s="8"/>
    </row>
    <row r="53" spans="1:14">
      <c r="A53" s="1" t="s">
        <v>43</v>
      </c>
      <c r="B53" s="11"/>
      <c r="C53" s="11">
        <v>3145000</v>
      </c>
      <c r="D53" s="11">
        <v>3169000</v>
      </c>
      <c r="E53" s="11">
        <v>0</v>
      </c>
      <c r="F53" s="11">
        <f t="shared" si="1"/>
        <v>24000</v>
      </c>
      <c r="G53" s="5">
        <f t="shared" si="2"/>
        <v>40.090000000000003</v>
      </c>
      <c r="H53" s="5">
        <f t="shared" si="3"/>
        <v>21.8</v>
      </c>
      <c r="I53" s="5">
        <f t="shared" si="4"/>
        <v>10.119999999999999</v>
      </c>
      <c r="J53" s="42">
        <f t="shared" si="5"/>
        <v>0</v>
      </c>
      <c r="K53" s="42">
        <f t="shared" si="6"/>
        <v>0</v>
      </c>
      <c r="L53" s="42"/>
      <c r="M53" s="42">
        <f t="shared" si="0"/>
        <v>72.010000000000005</v>
      </c>
      <c r="N53" s="8"/>
    </row>
    <row r="54" spans="1:14">
      <c r="A54" s="1" t="s">
        <v>44</v>
      </c>
      <c r="B54" s="11"/>
      <c r="C54" s="11">
        <v>3923000</v>
      </c>
      <c r="D54" s="11">
        <v>3953000</v>
      </c>
      <c r="E54" s="11">
        <v>0</v>
      </c>
      <c r="F54" s="11">
        <f t="shared" si="1"/>
        <v>30000</v>
      </c>
      <c r="G54" s="5">
        <f t="shared" si="2"/>
        <v>40.090000000000003</v>
      </c>
      <c r="H54" s="5">
        <f t="shared" si="3"/>
        <v>21.8</v>
      </c>
      <c r="I54" s="5">
        <f t="shared" si="4"/>
        <v>25.299999999999997</v>
      </c>
      <c r="J54" s="42">
        <f t="shared" si="5"/>
        <v>0</v>
      </c>
      <c r="K54" s="42">
        <f t="shared" si="6"/>
        <v>0</v>
      </c>
      <c r="L54" s="42"/>
      <c r="M54" s="42">
        <f t="shared" si="0"/>
        <v>87.19</v>
      </c>
      <c r="N54" s="8"/>
    </row>
    <row r="55" spans="1:14">
      <c r="A55" s="1" t="s">
        <v>45</v>
      </c>
      <c r="B55" s="11" t="s">
        <v>138</v>
      </c>
      <c r="C55" s="11">
        <v>0</v>
      </c>
      <c r="D55" s="11">
        <v>0</v>
      </c>
      <c r="E55" s="11">
        <v>0</v>
      </c>
      <c r="F55" s="11">
        <f t="shared" si="1"/>
        <v>0</v>
      </c>
      <c r="G55" s="5">
        <f t="shared" si="2"/>
        <v>11.79</v>
      </c>
      <c r="H55" s="5">
        <f t="shared" si="3"/>
        <v>0</v>
      </c>
      <c r="I55" s="5">
        <f t="shared" si="4"/>
        <v>0</v>
      </c>
      <c r="J55" s="42">
        <f t="shared" si="5"/>
        <v>0</v>
      </c>
      <c r="K55" s="42">
        <f t="shared" si="6"/>
        <v>0</v>
      </c>
      <c r="L55" s="42"/>
      <c r="M55" s="42">
        <f t="shared" si="0"/>
        <v>11.79</v>
      </c>
      <c r="N55" s="8"/>
    </row>
    <row r="56" spans="1:14">
      <c r="A56" s="1" t="s">
        <v>46</v>
      </c>
      <c r="B56" s="11" t="s">
        <v>138</v>
      </c>
      <c r="C56" s="11">
        <v>0</v>
      </c>
      <c r="D56" s="11">
        <v>0</v>
      </c>
      <c r="E56" s="11">
        <v>0</v>
      </c>
      <c r="F56" s="11">
        <f t="shared" si="1"/>
        <v>0</v>
      </c>
      <c r="G56" s="5">
        <f t="shared" si="2"/>
        <v>11.79</v>
      </c>
      <c r="H56" s="5">
        <f t="shared" si="3"/>
        <v>0</v>
      </c>
      <c r="I56" s="5">
        <f t="shared" si="4"/>
        <v>0</v>
      </c>
      <c r="J56" s="42">
        <f t="shared" si="5"/>
        <v>0</v>
      </c>
      <c r="K56" s="42">
        <f t="shared" si="6"/>
        <v>0</v>
      </c>
      <c r="L56" s="42"/>
      <c r="M56" s="42">
        <f t="shared" si="0"/>
        <v>11.79</v>
      </c>
      <c r="N56" s="8"/>
    </row>
    <row r="57" spans="1:14">
      <c r="A57" s="1" t="s">
        <v>47</v>
      </c>
      <c r="B57" s="11" t="s">
        <v>138</v>
      </c>
      <c r="C57" s="11">
        <v>0</v>
      </c>
      <c r="D57" s="11">
        <v>0</v>
      </c>
      <c r="E57" s="11">
        <v>0</v>
      </c>
      <c r="F57" s="11">
        <f t="shared" si="1"/>
        <v>0</v>
      </c>
      <c r="G57" s="5">
        <f t="shared" si="2"/>
        <v>11.79</v>
      </c>
      <c r="H57" s="5">
        <f t="shared" si="3"/>
        <v>0</v>
      </c>
      <c r="I57" s="5">
        <f t="shared" si="4"/>
        <v>0</v>
      </c>
      <c r="J57" s="42">
        <f t="shared" si="5"/>
        <v>0</v>
      </c>
      <c r="K57" s="42">
        <f t="shared" si="6"/>
        <v>0</v>
      </c>
      <c r="L57" s="42"/>
      <c r="M57" s="42">
        <f t="shared" si="0"/>
        <v>11.79</v>
      </c>
      <c r="N57" s="8"/>
    </row>
    <row r="58" spans="1:14">
      <c r="A58" s="1" t="s">
        <v>48</v>
      </c>
      <c r="B58" s="11"/>
      <c r="C58" s="11">
        <v>1108000</v>
      </c>
      <c r="D58" s="11">
        <v>1111000</v>
      </c>
      <c r="E58" s="11">
        <v>0</v>
      </c>
      <c r="F58" s="11">
        <f t="shared" si="1"/>
        <v>3000</v>
      </c>
      <c r="G58" s="5">
        <f t="shared" si="2"/>
        <v>40.090000000000003</v>
      </c>
      <c r="H58" s="5">
        <f t="shared" si="3"/>
        <v>0</v>
      </c>
      <c r="I58" s="5">
        <f t="shared" si="4"/>
        <v>0</v>
      </c>
      <c r="J58" s="42">
        <f t="shared" si="5"/>
        <v>0</v>
      </c>
      <c r="K58" s="42">
        <f t="shared" si="6"/>
        <v>0</v>
      </c>
      <c r="L58" s="42"/>
      <c r="M58" s="42">
        <f t="shared" si="0"/>
        <v>40.090000000000003</v>
      </c>
      <c r="N58" s="8"/>
    </row>
    <row r="59" spans="1:14">
      <c r="A59" s="1" t="s">
        <v>49</v>
      </c>
      <c r="B59" s="11"/>
      <c r="C59" s="11">
        <v>846000</v>
      </c>
      <c r="D59" s="11">
        <v>855000</v>
      </c>
      <c r="E59" s="11">
        <v>0</v>
      </c>
      <c r="F59" s="11">
        <f t="shared" si="1"/>
        <v>9000</v>
      </c>
      <c r="G59" s="5">
        <f t="shared" si="2"/>
        <v>40.090000000000003</v>
      </c>
      <c r="H59" s="5">
        <f t="shared" si="3"/>
        <v>0</v>
      </c>
      <c r="I59" s="5">
        <f t="shared" si="4"/>
        <v>0</v>
      </c>
      <c r="J59" s="42">
        <f t="shared" si="5"/>
        <v>0</v>
      </c>
      <c r="K59" s="42">
        <f t="shared" si="6"/>
        <v>0</v>
      </c>
      <c r="L59" s="42"/>
      <c r="M59" s="42">
        <f t="shared" si="0"/>
        <v>40.090000000000003</v>
      </c>
      <c r="N59" s="8"/>
    </row>
    <row r="60" spans="1:14">
      <c r="A60" s="1" t="s">
        <v>50</v>
      </c>
      <c r="B60" s="11"/>
      <c r="C60" s="11">
        <v>3405000</v>
      </c>
      <c r="D60" s="11">
        <v>3436000</v>
      </c>
      <c r="E60" s="11">
        <v>0</v>
      </c>
      <c r="F60" s="11">
        <f t="shared" si="1"/>
        <v>31000</v>
      </c>
      <c r="G60" s="5">
        <f t="shared" si="2"/>
        <v>40.090000000000003</v>
      </c>
      <c r="H60" s="5">
        <f t="shared" si="3"/>
        <v>21.8</v>
      </c>
      <c r="I60" s="5">
        <f t="shared" si="4"/>
        <v>25.299999999999997</v>
      </c>
      <c r="J60" s="42">
        <f t="shared" si="5"/>
        <v>2.95</v>
      </c>
      <c r="K60" s="42">
        <f t="shared" si="6"/>
        <v>0</v>
      </c>
      <c r="L60" s="42"/>
      <c r="M60" s="42">
        <f t="shared" si="0"/>
        <v>90.14</v>
      </c>
      <c r="N60" s="8"/>
    </row>
    <row r="61" spans="1:14">
      <c r="A61" s="1" t="s">
        <v>51</v>
      </c>
      <c r="B61" s="11" t="s">
        <v>138</v>
      </c>
      <c r="C61" s="11">
        <v>0</v>
      </c>
      <c r="D61" s="11">
        <v>0</v>
      </c>
      <c r="E61" s="11">
        <v>0</v>
      </c>
      <c r="F61" s="11">
        <f t="shared" si="1"/>
        <v>0</v>
      </c>
      <c r="G61" s="5">
        <f t="shared" si="2"/>
        <v>11.79</v>
      </c>
      <c r="H61" s="5">
        <f t="shared" si="3"/>
        <v>0</v>
      </c>
      <c r="I61" s="5">
        <f t="shared" si="4"/>
        <v>0</v>
      </c>
      <c r="J61" s="42">
        <f t="shared" si="5"/>
        <v>0</v>
      </c>
      <c r="K61" s="42">
        <f t="shared" si="6"/>
        <v>0</v>
      </c>
      <c r="L61" s="42"/>
      <c r="M61" s="42">
        <f t="shared" si="0"/>
        <v>11.79</v>
      </c>
      <c r="N61" s="8"/>
    </row>
    <row r="62" spans="1:14">
      <c r="A62" s="1" t="s">
        <v>52</v>
      </c>
      <c r="B62" s="11"/>
      <c r="C62" s="11">
        <v>1678000</v>
      </c>
      <c r="D62" s="11">
        <v>1687000</v>
      </c>
      <c r="E62" s="11">
        <v>0</v>
      </c>
      <c r="F62" s="11">
        <f t="shared" si="1"/>
        <v>9000</v>
      </c>
      <c r="G62" s="5">
        <f t="shared" si="2"/>
        <v>40.090000000000003</v>
      </c>
      <c r="H62" s="5">
        <f t="shared" si="3"/>
        <v>0</v>
      </c>
      <c r="I62" s="5">
        <f t="shared" si="4"/>
        <v>0</v>
      </c>
      <c r="J62" s="42">
        <f t="shared" si="5"/>
        <v>0</v>
      </c>
      <c r="K62" s="42">
        <f t="shared" si="6"/>
        <v>0</v>
      </c>
      <c r="L62" s="42"/>
      <c r="M62" s="42">
        <f t="shared" si="0"/>
        <v>40.090000000000003</v>
      </c>
      <c r="N62" s="8"/>
    </row>
    <row r="63" spans="1:14">
      <c r="A63" s="1" t="s">
        <v>53</v>
      </c>
      <c r="B63" s="11"/>
      <c r="C63" s="11">
        <v>2223000</v>
      </c>
      <c r="D63" s="11">
        <v>2260000</v>
      </c>
      <c r="E63" s="11">
        <v>0</v>
      </c>
      <c r="F63" s="11">
        <f t="shared" si="1"/>
        <v>37000</v>
      </c>
      <c r="G63" s="5">
        <f t="shared" si="2"/>
        <v>40.090000000000003</v>
      </c>
      <c r="H63" s="5">
        <f t="shared" si="3"/>
        <v>21.8</v>
      </c>
      <c r="I63" s="5">
        <f t="shared" si="4"/>
        <v>25.299999999999997</v>
      </c>
      <c r="J63" s="42">
        <f t="shared" si="5"/>
        <v>20.650000000000002</v>
      </c>
      <c r="K63" s="42">
        <f t="shared" si="6"/>
        <v>0</v>
      </c>
      <c r="L63" s="42"/>
      <c r="M63" s="42">
        <f t="shared" si="0"/>
        <v>107.84</v>
      </c>
      <c r="N63" s="8"/>
    </row>
    <row r="64" spans="1:14">
      <c r="A64" s="1" t="s">
        <v>54</v>
      </c>
      <c r="B64" s="11"/>
      <c r="C64" s="11">
        <v>2745000</v>
      </c>
      <c r="D64" s="11">
        <v>2843000</v>
      </c>
      <c r="E64" s="11">
        <v>0</v>
      </c>
      <c r="F64" s="11">
        <f t="shared" si="1"/>
        <v>98000</v>
      </c>
      <c r="G64" s="5">
        <f t="shared" si="2"/>
        <v>40.090000000000003</v>
      </c>
      <c r="H64" s="5">
        <f t="shared" si="3"/>
        <v>21.8</v>
      </c>
      <c r="I64" s="5">
        <f t="shared" si="4"/>
        <v>25.299999999999997</v>
      </c>
      <c r="J64" s="42">
        <f t="shared" si="5"/>
        <v>29.5</v>
      </c>
      <c r="K64" s="42">
        <f t="shared" si="6"/>
        <v>198.35999999999999</v>
      </c>
      <c r="L64" s="42"/>
      <c r="M64" s="42">
        <f t="shared" si="0"/>
        <v>315.04999999999995</v>
      </c>
      <c r="N64" s="8"/>
    </row>
    <row r="65" spans="1:14">
      <c r="A65" s="1" t="s">
        <v>55</v>
      </c>
      <c r="B65" s="11" t="s">
        <v>138</v>
      </c>
      <c r="C65" s="11">
        <v>0</v>
      </c>
      <c r="D65" s="11">
        <v>0</v>
      </c>
      <c r="E65" s="11">
        <v>0</v>
      </c>
      <c r="F65" s="11">
        <f t="shared" si="1"/>
        <v>0</v>
      </c>
      <c r="G65" s="5">
        <f t="shared" si="2"/>
        <v>11.79</v>
      </c>
      <c r="H65" s="5">
        <f t="shared" si="3"/>
        <v>0</v>
      </c>
      <c r="I65" s="5">
        <f t="shared" si="4"/>
        <v>0</v>
      </c>
      <c r="J65" s="42">
        <f t="shared" si="5"/>
        <v>0</v>
      </c>
      <c r="K65" s="42">
        <f t="shared" si="6"/>
        <v>0</v>
      </c>
      <c r="L65" s="42"/>
      <c r="M65" s="42">
        <f t="shared" si="0"/>
        <v>11.79</v>
      </c>
      <c r="N65" s="8"/>
    </row>
    <row r="66" spans="1:14">
      <c r="A66" s="1" t="s">
        <v>56</v>
      </c>
      <c r="B66" s="11"/>
      <c r="C66" s="11">
        <v>1333000</v>
      </c>
      <c r="D66" s="11">
        <v>1388000</v>
      </c>
      <c r="E66" s="11">
        <v>0</v>
      </c>
      <c r="F66" s="11">
        <f t="shared" si="1"/>
        <v>55000</v>
      </c>
      <c r="G66" s="5">
        <f t="shared" si="2"/>
        <v>40.090000000000003</v>
      </c>
      <c r="H66" s="5">
        <f t="shared" si="3"/>
        <v>21.8</v>
      </c>
      <c r="I66" s="5">
        <f t="shared" si="4"/>
        <v>25.299999999999997</v>
      </c>
      <c r="J66" s="42">
        <f t="shared" si="5"/>
        <v>29.5</v>
      </c>
      <c r="K66" s="42">
        <f t="shared" si="6"/>
        <v>51.3</v>
      </c>
      <c r="L66" s="42"/>
      <c r="M66" s="42">
        <f t="shared" si="0"/>
        <v>167.99</v>
      </c>
      <c r="N66" s="8"/>
    </row>
    <row r="67" spans="1:14">
      <c r="A67" s="1" t="s">
        <v>57</v>
      </c>
      <c r="B67" s="11"/>
      <c r="C67" s="11">
        <v>1609000</v>
      </c>
      <c r="D67" s="11">
        <v>1609000</v>
      </c>
      <c r="E67" s="11">
        <v>0</v>
      </c>
      <c r="F67" s="11">
        <f t="shared" si="1"/>
        <v>0</v>
      </c>
      <c r="G67" s="5">
        <f t="shared" si="2"/>
        <v>40.090000000000003</v>
      </c>
      <c r="H67" s="5">
        <f t="shared" si="3"/>
        <v>0</v>
      </c>
      <c r="I67" s="5">
        <f t="shared" si="4"/>
        <v>0</v>
      </c>
      <c r="J67" s="42">
        <f t="shared" si="5"/>
        <v>0</v>
      </c>
      <c r="K67" s="42">
        <f t="shared" si="6"/>
        <v>0</v>
      </c>
      <c r="L67" s="42"/>
      <c r="M67" s="42">
        <f t="shared" si="0"/>
        <v>40.090000000000003</v>
      </c>
      <c r="N67" s="8"/>
    </row>
    <row r="68" spans="1:14">
      <c r="A68" s="1" t="s">
        <v>58</v>
      </c>
      <c r="B68" s="11" t="s">
        <v>138</v>
      </c>
      <c r="C68" s="11">
        <v>0</v>
      </c>
      <c r="D68" s="11">
        <v>0</v>
      </c>
      <c r="E68" s="11">
        <v>0</v>
      </c>
      <c r="F68" s="11">
        <f t="shared" si="1"/>
        <v>0</v>
      </c>
      <c r="G68" s="5">
        <f t="shared" si="2"/>
        <v>11.79</v>
      </c>
      <c r="H68" s="5">
        <f t="shared" si="3"/>
        <v>0</v>
      </c>
      <c r="I68" s="5">
        <f t="shared" si="4"/>
        <v>0</v>
      </c>
      <c r="J68" s="42">
        <f t="shared" si="5"/>
        <v>0</v>
      </c>
      <c r="K68" s="42">
        <f t="shared" si="6"/>
        <v>0</v>
      </c>
      <c r="L68" s="42"/>
      <c r="M68" s="42">
        <f t="shared" si="0"/>
        <v>11.79</v>
      </c>
      <c r="N68" s="8"/>
    </row>
    <row r="69" spans="1:14">
      <c r="A69" s="1" t="s">
        <v>59</v>
      </c>
      <c r="B69" s="11" t="s">
        <v>138</v>
      </c>
      <c r="C69" s="11">
        <v>0</v>
      </c>
      <c r="D69" s="11">
        <v>0</v>
      </c>
      <c r="E69" s="11">
        <v>0</v>
      </c>
      <c r="F69" s="11">
        <f t="shared" si="1"/>
        <v>0</v>
      </c>
      <c r="G69" s="5">
        <f t="shared" si="2"/>
        <v>11.79</v>
      </c>
      <c r="H69" s="5">
        <f t="shared" si="3"/>
        <v>0</v>
      </c>
      <c r="I69" s="5">
        <f t="shared" si="4"/>
        <v>0</v>
      </c>
      <c r="J69" s="42">
        <f t="shared" si="5"/>
        <v>0</v>
      </c>
      <c r="K69" s="42">
        <f t="shared" si="6"/>
        <v>0</v>
      </c>
      <c r="L69" s="42"/>
      <c r="M69" s="42">
        <f t="shared" si="0"/>
        <v>11.79</v>
      </c>
      <c r="N69" s="8"/>
    </row>
    <row r="70" spans="1:14">
      <c r="A70" s="1" t="s">
        <v>60</v>
      </c>
      <c r="B70" s="11" t="s">
        <v>138</v>
      </c>
      <c r="C70" s="11">
        <v>0</v>
      </c>
      <c r="D70" s="11">
        <v>0</v>
      </c>
      <c r="E70" s="11">
        <v>0</v>
      </c>
      <c r="F70" s="11">
        <f t="shared" si="1"/>
        <v>0</v>
      </c>
      <c r="G70" s="5">
        <f t="shared" si="2"/>
        <v>11.79</v>
      </c>
      <c r="H70" s="5">
        <f t="shared" si="3"/>
        <v>0</v>
      </c>
      <c r="I70" s="5">
        <f t="shared" si="4"/>
        <v>0</v>
      </c>
      <c r="J70" s="42">
        <f t="shared" si="5"/>
        <v>0</v>
      </c>
      <c r="K70" s="42">
        <f t="shared" si="6"/>
        <v>0</v>
      </c>
      <c r="L70" s="42"/>
      <c r="M70" s="42">
        <f t="shared" si="0"/>
        <v>11.79</v>
      </c>
      <c r="N70" s="8"/>
    </row>
    <row r="71" spans="1:14">
      <c r="A71" s="1" t="s">
        <v>61</v>
      </c>
      <c r="B71" s="11"/>
      <c r="C71" s="11">
        <v>1315000</v>
      </c>
      <c r="D71" s="11">
        <v>1323000</v>
      </c>
      <c r="E71" s="11">
        <v>0</v>
      </c>
      <c r="F71" s="11">
        <f t="shared" si="1"/>
        <v>8000</v>
      </c>
      <c r="G71" s="5">
        <f t="shared" si="2"/>
        <v>40.090000000000003</v>
      </c>
      <c r="H71" s="5">
        <f t="shared" si="3"/>
        <v>0</v>
      </c>
      <c r="I71" s="5">
        <f t="shared" si="4"/>
        <v>0</v>
      </c>
      <c r="J71" s="42">
        <f t="shared" si="5"/>
        <v>0</v>
      </c>
      <c r="K71" s="42">
        <f t="shared" si="6"/>
        <v>0</v>
      </c>
      <c r="L71" s="42"/>
      <c r="M71" s="42">
        <f t="shared" si="0"/>
        <v>40.090000000000003</v>
      </c>
      <c r="N71" s="8"/>
    </row>
    <row r="72" spans="1:14">
      <c r="A72" s="1" t="s">
        <v>62</v>
      </c>
      <c r="B72" s="11"/>
      <c r="C72" s="11">
        <v>1866000</v>
      </c>
      <c r="D72" s="11">
        <v>1874000</v>
      </c>
      <c r="E72" s="11">
        <v>0</v>
      </c>
      <c r="F72" s="11">
        <f t="shared" si="1"/>
        <v>8000</v>
      </c>
      <c r="G72" s="5">
        <f t="shared" si="2"/>
        <v>40.090000000000003</v>
      </c>
      <c r="H72" s="5">
        <f t="shared" si="3"/>
        <v>0</v>
      </c>
      <c r="I72" s="5">
        <f t="shared" si="4"/>
        <v>0</v>
      </c>
      <c r="J72" s="42">
        <f t="shared" si="5"/>
        <v>0</v>
      </c>
      <c r="K72" s="42">
        <f t="shared" si="6"/>
        <v>0</v>
      </c>
      <c r="L72" s="42"/>
      <c r="M72" s="42">
        <f t="shared" si="0"/>
        <v>40.090000000000003</v>
      </c>
      <c r="N72" s="8"/>
    </row>
    <row r="73" spans="1:14">
      <c r="A73" s="1" t="s">
        <v>63</v>
      </c>
      <c r="B73" s="11" t="s">
        <v>138</v>
      </c>
      <c r="C73" s="11">
        <v>0</v>
      </c>
      <c r="D73" s="11">
        <v>0</v>
      </c>
      <c r="E73" s="11">
        <v>0</v>
      </c>
      <c r="F73" s="11">
        <f t="shared" si="1"/>
        <v>0</v>
      </c>
      <c r="G73" s="5">
        <f t="shared" si="2"/>
        <v>11.79</v>
      </c>
      <c r="H73" s="5">
        <f t="shared" si="3"/>
        <v>0</v>
      </c>
      <c r="I73" s="5">
        <f t="shared" si="4"/>
        <v>0</v>
      </c>
      <c r="J73" s="42">
        <f t="shared" si="5"/>
        <v>0</v>
      </c>
      <c r="K73" s="42">
        <f t="shared" si="6"/>
        <v>0</v>
      </c>
      <c r="L73" s="42"/>
      <c r="M73" s="42">
        <f t="shared" si="0"/>
        <v>11.79</v>
      </c>
      <c r="N73" s="8"/>
    </row>
    <row r="74" spans="1:14">
      <c r="A74" s="1" t="s">
        <v>64</v>
      </c>
      <c r="B74" s="11"/>
      <c r="C74" s="11">
        <v>4783000</v>
      </c>
      <c r="D74" s="11">
        <v>4819000</v>
      </c>
      <c r="E74" s="11">
        <v>0</v>
      </c>
      <c r="F74" s="11">
        <f t="shared" si="1"/>
        <v>36000</v>
      </c>
      <c r="G74" s="5">
        <f t="shared" si="2"/>
        <v>40.090000000000003</v>
      </c>
      <c r="H74" s="5">
        <f t="shared" si="3"/>
        <v>21.8</v>
      </c>
      <c r="I74" s="5">
        <f t="shared" si="4"/>
        <v>25.299999999999997</v>
      </c>
      <c r="J74" s="42">
        <f t="shared" si="5"/>
        <v>17.700000000000003</v>
      </c>
      <c r="K74" s="42">
        <f t="shared" si="6"/>
        <v>0</v>
      </c>
      <c r="L74" s="42"/>
      <c r="M74" s="42">
        <f t="shared" si="0"/>
        <v>104.89</v>
      </c>
      <c r="N74" s="8"/>
    </row>
    <row r="75" spans="1:14">
      <c r="A75" s="1" t="s">
        <v>65</v>
      </c>
      <c r="B75" s="11"/>
      <c r="C75" s="11">
        <v>6465000</v>
      </c>
      <c r="D75" s="11">
        <v>6502000</v>
      </c>
      <c r="E75" s="11">
        <v>0</v>
      </c>
      <c r="F75" s="11">
        <f t="shared" si="1"/>
        <v>37000</v>
      </c>
      <c r="G75" s="5">
        <f t="shared" si="2"/>
        <v>40.090000000000003</v>
      </c>
      <c r="H75" s="5">
        <f t="shared" si="3"/>
        <v>21.8</v>
      </c>
      <c r="I75" s="5">
        <f t="shared" si="4"/>
        <v>25.299999999999997</v>
      </c>
      <c r="J75" s="42">
        <f t="shared" si="5"/>
        <v>20.650000000000002</v>
      </c>
      <c r="K75" s="42">
        <f t="shared" si="6"/>
        <v>0</v>
      </c>
      <c r="L75" s="42"/>
      <c r="M75" s="42">
        <f t="shared" ref="M75" si="7">SUM(G75:K75)</f>
        <v>107.84</v>
      </c>
      <c r="N75" s="8"/>
    </row>
    <row r="76" spans="1:14">
      <c r="A76" s="1" t="s">
        <v>66</v>
      </c>
      <c r="B76" s="11"/>
      <c r="C76" s="11">
        <v>9153000</v>
      </c>
      <c r="D76" s="11">
        <v>9171000</v>
      </c>
      <c r="E76" s="11">
        <v>0</v>
      </c>
      <c r="F76" s="11">
        <f t="shared" ref="F76:F136" si="8">($D76-$C76)+$E76</f>
        <v>18000</v>
      </c>
      <c r="G76" s="5">
        <f t="shared" si="2"/>
        <v>40.090000000000003</v>
      </c>
      <c r="H76" s="5">
        <f t="shared" si="3"/>
        <v>17.440000000000001</v>
      </c>
      <c r="I76" s="5">
        <f t="shared" si="4"/>
        <v>0</v>
      </c>
      <c r="J76" s="42">
        <f t="shared" si="5"/>
        <v>0</v>
      </c>
      <c r="K76" s="42">
        <f t="shared" si="6"/>
        <v>0</v>
      </c>
      <c r="L76" s="42"/>
      <c r="M76" s="42">
        <f t="shared" ref="M76:M136" si="9">SUM(G76:K76)</f>
        <v>57.53</v>
      </c>
      <c r="N76" s="8"/>
    </row>
    <row r="77" spans="1:14">
      <c r="A77" s="1" t="s">
        <v>67</v>
      </c>
      <c r="B77" s="11" t="s">
        <v>138</v>
      </c>
      <c r="C77" s="11">
        <v>0</v>
      </c>
      <c r="D77" s="11">
        <v>0</v>
      </c>
      <c r="E77" s="11">
        <v>0</v>
      </c>
      <c r="F77" s="11">
        <f t="shared" si="8"/>
        <v>0</v>
      </c>
      <c r="G77" s="5">
        <f t="shared" si="2"/>
        <v>11.79</v>
      </c>
      <c r="H77" s="5">
        <f t="shared" si="3"/>
        <v>0</v>
      </c>
      <c r="I77" s="5">
        <f t="shared" si="4"/>
        <v>0</v>
      </c>
      <c r="J77" s="42">
        <f t="shared" si="5"/>
        <v>0</v>
      </c>
      <c r="K77" s="42">
        <f t="shared" si="6"/>
        <v>0</v>
      </c>
      <c r="L77" s="42"/>
      <c r="M77" s="42">
        <f t="shared" si="9"/>
        <v>11.79</v>
      </c>
      <c r="N77" s="8"/>
    </row>
    <row r="78" spans="1:14">
      <c r="A78" s="1" t="s">
        <v>68</v>
      </c>
      <c r="B78" s="11"/>
      <c r="C78" s="11">
        <v>3453000</v>
      </c>
      <c r="D78" s="11">
        <v>3490000</v>
      </c>
      <c r="E78" s="11">
        <v>0</v>
      </c>
      <c r="F78" s="11">
        <f t="shared" si="8"/>
        <v>37000</v>
      </c>
      <c r="G78" s="5">
        <f t="shared" si="2"/>
        <v>40.090000000000003</v>
      </c>
      <c r="H78" s="5">
        <f t="shared" si="3"/>
        <v>21.8</v>
      </c>
      <c r="I78" s="5">
        <f t="shared" si="4"/>
        <v>25.299999999999997</v>
      </c>
      <c r="J78" s="42">
        <f t="shared" si="5"/>
        <v>20.650000000000002</v>
      </c>
      <c r="K78" s="42">
        <f t="shared" si="6"/>
        <v>0</v>
      </c>
      <c r="L78" s="42"/>
      <c r="M78" s="42">
        <f t="shared" si="9"/>
        <v>107.84</v>
      </c>
      <c r="N78" s="8"/>
    </row>
    <row r="79" spans="1:14">
      <c r="A79" s="1" t="s">
        <v>69</v>
      </c>
      <c r="B79" s="11"/>
      <c r="C79" s="11">
        <v>2215000</v>
      </c>
      <c r="D79" s="11">
        <v>2231000</v>
      </c>
      <c r="E79" s="11">
        <v>0</v>
      </c>
      <c r="F79" s="11">
        <f t="shared" si="8"/>
        <v>16000</v>
      </c>
      <c r="G79" s="5">
        <f t="shared" si="2"/>
        <v>40.090000000000003</v>
      </c>
      <c r="H79" s="5">
        <f t="shared" si="3"/>
        <v>13.080000000000002</v>
      </c>
      <c r="I79" s="5">
        <f t="shared" si="4"/>
        <v>0</v>
      </c>
      <c r="J79" s="42">
        <f t="shared" si="5"/>
        <v>0</v>
      </c>
      <c r="K79" s="42">
        <f t="shared" si="6"/>
        <v>0</v>
      </c>
      <c r="L79" s="42"/>
      <c r="M79" s="42">
        <f t="shared" si="9"/>
        <v>53.17</v>
      </c>
      <c r="N79" s="8"/>
    </row>
    <row r="80" spans="1:14">
      <c r="A80" s="1" t="s">
        <v>70</v>
      </c>
      <c r="B80" s="11"/>
      <c r="C80" s="11">
        <v>1304000</v>
      </c>
      <c r="D80" s="11">
        <v>1335000</v>
      </c>
      <c r="E80" s="11">
        <v>0</v>
      </c>
      <c r="F80" s="11">
        <f t="shared" si="8"/>
        <v>31000</v>
      </c>
      <c r="G80" s="5">
        <f t="shared" si="2"/>
        <v>40.090000000000003</v>
      </c>
      <c r="H80" s="5">
        <f t="shared" si="3"/>
        <v>21.8</v>
      </c>
      <c r="I80" s="5">
        <f t="shared" si="4"/>
        <v>25.299999999999997</v>
      </c>
      <c r="J80" s="42">
        <f t="shared" si="5"/>
        <v>2.95</v>
      </c>
      <c r="K80" s="42">
        <f t="shared" si="6"/>
        <v>0</v>
      </c>
      <c r="L80" s="42"/>
      <c r="M80" s="42">
        <f t="shared" si="9"/>
        <v>90.14</v>
      </c>
      <c r="N80" s="8"/>
    </row>
    <row r="81" spans="1:14">
      <c r="A81" s="1" t="s">
        <v>71</v>
      </c>
      <c r="B81" s="11" t="s">
        <v>138</v>
      </c>
      <c r="C81" s="11">
        <v>0</v>
      </c>
      <c r="D81" s="11">
        <v>0</v>
      </c>
      <c r="E81" s="11">
        <v>0</v>
      </c>
      <c r="F81" s="11">
        <f t="shared" si="8"/>
        <v>0</v>
      </c>
      <c r="G81" s="5">
        <f t="shared" ref="G81:G136" si="10">IF(OR($F81&gt;0,$B81=""),40.09,11.79)</f>
        <v>11.79</v>
      </c>
      <c r="H81" s="5">
        <f t="shared" ref="H81:H136" si="11">IF(AND((($F81-10000)&gt;=0),(($F81-10000)&lt;= 10000)),($F81-10000)/1000*2.18,IF(($F81-10000)&gt;=10000,2.18*10,0))</f>
        <v>0</v>
      </c>
      <c r="I81" s="5">
        <f t="shared" ref="I81:I136" si="12">IF(AND((($F81-20000)&gt;=0),(($F81-20000)&lt;=10000)),($F81-20000)/1000*2.53,IF(($F81-20000)&gt;=10000,2.53*10,0))</f>
        <v>0</v>
      </c>
      <c r="J81" s="42">
        <f t="shared" ref="J81:J136" si="13">IF(AND((($F81-30000)&gt;=0),(($F81-30000)&lt;=10000)),($F81-30000)/1000*2.95,IF(($F81-30000)&gt;=10000,2.95*10,0))</f>
        <v>0</v>
      </c>
      <c r="K81" s="42">
        <f t="shared" ref="K81:K136" si="14">IF((($F81-40000)&gt;=0),($F81-40000)/1000*3.42,0)</f>
        <v>0</v>
      </c>
      <c r="L81" s="42"/>
      <c r="M81" s="42">
        <f t="shared" si="9"/>
        <v>11.79</v>
      </c>
      <c r="N81" s="8"/>
    </row>
    <row r="82" spans="1:14">
      <c r="A82" s="1" t="s">
        <v>72</v>
      </c>
      <c r="B82" s="11"/>
      <c r="C82" s="11">
        <v>13000</v>
      </c>
      <c r="D82" s="11">
        <v>43000</v>
      </c>
      <c r="E82" s="11">
        <v>0</v>
      </c>
      <c r="F82" s="11">
        <f t="shared" si="8"/>
        <v>30000</v>
      </c>
      <c r="G82" s="5">
        <f t="shared" si="10"/>
        <v>40.090000000000003</v>
      </c>
      <c r="H82" s="5">
        <f t="shared" si="11"/>
        <v>21.8</v>
      </c>
      <c r="I82" s="5">
        <f t="shared" si="12"/>
        <v>25.299999999999997</v>
      </c>
      <c r="J82" s="42">
        <f t="shared" si="13"/>
        <v>0</v>
      </c>
      <c r="K82" s="42">
        <f t="shared" si="14"/>
        <v>0</v>
      </c>
      <c r="L82" s="42"/>
      <c r="M82" s="42">
        <f t="shared" si="9"/>
        <v>87.19</v>
      </c>
      <c r="N82" s="8" t="s">
        <v>139</v>
      </c>
    </row>
    <row r="83" spans="1:14">
      <c r="A83" s="1" t="s">
        <v>73</v>
      </c>
      <c r="B83" s="11"/>
      <c r="C83" s="11">
        <v>1889000</v>
      </c>
      <c r="D83" s="11">
        <v>1896000</v>
      </c>
      <c r="E83" s="11">
        <v>0</v>
      </c>
      <c r="F83" s="11">
        <f t="shared" si="8"/>
        <v>7000</v>
      </c>
      <c r="G83" s="5">
        <f t="shared" si="10"/>
        <v>40.090000000000003</v>
      </c>
      <c r="H83" s="5">
        <f t="shared" si="11"/>
        <v>0</v>
      </c>
      <c r="I83" s="5">
        <f t="shared" si="12"/>
        <v>0</v>
      </c>
      <c r="J83" s="42">
        <f t="shared" si="13"/>
        <v>0</v>
      </c>
      <c r="K83" s="42">
        <f t="shared" si="14"/>
        <v>0</v>
      </c>
      <c r="L83" s="42"/>
      <c r="M83" s="42">
        <f t="shared" si="9"/>
        <v>40.090000000000003</v>
      </c>
      <c r="N83" s="8"/>
    </row>
    <row r="84" spans="1:14">
      <c r="A84" s="1" t="s">
        <v>74</v>
      </c>
      <c r="B84" s="11" t="s">
        <v>138</v>
      </c>
      <c r="C84" s="11">
        <v>0</v>
      </c>
      <c r="D84" s="11">
        <v>0</v>
      </c>
      <c r="E84" s="11">
        <v>0</v>
      </c>
      <c r="F84" s="11">
        <f t="shared" si="8"/>
        <v>0</v>
      </c>
      <c r="G84" s="5">
        <f t="shared" si="10"/>
        <v>11.79</v>
      </c>
      <c r="H84" s="5">
        <f t="shared" si="11"/>
        <v>0</v>
      </c>
      <c r="I84" s="5">
        <f t="shared" si="12"/>
        <v>0</v>
      </c>
      <c r="J84" s="42">
        <f t="shared" si="13"/>
        <v>0</v>
      </c>
      <c r="K84" s="42">
        <f t="shared" si="14"/>
        <v>0</v>
      </c>
      <c r="L84" s="42"/>
      <c r="M84" s="42">
        <f t="shared" si="9"/>
        <v>11.79</v>
      </c>
      <c r="N84" s="8"/>
    </row>
    <row r="85" spans="1:14">
      <c r="A85" s="1" t="s">
        <v>75</v>
      </c>
      <c r="B85" s="11"/>
      <c r="C85" s="11">
        <v>711000</v>
      </c>
      <c r="D85" s="11">
        <v>713000</v>
      </c>
      <c r="E85" s="11">
        <v>0</v>
      </c>
      <c r="F85" s="11">
        <f t="shared" si="8"/>
        <v>2000</v>
      </c>
      <c r="G85" s="5">
        <f t="shared" si="10"/>
        <v>40.090000000000003</v>
      </c>
      <c r="H85" s="5">
        <f t="shared" si="11"/>
        <v>0</v>
      </c>
      <c r="I85" s="5">
        <f t="shared" si="12"/>
        <v>0</v>
      </c>
      <c r="J85" s="42">
        <f t="shared" si="13"/>
        <v>0</v>
      </c>
      <c r="K85" s="42">
        <f t="shared" si="14"/>
        <v>0</v>
      </c>
      <c r="L85" s="42"/>
      <c r="M85" s="42">
        <f t="shared" si="9"/>
        <v>40.090000000000003</v>
      </c>
      <c r="N85" s="8"/>
    </row>
    <row r="86" spans="1:14">
      <c r="A86" s="1" t="s">
        <v>76</v>
      </c>
      <c r="B86" s="11"/>
      <c r="C86" s="11">
        <v>15000</v>
      </c>
      <c r="D86" s="11">
        <v>51000</v>
      </c>
      <c r="E86" s="11">
        <v>0</v>
      </c>
      <c r="F86" s="11">
        <f t="shared" si="8"/>
        <v>36000</v>
      </c>
      <c r="G86" s="5">
        <f t="shared" si="10"/>
        <v>40.090000000000003</v>
      </c>
      <c r="H86" s="5">
        <f t="shared" si="11"/>
        <v>21.8</v>
      </c>
      <c r="I86" s="5">
        <f t="shared" si="12"/>
        <v>25.299999999999997</v>
      </c>
      <c r="J86" s="42">
        <f t="shared" si="13"/>
        <v>17.700000000000003</v>
      </c>
      <c r="K86" s="42">
        <f t="shared" si="14"/>
        <v>0</v>
      </c>
      <c r="L86" s="42"/>
      <c r="M86" s="42">
        <f t="shared" si="9"/>
        <v>104.89</v>
      </c>
      <c r="N86" s="8" t="s">
        <v>139</v>
      </c>
    </row>
    <row r="87" spans="1:14">
      <c r="A87" s="1" t="s">
        <v>77</v>
      </c>
      <c r="B87" s="11"/>
      <c r="C87" s="11">
        <v>57000</v>
      </c>
      <c r="D87" s="11">
        <v>65000</v>
      </c>
      <c r="E87" s="11">
        <v>0</v>
      </c>
      <c r="F87" s="11">
        <f t="shared" si="8"/>
        <v>8000</v>
      </c>
      <c r="G87" s="5">
        <f t="shared" si="10"/>
        <v>40.090000000000003</v>
      </c>
      <c r="H87" s="5">
        <f t="shared" si="11"/>
        <v>0</v>
      </c>
      <c r="I87" s="5">
        <f t="shared" si="12"/>
        <v>0</v>
      </c>
      <c r="J87" s="42">
        <f t="shared" si="13"/>
        <v>0</v>
      </c>
      <c r="K87" s="42">
        <f t="shared" si="14"/>
        <v>0</v>
      </c>
      <c r="L87" s="42"/>
      <c r="M87" s="42">
        <f t="shared" si="9"/>
        <v>40.090000000000003</v>
      </c>
      <c r="N87" s="8"/>
    </row>
    <row r="88" spans="1:14">
      <c r="A88" s="1" t="s">
        <v>78</v>
      </c>
      <c r="B88" s="11"/>
      <c r="C88" s="11">
        <v>1067000</v>
      </c>
      <c r="D88" s="11">
        <v>1114000</v>
      </c>
      <c r="E88" s="11">
        <v>0</v>
      </c>
      <c r="F88" s="11">
        <f t="shared" si="8"/>
        <v>47000</v>
      </c>
      <c r="G88" s="5">
        <f t="shared" si="10"/>
        <v>40.090000000000003</v>
      </c>
      <c r="H88" s="5">
        <f t="shared" si="11"/>
        <v>21.8</v>
      </c>
      <c r="I88" s="5">
        <f t="shared" si="12"/>
        <v>25.299999999999997</v>
      </c>
      <c r="J88" s="42">
        <f t="shared" si="13"/>
        <v>29.5</v>
      </c>
      <c r="K88" s="42">
        <f t="shared" si="14"/>
        <v>23.939999999999998</v>
      </c>
      <c r="L88" s="42"/>
      <c r="M88" s="42">
        <f t="shared" si="9"/>
        <v>140.63</v>
      </c>
      <c r="N88" s="8"/>
    </row>
    <row r="89" spans="1:14">
      <c r="A89" s="1" t="s">
        <v>79</v>
      </c>
      <c r="B89" s="11"/>
      <c r="C89" s="11">
        <v>3390000</v>
      </c>
      <c r="D89" s="11">
        <v>3402000</v>
      </c>
      <c r="E89" s="11">
        <v>0</v>
      </c>
      <c r="F89" s="11">
        <f t="shared" si="8"/>
        <v>12000</v>
      </c>
      <c r="G89" s="5">
        <f t="shared" si="10"/>
        <v>40.090000000000003</v>
      </c>
      <c r="H89" s="5">
        <f t="shared" si="11"/>
        <v>4.3600000000000003</v>
      </c>
      <c r="I89" s="5">
        <f t="shared" si="12"/>
        <v>0</v>
      </c>
      <c r="J89" s="42">
        <f t="shared" si="13"/>
        <v>0</v>
      </c>
      <c r="K89" s="42">
        <f t="shared" si="14"/>
        <v>0</v>
      </c>
      <c r="L89" s="42"/>
      <c r="M89" s="42">
        <f t="shared" si="9"/>
        <v>44.45</v>
      </c>
      <c r="N89" s="8"/>
    </row>
    <row r="90" spans="1:14">
      <c r="A90" s="1" t="s">
        <v>80</v>
      </c>
      <c r="B90" s="11"/>
      <c r="C90" s="11">
        <v>2989000</v>
      </c>
      <c r="D90" s="11">
        <v>3004000</v>
      </c>
      <c r="E90" s="11">
        <v>0</v>
      </c>
      <c r="F90" s="11">
        <f t="shared" si="8"/>
        <v>15000</v>
      </c>
      <c r="G90" s="5">
        <f t="shared" si="10"/>
        <v>40.090000000000003</v>
      </c>
      <c r="H90" s="5">
        <f t="shared" si="11"/>
        <v>10.9</v>
      </c>
      <c r="I90" s="5">
        <f t="shared" si="12"/>
        <v>0</v>
      </c>
      <c r="J90" s="42">
        <f t="shared" si="13"/>
        <v>0</v>
      </c>
      <c r="K90" s="42">
        <f t="shared" si="14"/>
        <v>0</v>
      </c>
      <c r="L90" s="42"/>
      <c r="M90" s="42">
        <f t="shared" si="9"/>
        <v>50.99</v>
      </c>
      <c r="N90" s="8"/>
    </row>
    <row r="91" spans="1:14">
      <c r="A91" s="1" t="s">
        <v>81</v>
      </c>
      <c r="B91" s="11" t="s">
        <v>138</v>
      </c>
      <c r="C91" s="11">
        <v>0</v>
      </c>
      <c r="D91" s="11">
        <v>0</v>
      </c>
      <c r="E91" s="11">
        <v>0</v>
      </c>
      <c r="F91" s="11">
        <f t="shared" si="8"/>
        <v>0</v>
      </c>
      <c r="G91" s="5">
        <f t="shared" si="10"/>
        <v>11.79</v>
      </c>
      <c r="H91" s="5">
        <f t="shared" si="11"/>
        <v>0</v>
      </c>
      <c r="I91" s="5">
        <f t="shared" si="12"/>
        <v>0</v>
      </c>
      <c r="J91" s="42">
        <f t="shared" si="13"/>
        <v>0</v>
      </c>
      <c r="K91" s="42">
        <f t="shared" si="14"/>
        <v>0</v>
      </c>
      <c r="L91" s="42"/>
      <c r="M91" s="42">
        <f t="shared" si="9"/>
        <v>11.79</v>
      </c>
      <c r="N91" s="8"/>
    </row>
    <row r="92" spans="1:14">
      <c r="A92" s="1" t="s">
        <v>82</v>
      </c>
      <c r="B92" s="11"/>
      <c r="C92" s="11">
        <v>3027000</v>
      </c>
      <c r="D92" s="11">
        <v>3077000</v>
      </c>
      <c r="E92" s="11">
        <v>0</v>
      </c>
      <c r="F92" s="11">
        <f t="shared" si="8"/>
        <v>50000</v>
      </c>
      <c r="G92" s="5">
        <f t="shared" si="10"/>
        <v>40.090000000000003</v>
      </c>
      <c r="H92" s="5">
        <f t="shared" si="11"/>
        <v>21.8</v>
      </c>
      <c r="I92" s="5">
        <f t="shared" si="12"/>
        <v>25.299999999999997</v>
      </c>
      <c r="J92" s="42">
        <f t="shared" si="13"/>
        <v>29.5</v>
      </c>
      <c r="K92" s="42">
        <f t="shared" si="14"/>
        <v>34.200000000000003</v>
      </c>
      <c r="L92" s="42"/>
      <c r="M92" s="42">
        <f t="shared" si="9"/>
        <v>150.88999999999999</v>
      </c>
      <c r="N92" s="8"/>
    </row>
    <row r="93" spans="1:14">
      <c r="A93" s="1" t="s">
        <v>83</v>
      </c>
      <c r="B93" s="11"/>
      <c r="C93" s="11">
        <v>7325000</v>
      </c>
      <c r="D93" s="11">
        <v>7410000</v>
      </c>
      <c r="E93" s="11">
        <v>0</v>
      </c>
      <c r="F93" s="11">
        <f t="shared" si="8"/>
        <v>85000</v>
      </c>
      <c r="G93" s="5">
        <f t="shared" si="10"/>
        <v>40.090000000000003</v>
      </c>
      <c r="H93" s="5">
        <f t="shared" si="11"/>
        <v>21.8</v>
      </c>
      <c r="I93" s="5">
        <f t="shared" si="12"/>
        <v>25.299999999999997</v>
      </c>
      <c r="J93" s="42">
        <f t="shared" si="13"/>
        <v>29.5</v>
      </c>
      <c r="K93" s="42">
        <f t="shared" si="14"/>
        <v>153.9</v>
      </c>
      <c r="L93" s="42"/>
      <c r="M93" s="42">
        <f t="shared" si="9"/>
        <v>270.59000000000003</v>
      </c>
      <c r="N93" s="8"/>
    </row>
    <row r="94" spans="1:14">
      <c r="A94" s="1" t="s">
        <v>84</v>
      </c>
      <c r="B94" s="11"/>
      <c r="C94" s="11">
        <v>2868000</v>
      </c>
      <c r="D94" s="11">
        <v>2964000</v>
      </c>
      <c r="E94" s="11">
        <v>0</v>
      </c>
      <c r="F94" s="11">
        <f t="shared" si="8"/>
        <v>96000</v>
      </c>
      <c r="G94" s="5">
        <f t="shared" si="10"/>
        <v>40.090000000000003</v>
      </c>
      <c r="H94" s="5">
        <f t="shared" si="11"/>
        <v>21.8</v>
      </c>
      <c r="I94" s="5">
        <f t="shared" si="12"/>
        <v>25.299999999999997</v>
      </c>
      <c r="J94" s="42">
        <f t="shared" si="13"/>
        <v>29.5</v>
      </c>
      <c r="K94" s="42">
        <f t="shared" si="14"/>
        <v>191.51999999999998</v>
      </c>
      <c r="L94" s="42"/>
      <c r="M94" s="42">
        <f t="shared" si="9"/>
        <v>308.20999999999998</v>
      </c>
      <c r="N94" s="8"/>
    </row>
    <row r="95" spans="1:14">
      <c r="A95" s="1" t="s">
        <v>85</v>
      </c>
      <c r="B95" s="11"/>
      <c r="C95" s="11">
        <v>1923000</v>
      </c>
      <c r="D95" s="11">
        <v>1948000</v>
      </c>
      <c r="E95" s="11">
        <v>0</v>
      </c>
      <c r="F95" s="11">
        <f t="shared" si="8"/>
        <v>25000</v>
      </c>
      <c r="G95" s="5">
        <f t="shared" si="10"/>
        <v>40.090000000000003</v>
      </c>
      <c r="H95" s="5">
        <f t="shared" si="11"/>
        <v>21.8</v>
      </c>
      <c r="I95" s="5">
        <f t="shared" si="12"/>
        <v>12.649999999999999</v>
      </c>
      <c r="J95" s="42">
        <f t="shared" si="13"/>
        <v>0</v>
      </c>
      <c r="K95" s="42">
        <f t="shared" si="14"/>
        <v>0</v>
      </c>
      <c r="L95" s="42"/>
      <c r="M95" s="42">
        <f t="shared" si="9"/>
        <v>74.539999999999992</v>
      </c>
      <c r="N95" s="8"/>
    </row>
    <row r="96" spans="1:14">
      <c r="A96" s="1" t="s">
        <v>86</v>
      </c>
      <c r="B96" s="11"/>
      <c r="C96" s="11">
        <v>1813000</v>
      </c>
      <c r="D96" s="11">
        <v>1817000</v>
      </c>
      <c r="E96" s="11">
        <v>0</v>
      </c>
      <c r="F96" s="11">
        <f t="shared" si="8"/>
        <v>4000</v>
      </c>
      <c r="G96" s="5">
        <f t="shared" si="10"/>
        <v>40.090000000000003</v>
      </c>
      <c r="H96" s="5">
        <f t="shared" si="11"/>
        <v>0</v>
      </c>
      <c r="I96" s="5">
        <f t="shared" si="12"/>
        <v>0</v>
      </c>
      <c r="J96" s="42">
        <f t="shared" si="13"/>
        <v>0</v>
      </c>
      <c r="K96" s="42">
        <f t="shared" si="14"/>
        <v>0</v>
      </c>
      <c r="L96" s="42"/>
      <c r="M96" s="42">
        <f t="shared" si="9"/>
        <v>40.090000000000003</v>
      </c>
      <c r="N96" s="8"/>
    </row>
    <row r="97" spans="1:14">
      <c r="A97" s="1" t="s">
        <v>87</v>
      </c>
      <c r="B97" s="11" t="s">
        <v>138</v>
      </c>
      <c r="C97" s="11">
        <v>0</v>
      </c>
      <c r="D97" s="11">
        <v>0</v>
      </c>
      <c r="E97" s="11">
        <v>0</v>
      </c>
      <c r="F97" s="11">
        <f t="shared" si="8"/>
        <v>0</v>
      </c>
      <c r="G97" s="5">
        <f t="shared" si="10"/>
        <v>11.79</v>
      </c>
      <c r="H97" s="5">
        <f t="shared" si="11"/>
        <v>0</v>
      </c>
      <c r="I97" s="5">
        <f t="shared" si="12"/>
        <v>0</v>
      </c>
      <c r="J97" s="42">
        <f t="shared" si="13"/>
        <v>0</v>
      </c>
      <c r="K97" s="42">
        <f t="shared" si="14"/>
        <v>0</v>
      </c>
      <c r="L97" s="42"/>
      <c r="M97" s="42">
        <f t="shared" si="9"/>
        <v>11.79</v>
      </c>
      <c r="N97" s="8"/>
    </row>
    <row r="98" spans="1:14">
      <c r="A98" s="1" t="s">
        <v>88</v>
      </c>
      <c r="B98" s="11"/>
      <c r="C98" s="11">
        <v>1209000</v>
      </c>
      <c r="D98" s="11">
        <v>1216000</v>
      </c>
      <c r="E98" s="11">
        <v>0</v>
      </c>
      <c r="F98" s="11">
        <f t="shared" si="8"/>
        <v>7000</v>
      </c>
      <c r="G98" s="5">
        <f t="shared" si="10"/>
        <v>40.090000000000003</v>
      </c>
      <c r="H98" s="5">
        <f t="shared" si="11"/>
        <v>0</v>
      </c>
      <c r="I98" s="5">
        <f t="shared" si="12"/>
        <v>0</v>
      </c>
      <c r="J98" s="42">
        <f t="shared" si="13"/>
        <v>0</v>
      </c>
      <c r="K98" s="42">
        <f t="shared" si="14"/>
        <v>0</v>
      </c>
      <c r="L98" s="42"/>
      <c r="M98" s="42">
        <f t="shared" si="9"/>
        <v>40.090000000000003</v>
      </c>
      <c r="N98" s="8"/>
    </row>
    <row r="99" spans="1:14">
      <c r="A99" s="1" t="s">
        <v>89</v>
      </c>
      <c r="B99" s="11"/>
      <c r="C99" s="11">
        <v>2080000</v>
      </c>
      <c r="D99" s="11">
        <v>2132000</v>
      </c>
      <c r="E99" s="11">
        <v>0</v>
      </c>
      <c r="F99" s="11">
        <f t="shared" si="8"/>
        <v>52000</v>
      </c>
      <c r="G99" s="5">
        <f t="shared" si="10"/>
        <v>40.090000000000003</v>
      </c>
      <c r="H99" s="5">
        <f t="shared" si="11"/>
        <v>21.8</v>
      </c>
      <c r="I99" s="5">
        <f t="shared" si="12"/>
        <v>25.299999999999997</v>
      </c>
      <c r="J99" s="42">
        <f t="shared" si="13"/>
        <v>29.5</v>
      </c>
      <c r="K99" s="42">
        <f t="shared" si="14"/>
        <v>41.04</v>
      </c>
      <c r="L99" s="42"/>
      <c r="M99" s="42">
        <f t="shared" si="9"/>
        <v>157.72999999999999</v>
      </c>
      <c r="N99" s="8"/>
    </row>
    <row r="100" spans="1:14">
      <c r="A100" s="1" t="s">
        <v>90</v>
      </c>
      <c r="B100" s="11"/>
      <c r="C100" s="11">
        <v>1210000</v>
      </c>
      <c r="D100" s="11">
        <v>1216000</v>
      </c>
      <c r="E100" s="11">
        <v>0</v>
      </c>
      <c r="F100" s="11">
        <f t="shared" si="8"/>
        <v>6000</v>
      </c>
      <c r="G100" s="5">
        <f t="shared" si="10"/>
        <v>40.090000000000003</v>
      </c>
      <c r="H100" s="5">
        <f t="shared" si="11"/>
        <v>0</v>
      </c>
      <c r="I100" s="5">
        <f t="shared" si="12"/>
        <v>0</v>
      </c>
      <c r="J100" s="42">
        <f t="shared" si="13"/>
        <v>0</v>
      </c>
      <c r="K100" s="42">
        <f t="shared" si="14"/>
        <v>0</v>
      </c>
      <c r="L100" s="42"/>
      <c r="M100" s="42">
        <f t="shared" si="9"/>
        <v>40.090000000000003</v>
      </c>
      <c r="N100" s="8"/>
    </row>
    <row r="101" spans="1:14">
      <c r="A101" s="1" t="s">
        <v>91</v>
      </c>
      <c r="B101" s="11"/>
      <c r="C101" s="11">
        <v>217700</v>
      </c>
      <c r="D101" s="11">
        <v>224800</v>
      </c>
      <c r="E101" s="11">
        <v>0</v>
      </c>
      <c r="F101" s="11">
        <f t="shared" si="8"/>
        <v>7100</v>
      </c>
      <c r="G101" s="5">
        <f t="shared" si="10"/>
        <v>40.090000000000003</v>
      </c>
      <c r="H101" s="5">
        <f t="shared" si="11"/>
        <v>0</v>
      </c>
      <c r="I101" s="5">
        <f t="shared" si="12"/>
        <v>0</v>
      </c>
      <c r="J101" s="42">
        <f t="shared" si="13"/>
        <v>0</v>
      </c>
      <c r="K101" s="42">
        <f t="shared" si="14"/>
        <v>0</v>
      </c>
      <c r="L101" s="42"/>
      <c r="M101" s="42">
        <f t="shared" si="9"/>
        <v>40.090000000000003</v>
      </c>
      <c r="N101" s="8"/>
    </row>
    <row r="102" spans="1:14">
      <c r="A102" s="1" t="s">
        <v>92</v>
      </c>
      <c r="B102" s="11"/>
      <c r="C102" s="11">
        <v>2492000</v>
      </c>
      <c r="D102" s="11">
        <v>2498000</v>
      </c>
      <c r="E102" s="11">
        <v>0</v>
      </c>
      <c r="F102" s="11">
        <f t="shared" si="8"/>
        <v>6000</v>
      </c>
      <c r="G102" s="5">
        <f t="shared" si="10"/>
        <v>40.090000000000003</v>
      </c>
      <c r="H102" s="5">
        <f t="shared" si="11"/>
        <v>0</v>
      </c>
      <c r="I102" s="5">
        <f t="shared" si="12"/>
        <v>0</v>
      </c>
      <c r="J102" s="42">
        <f t="shared" si="13"/>
        <v>0</v>
      </c>
      <c r="K102" s="42">
        <f t="shared" si="14"/>
        <v>0</v>
      </c>
      <c r="L102" s="42"/>
      <c r="M102" s="42">
        <f t="shared" si="9"/>
        <v>40.090000000000003</v>
      </c>
      <c r="N102" s="8"/>
    </row>
    <row r="103" spans="1:14">
      <c r="A103" s="1" t="s">
        <v>93</v>
      </c>
      <c r="B103" s="11" t="s">
        <v>138</v>
      </c>
      <c r="C103" s="11">
        <v>0</v>
      </c>
      <c r="D103" s="11">
        <v>0</v>
      </c>
      <c r="E103" s="11">
        <v>0</v>
      </c>
      <c r="F103" s="11">
        <f t="shared" si="8"/>
        <v>0</v>
      </c>
      <c r="G103" s="5">
        <f t="shared" si="10"/>
        <v>11.79</v>
      </c>
      <c r="H103" s="5">
        <f t="shared" si="11"/>
        <v>0</v>
      </c>
      <c r="I103" s="5">
        <f t="shared" si="12"/>
        <v>0</v>
      </c>
      <c r="J103" s="42">
        <f t="shared" si="13"/>
        <v>0</v>
      </c>
      <c r="K103" s="42">
        <f t="shared" si="14"/>
        <v>0</v>
      </c>
      <c r="L103" s="42"/>
      <c r="M103" s="42">
        <f t="shared" si="9"/>
        <v>11.79</v>
      </c>
      <c r="N103" s="8"/>
    </row>
    <row r="104" spans="1:14">
      <c r="A104" s="1" t="s">
        <v>94</v>
      </c>
      <c r="B104" s="11" t="s">
        <v>138</v>
      </c>
      <c r="C104" s="11">
        <v>0</v>
      </c>
      <c r="D104" s="11">
        <v>0</v>
      </c>
      <c r="E104" s="11">
        <v>0</v>
      </c>
      <c r="F104" s="11">
        <f t="shared" si="8"/>
        <v>0</v>
      </c>
      <c r="G104" s="5">
        <f t="shared" si="10"/>
        <v>11.79</v>
      </c>
      <c r="H104" s="5">
        <f t="shared" si="11"/>
        <v>0</v>
      </c>
      <c r="I104" s="5">
        <f t="shared" si="12"/>
        <v>0</v>
      </c>
      <c r="J104" s="42">
        <f t="shared" si="13"/>
        <v>0</v>
      </c>
      <c r="K104" s="42">
        <f t="shared" si="14"/>
        <v>0</v>
      </c>
      <c r="L104" s="42"/>
      <c r="M104" s="42">
        <f t="shared" si="9"/>
        <v>11.79</v>
      </c>
      <c r="N104" s="8"/>
    </row>
    <row r="105" spans="1:14">
      <c r="A105" s="1" t="s">
        <v>95</v>
      </c>
      <c r="B105" s="11" t="s">
        <v>138</v>
      </c>
      <c r="C105" s="11">
        <v>0</v>
      </c>
      <c r="D105" s="11">
        <v>0</v>
      </c>
      <c r="E105" s="11">
        <v>0</v>
      </c>
      <c r="F105" s="11">
        <f t="shared" si="8"/>
        <v>0</v>
      </c>
      <c r="G105" s="5">
        <f t="shared" si="10"/>
        <v>11.79</v>
      </c>
      <c r="H105" s="5">
        <f t="shared" si="11"/>
        <v>0</v>
      </c>
      <c r="I105" s="5">
        <f t="shared" si="12"/>
        <v>0</v>
      </c>
      <c r="J105" s="42">
        <f t="shared" si="13"/>
        <v>0</v>
      </c>
      <c r="K105" s="42">
        <f t="shared" si="14"/>
        <v>0</v>
      </c>
      <c r="L105" s="42"/>
      <c r="M105" s="42">
        <f t="shared" si="9"/>
        <v>11.79</v>
      </c>
      <c r="N105" s="8"/>
    </row>
    <row r="106" spans="1:14">
      <c r="A106" s="1" t="s">
        <v>96</v>
      </c>
      <c r="B106" s="11"/>
      <c r="C106" s="11">
        <v>1776000</v>
      </c>
      <c r="D106" s="11">
        <v>1790000</v>
      </c>
      <c r="E106" s="11">
        <v>0</v>
      </c>
      <c r="F106" s="11">
        <f t="shared" si="8"/>
        <v>14000</v>
      </c>
      <c r="G106" s="5">
        <f t="shared" si="10"/>
        <v>40.090000000000003</v>
      </c>
      <c r="H106" s="5">
        <f t="shared" si="11"/>
        <v>8.7200000000000006</v>
      </c>
      <c r="I106" s="5">
        <f t="shared" si="12"/>
        <v>0</v>
      </c>
      <c r="J106" s="42">
        <f t="shared" si="13"/>
        <v>0</v>
      </c>
      <c r="K106" s="42">
        <f t="shared" si="14"/>
        <v>0</v>
      </c>
      <c r="L106" s="42"/>
      <c r="M106" s="42">
        <f t="shared" si="9"/>
        <v>48.81</v>
      </c>
      <c r="N106" s="8"/>
    </row>
    <row r="107" spans="1:14">
      <c r="A107" s="1" t="s">
        <v>97</v>
      </c>
      <c r="B107" s="11" t="s">
        <v>138</v>
      </c>
      <c r="C107" s="11">
        <v>0</v>
      </c>
      <c r="D107" s="11">
        <v>0</v>
      </c>
      <c r="E107" s="11">
        <v>0</v>
      </c>
      <c r="F107" s="11">
        <f t="shared" si="8"/>
        <v>0</v>
      </c>
      <c r="G107" s="5">
        <f t="shared" si="10"/>
        <v>11.79</v>
      </c>
      <c r="H107" s="5">
        <f t="shared" si="11"/>
        <v>0</v>
      </c>
      <c r="I107" s="5">
        <f t="shared" si="12"/>
        <v>0</v>
      </c>
      <c r="J107" s="42">
        <f t="shared" si="13"/>
        <v>0</v>
      </c>
      <c r="K107" s="42">
        <f t="shared" si="14"/>
        <v>0</v>
      </c>
      <c r="L107" s="42"/>
      <c r="M107" s="42">
        <f t="shared" si="9"/>
        <v>11.79</v>
      </c>
      <c r="N107" s="8"/>
    </row>
    <row r="108" spans="1:14">
      <c r="A108" s="1" t="s">
        <v>98</v>
      </c>
      <c r="B108" s="11" t="s">
        <v>138</v>
      </c>
      <c r="C108" s="11">
        <v>0</v>
      </c>
      <c r="D108" s="11">
        <v>0</v>
      </c>
      <c r="E108" s="11">
        <v>0</v>
      </c>
      <c r="F108" s="11">
        <f t="shared" si="8"/>
        <v>0</v>
      </c>
      <c r="G108" s="5">
        <f t="shared" si="10"/>
        <v>11.79</v>
      </c>
      <c r="H108" s="5">
        <f t="shared" si="11"/>
        <v>0</v>
      </c>
      <c r="I108" s="5">
        <f t="shared" si="12"/>
        <v>0</v>
      </c>
      <c r="J108" s="42">
        <f t="shared" si="13"/>
        <v>0</v>
      </c>
      <c r="K108" s="42">
        <f t="shared" si="14"/>
        <v>0</v>
      </c>
      <c r="L108" s="42"/>
      <c r="M108" s="42">
        <f t="shared" si="9"/>
        <v>11.79</v>
      </c>
      <c r="N108" s="8"/>
    </row>
    <row r="109" spans="1:14">
      <c r="A109" s="1" t="s">
        <v>99</v>
      </c>
      <c r="B109" s="11"/>
      <c r="C109" s="11">
        <v>1639000</v>
      </c>
      <c r="D109" s="11">
        <v>1639000</v>
      </c>
      <c r="E109" s="11">
        <v>0</v>
      </c>
      <c r="F109" s="11">
        <f t="shared" si="8"/>
        <v>0</v>
      </c>
      <c r="G109" s="5">
        <f t="shared" si="10"/>
        <v>40.090000000000003</v>
      </c>
      <c r="H109" s="5">
        <f t="shared" si="11"/>
        <v>0</v>
      </c>
      <c r="I109" s="5">
        <f t="shared" si="12"/>
        <v>0</v>
      </c>
      <c r="J109" s="42">
        <f t="shared" si="13"/>
        <v>0</v>
      </c>
      <c r="K109" s="42">
        <f t="shared" si="14"/>
        <v>0</v>
      </c>
      <c r="L109" s="42"/>
      <c r="M109" s="42">
        <f t="shared" si="9"/>
        <v>40.090000000000003</v>
      </c>
      <c r="N109" s="8"/>
    </row>
    <row r="110" spans="1:14">
      <c r="A110" s="1" t="s">
        <v>100</v>
      </c>
      <c r="B110" s="11"/>
      <c r="C110" s="11">
        <v>487000</v>
      </c>
      <c r="D110" s="11">
        <v>492000</v>
      </c>
      <c r="E110" s="11">
        <v>0</v>
      </c>
      <c r="F110" s="11">
        <f t="shared" si="8"/>
        <v>5000</v>
      </c>
      <c r="G110" s="5">
        <f t="shared" si="10"/>
        <v>40.090000000000003</v>
      </c>
      <c r="H110" s="5">
        <f t="shared" si="11"/>
        <v>0</v>
      </c>
      <c r="I110" s="5">
        <f t="shared" si="12"/>
        <v>0</v>
      </c>
      <c r="J110" s="42">
        <f t="shared" si="13"/>
        <v>0</v>
      </c>
      <c r="K110" s="42">
        <f t="shared" si="14"/>
        <v>0</v>
      </c>
      <c r="L110" s="42"/>
      <c r="M110" s="42">
        <f t="shared" si="9"/>
        <v>40.090000000000003</v>
      </c>
      <c r="N110" s="8"/>
    </row>
    <row r="111" spans="1:14">
      <c r="A111" s="1" t="s">
        <v>101</v>
      </c>
      <c r="B111" s="11"/>
      <c r="C111" s="11">
        <v>4445000</v>
      </c>
      <c r="D111" s="11">
        <v>4475000</v>
      </c>
      <c r="E111" s="11">
        <v>0</v>
      </c>
      <c r="F111" s="11">
        <f t="shared" si="8"/>
        <v>30000</v>
      </c>
      <c r="G111" s="5">
        <f t="shared" si="10"/>
        <v>40.090000000000003</v>
      </c>
      <c r="H111" s="5">
        <f t="shared" si="11"/>
        <v>21.8</v>
      </c>
      <c r="I111" s="5">
        <f t="shared" si="12"/>
        <v>25.299999999999997</v>
      </c>
      <c r="J111" s="42">
        <f t="shared" si="13"/>
        <v>0</v>
      </c>
      <c r="K111" s="42">
        <f t="shared" si="14"/>
        <v>0</v>
      </c>
      <c r="L111" s="42"/>
      <c r="M111" s="42">
        <f t="shared" si="9"/>
        <v>87.19</v>
      </c>
      <c r="N111" s="8"/>
    </row>
    <row r="112" spans="1:14">
      <c r="A112" s="1" t="s">
        <v>102</v>
      </c>
      <c r="B112" s="11" t="s">
        <v>138</v>
      </c>
      <c r="C112" s="11">
        <v>0</v>
      </c>
      <c r="D112" s="11">
        <v>0</v>
      </c>
      <c r="E112" s="11">
        <v>0</v>
      </c>
      <c r="F112" s="11">
        <f t="shared" si="8"/>
        <v>0</v>
      </c>
      <c r="G112" s="5">
        <f t="shared" si="10"/>
        <v>11.79</v>
      </c>
      <c r="H112" s="5">
        <f t="shared" si="11"/>
        <v>0</v>
      </c>
      <c r="I112" s="5">
        <f t="shared" si="12"/>
        <v>0</v>
      </c>
      <c r="J112" s="42">
        <f t="shared" si="13"/>
        <v>0</v>
      </c>
      <c r="K112" s="42">
        <f t="shared" si="14"/>
        <v>0</v>
      </c>
      <c r="L112" s="42"/>
      <c r="M112" s="42">
        <f t="shared" si="9"/>
        <v>11.79</v>
      </c>
      <c r="N112" s="8"/>
    </row>
    <row r="113" spans="1:14">
      <c r="A113" s="1" t="s">
        <v>103</v>
      </c>
      <c r="B113" s="11"/>
      <c r="C113" s="11">
        <v>1074000</v>
      </c>
      <c r="D113" s="11">
        <v>1105000</v>
      </c>
      <c r="E113" s="11">
        <v>0</v>
      </c>
      <c r="F113" s="11">
        <f t="shared" si="8"/>
        <v>31000</v>
      </c>
      <c r="G113" s="5">
        <f t="shared" si="10"/>
        <v>40.090000000000003</v>
      </c>
      <c r="H113" s="5">
        <f t="shared" si="11"/>
        <v>21.8</v>
      </c>
      <c r="I113" s="5">
        <f t="shared" si="12"/>
        <v>25.299999999999997</v>
      </c>
      <c r="J113" s="42">
        <f t="shared" si="13"/>
        <v>2.95</v>
      </c>
      <c r="K113" s="42">
        <f t="shared" si="14"/>
        <v>0</v>
      </c>
      <c r="L113" s="42"/>
      <c r="M113" s="42">
        <f t="shared" si="9"/>
        <v>90.14</v>
      </c>
      <c r="N113" s="8"/>
    </row>
    <row r="114" spans="1:14">
      <c r="A114" s="1" t="s">
        <v>104</v>
      </c>
      <c r="B114" s="11" t="s">
        <v>138</v>
      </c>
      <c r="C114" s="11">
        <v>0</v>
      </c>
      <c r="D114" s="11">
        <v>0</v>
      </c>
      <c r="E114" s="11">
        <v>0</v>
      </c>
      <c r="F114" s="11">
        <f t="shared" si="8"/>
        <v>0</v>
      </c>
      <c r="G114" s="5">
        <f t="shared" si="10"/>
        <v>11.79</v>
      </c>
      <c r="H114" s="5">
        <f t="shared" si="11"/>
        <v>0</v>
      </c>
      <c r="I114" s="5">
        <f t="shared" si="12"/>
        <v>0</v>
      </c>
      <c r="J114" s="42">
        <f t="shared" si="13"/>
        <v>0</v>
      </c>
      <c r="K114" s="42">
        <f t="shared" si="14"/>
        <v>0</v>
      </c>
      <c r="L114" s="42"/>
      <c r="M114" s="42">
        <f t="shared" si="9"/>
        <v>11.79</v>
      </c>
      <c r="N114" s="8"/>
    </row>
    <row r="115" spans="1:14">
      <c r="A115" s="1" t="s">
        <v>105</v>
      </c>
      <c r="B115" s="11"/>
      <c r="C115" s="11">
        <v>1293000</v>
      </c>
      <c r="D115" s="11">
        <v>1338000</v>
      </c>
      <c r="E115" s="11">
        <v>0</v>
      </c>
      <c r="F115" s="11">
        <f t="shared" si="8"/>
        <v>45000</v>
      </c>
      <c r="G115" s="5">
        <f t="shared" si="10"/>
        <v>40.090000000000003</v>
      </c>
      <c r="H115" s="5">
        <f t="shared" si="11"/>
        <v>21.8</v>
      </c>
      <c r="I115" s="5">
        <f t="shared" si="12"/>
        <v>25.299999999999997</v>
      </c>
      <c r="J115" s="42">
        <f t="shared" si="13"/>
        <v>29.5</v>
      </c>
      <c r="K115" s="42">
        <f t="shared" si="14"/>
        <v>17.100000000000001</v>
      </c>
      <c r="L115" s="42"/>
      <c r="M115" s="42">
        <f t="shared" si="9"/>
        <v>133.79</v>
      </c>
      <c r="N115" s="8"/>
    </row>
    <row r="116" spans="1:14">
      <c r="A116" s="1" t="s">
        <v>106</v>
      </c>
      <c r="B116" s="11"/>
      <c r="C116" s="11">
        <v>1782000</v>
      </c>
      <c r="D116" s="11">
        <v>1783000</v>
      </c>
      <c r="E116" s="11">
        <v>0</v>
      </c>
      <c r="F116" s="11">
        <f t="shared" si="8"/>
        <v>1000</v>
      </c>
      <c r="G116" s="5">
        <f t="shared" si="10"/>
        <v>40.090000000000003</v>
      </c>
      <c r="H116" s="5">
        <f t="shared" si="11"/>
        <v>0</v>
      </c>
      <c r="I116" s="5">
        <f t="shared" si="12"/>
        <v>0</v>
      </c>
      <c r="J116" s="42">
        <f t="shared" si="13"/>
        <v>0</v>
      </c>
      <c r="K116" s="42">
        <f t="shared" si="14"/>
        <v>0</v>
      </c>
      <c r="L116" s="42"/>
      <c r="M116" s="42">
        <f t="shared" si="9"/>
        <v>40.090000000000003</v>
      </c>
      <c r="N116" s="8"/>
    </row>
    <row r="117" spans="1:14">
      <c r="A117" s="1" t="s">
        <v>107</v>
      </c>
      <c r="B117" s="11"/>
      <c r="C117" s="11">
        <v>309000</v>
      </c>
      <c r="D117" s="11">
        <v>312000</v>
      </c>
      <c r="E117" s="11">
        <v>0</v>
      </c>
      <c r="F117" s="11">
        <f t="shared" si="8"/>
        <v>3000</v>
      </c>
      <c r="G117" s="5">
        <f t="shared" si="10"/>
        <v>40.090000000000003</v>
      </c>
      <c r="H117" s="5">
        <f t="shared" si="11"/>
        <v>0</v>
      </c>
      <c r="I117" s="5">
        <f t="shared" si="12"/>
        <v>0</v>
      </c>
      <c r="J117" s="42">
        <f t="shared" si="13"/>
        <v>0</v>
      </c>
      <c r="K117" s="42">
        <f t="shared" si="14"/>
        <v>0</v>
      </c>
      <c r="L117" s="42"/>
      <c r="M117" s="42">
        <f t="shared" si="9"/>
        <v>40.090000000000003</v>
      </c>
      <c r="N117" s="8"/>
    </row>
    <row r="118" spans="1:14">
      <c r="A118" s="1" t="s">
        <v>108</v>
      </c>
      <c r="B118" s="11"/>
      <c r="C118" s="11">
        <v>2478000</v>
      </c>
      <c r="D118" s="11">
        <v>2511000</v>
      </c>
      <c r="E118" s="11">
        <v>0</v>
      </c>
      <c r="F118" s="11">
        <f t="shared" si="8"/>
        <v>33000</v>
      </c>
      <c r="G118" s="5">
        <f t="shared" si="10"/>
        <v>40.090000000000003</v>
      </c>
      <c r="H118" s="5">
        <f t="shared" si="11"/>
        <v>21.8</v>
      </c>
      <c r="I118" s="5">
        <f t="shared" si="12"/>
        <v>25.299999999999997</v>
      </c>
      <c r="J118" s="42">
        <f t="shared" si="13"/>
        <v>8.8500000000000014</v>
      </c>
      <c r="K118" s="42">
        <f t="shared" si="14"/>
        <v>0</v>
      </c>
      <c r="L118" s="42"/>
      <c r="M118" s="42">
        <f t="shared" si="9"/>
        <v>96.039999999999992</v>
      </c>
      <c r="N118" s="8"/>
    </row>
    <row r="119" spans="1:14">
      <c r="A119" s="1" t="s">
        <v>109</v>
      </c>
      <c r="B119" s="11" t="s">
        <v>138</v>
      </c>
      <c r="C119" s="11">
        <v>0</v>
      </c>
      <c r="D119" s="11">
        <v>0</v>
      </c>
      <c r="E119" s="11">
        <v>0</v>
      </c>
      <c r="F119" s="11">
        <f t="shared" si="8"/>
        <v>0</v>
      </c>
      <c r="G119" s="5">
        <f t="shared" si="10"/>
        <v>11.79</v>
      </c>
      <c r="H119" s="5">
        <f t="shared" si="11"/>
        <v>0</v>
      </c>
      <c r="I119" s="5">
        <f t="shared" si="12"/>
        <v>0</v>
      </c>
      <c r="J119" s="42">
        <f t="shared" si="13"/>
        <v>0</v>
      </c>
      <c r="K119" s="42">
        <f t="shared" si="14"/>
        <v>0</v>
      </c>
      <c r="L119" s="42"/>
      <c r="M119" s="42">
        <f t="shared" si="9"/>
        <v>11.79</v>
      </c>
      <c r="N119" s="8"/>
    </row>
    <row r="120" spans="1:14">
      <c r="A120" s="1" t="s">
        <v>110</v>
      </c>
      <c r="B120" s="11"/>
      <c r="C120" s="11">
        <v>3745000</v>
      </c>
      <c r="D120" s="11">
        <v>3755000</v>
      </c>
      <c r="E120" s="11">
        <v>0</v>
      </c>
      <c r="F120" s="11">
        <f t="shared" si="8"/>
        <v>10000</v>
      </c>
      <c r="G120" s="5">
        <f t="shared" si="10"/>
        <v>40.090000000000003</v>
      </c>
      <c r="H120" s="5">
        <f t="shared" si="11"/>
        <v>0</v>
      </c>
      <c r="I120" s="5">
        <f t="shared" si="12"/>
        <v>0</v>
      </c>
      <c r="J120" s="42">
        <f t="shared" si="13"/>
        <v>0</v>
      </c>
      <c r="K120" s="42">
        <f t="shared" si="14"/>
        <v>0</v>
      </c>
      <c r="L120" s="42"/>
      <c r="M120" s="42">
        <f t="shared" si="9"/>
        <v>40.090000000000003</v>
      </c>
      <c r="N120" s="8"/>
    </row>
    <row r="121" spans="1:14">
      <c r="A121" s="1" t="s">
        <v>111</v>
      </c>
      <c r="B121" s="11"/>
      <c r="C121" s="11">
        <v>3355000</v>
      </c>
      <c r="D121" s="11">
        <v>3388000</v>
      </c>
      <c r="E121" s="11">
        <v>0</v>
      </c>
      <c r="F121" s="11">
        <f t="shared" si="8"/>
        <v>33000</v>
      </c>
      <c r="G121" s="5">
        <f t="shared" si="10"/>
        <v>40.090000000000003</v>
      </c>
      <c r="H121" s="5">
        <f t="shared" si="11"/>
        <v>21.8</v>
      </c>
      <c r="I121" s="5">
        <f t="shared" si="12"/>
        <v>25.299999999999997</v>
      </c>
      <c r="J121" s="42">
        <f t="shared" si="13"/>
        <v>8.8500000000000014</v>
      </c>
      <c r="K121" s="42">
        <f t="shared" si="14"/>
        <v>0</v>
      </c>
      <c r="L121" s="42"/>
      <c r="M121" s="42">
        <f t="shared" si="9"/>
        <v>96.039999999999992</v>
      </c>
      <c r="N121" s="8"/>
    </row>
    <row r="122" spans="1:14">
      <c r="A122" s="1" t="s">
        <v>112</v>
      </c>
      <c r="B122" s="11"/>
      <c r="C122" s="11">
        <v>333000</v>
      </c>
      <c r="D122" s="11">
        <v>334000</v>
      </c>
      <c r="E122" s="11">
        <v>0</v>
      </c>
      <c r="F122" s="11">
        <f t="shared" si="8"/>
        <v>1000</v>
      </c>
      <c r="G122" s="5">
        <f t="shared" si="10"/>
        <v>40.090000000000003</v>
      </c>
      <c r="H122" s="5">
        <f t="shared" si="11"/>
        <v>0</v>
      </c>
      <c r="I122" s="5">
        <f t="shared" si="12"/>
        <v>0</v>
      </c>
      <c r="J122" s="42">
        <f t="shared" si="13"/>
        <v>0</v>
      </c>
      <c r="K122" s="42">
        <f t="shared" si="14"/>
        <v>0</v>
      </c>
      <c r="L122" s="42"/>
      <c r="M122" s="42">
        <f t="shared" si="9"/>
        <v>40.090000000000003</v>
      </c>
      <c r="N122" s="8"/>
    </row>
    <row r="123" spans="1:14">
      <c r="A123" s="1" t="s">
        <v>113</v>
      </c>
      <c r="B123" s="11"/>
      <c r="C123" s="11">
        <v>1304000</v>
      </c>
      <c r="D123" s="11">
        <v>1352000</v>
      </c>
      <c r="E123" s="11">
        <v>0</v>
      </c>
      <c r="F123" s="11">
        <f t="shared" si="8"/>
        <v>48000</v>
      </c>
      <c r="G123" s="5">
        <f t="shared" si="10"/>
        <v>40.090000000000003</v>
      </c>
      <c r="H123" s="5">
        <f t="shared" si="11"/>
        <v>21.8</v>
      </c>
      <c r="I123" s="5">
        <f t="shared" si="12"/>
        <v>25.299999999999997</v>
      </c>
      <c r="J123" s="42">
        <f t="shared" si="13"/>
        <v>29.5</v>
      </c>
      <c r="K123" s="42">
        <f t="shared" si="14"/>
        <v>27.36</v>
      </c>
      <c r="L123" s="42"/>
      <c r="M123" s="42">
        <f t="shared" si="9"/>
        <v>144.05000000000001</v>
      </c>
      <c r="N123" s="8"/>
    </row>
    <row r="124" spans="1:14">
      <c r="A124" s="1" t="s">
        <v>114</v>
      </c>
      <c r="B124" s="11"/>
      <c r="C124" s="11">
        <v>2541000</v>
      </c>
      <c r="D124" s="11">
        <v>2553000</v>
      </c>
      <c r="E124" s="11">
        <v>0</v>
      </c>
      <c r="F124" s="11">
        <f t="shared" si="8"/>
        <v>12000</v>
      </c>
      <c r="G124" s="5">
        <f t="shared" si="10"/>
        <v>40.090000000000003</v>
      </c>
      <c r="H124" s="5">
        <f t="shared" si="11"/>
        <v>4.3600000000000003</v>
      </c>
      <c r="I124" s="5">
        <f t="shared" si="12"/>
        <v>0</v>
      </c>
      <c r="J124" s="42">
        <f t="shared" si="13"/>
        <v>0</v>
      </c>
      <c r="K124" s="42">
        <f t="shared" si="14"/>
        <v>0</v>
      </c>
      <c r="L124" s="42"/>
      <c r="M124" s="42">
        <f t="shared" si="9"/>
        <v>44.45</v>
      </c>
      <c r="N124" s="8"/>
    </row>
    <row r="125" spans="1:14">
      <c r="A125" s="1" t="s">
        <v>115</v>
      </c>
      <c r="B125" s="11"/>
      <c r="C125" s="11">
        <v>2380000</v>
      </c>
      <c r="D125" s="11">
        <v>2396000</v>
      </c>
      <c r="E125" s="11">
        <v>0</v>
      </c>
      <c r="F125" s="11">
        <f t="shared" si="8"/>
        <v>16000</v>
      </c>
      <c r="G125" s="5">
        <f t="shared" si="10"/>
        <v>40.090000000000003</v>
      </c>
      <c r="H125" s="5">
        <f t="shared" si="11"/>
        <v>13.080000000000002</v>
      </c>
      <c r="I125" s="5">
        <f t="shared" si="12"/>
        <v>0</v>
      </c>
      <c r="J125" s="42">
        <f t="shared" si="13"/>
        <v>0</v>
      </c>
      <c r="K125" s="42">
        <f t="shared" si="14"/>
        <v>0</v>
      </c>
      <c r="L125" s="42"/>
      <c r="M125" s="42">
        <f t="shared" si="9"/>
        <v>53.17</v>
      </c>
      <c r="N125" s="8"/>
    </row>
    <row r="126" spans="1:14">
      <c r="A126" s="1" t="s">
        <v>116</v>
      </c>
      <c r="B126" s="11"/>
      <c r="C126" s="11">
        <v>4230000</v>
      </c>
      <c r="D126" s="11">
        <v>4236000</v>
      </c>
      <c r="E126" s="11">
        <v>0</v>
      </c>
      <c r="F126" s="11">
        <f t="shared" si="8"/>
        <v>6000</v>
      </c>
      <c r="G126" s="5">
        <f t="shared" si="10"/>
        <v>40.090000000000003</v>
      </c>
      <c r="H126" s="5">
        <f t="shared" si="11"/>
        <v>0</v>
      </c>
      <c r="I126" s="5">
        <f t="shared" si="12"/>
        <v>0</v>
      </c>
      <c r="J126" s="42">
        <f t="shared" si="13"/>
        <v>0</v>
      </c>
      <c r="K126" s="42">
        <f t="shared" si="14"/>
        <v>0</v>
      </c>
      <c r="L126" s="42"/>
      <c r="M126" s="42">
        <f t="shared" si="9"/>
        <v>40.090000000000003</v>
      </c>
      <c r="N126" s="8"/>
    </row>
    <row r="127" spans="1:14">
      <c r="A127" s="1" t="s">
        <v>117</v>
      </c>
      <c r="B127" s="11"/>
      <c r="C127" s="11">
        <v>1855000</v>
      </c>
      <c r="D127" s="11">
        <v>1862000</v>
      </c>
      <c r="E127" s="11">
        <v>0</v>
      </c>
      <c r="F127" s="11">
        <f t="shared" si="8"/>
        <v>7000</v>
      </c>
      <c r="G127" s="5">
        <f t="shared" si="10"/>
        <v>40.090000000000003</v>
      </c>
      <c r="H127" s="5">
        <f t="shared" si="11"/>
        <v>0</v>
      </c>
      <c r="I127" s="5">
        <f t="shared" si="12"/>
        <v>0</v>
      </c>
      <c r="J127" s="42">
        <f t="shared" si="13"/>
        <v>0</v>
      </c>
      <c r="K127" s="42">
        <f t="shared" si="14"/>
        <v>0</v>
      </c>
      <c r="L127" s="42"/>
      <c r="M127" s="42">
        <f t="shared" si="9"/>
        <v>40.090000000000003</v>
      </c>
      <c r="N127" s="8"/>
    </row>
    <row r="128" spans="1:14">
      <c r="A128" s="1" t="s">
        <v>118</v>
      </c>
      <c r="B128" s="11"/>
      <c r="C128" s="11">
        <v>1139000</v>
      </c>
      <c r="D128" s="11">
        <v>1146000</v>
      </c>
      <c r="E128" s="11">
        <v>0</v>
      </c>
      <c r="F128" s="11">
        <f t="shared" si="8"/>
        <v>7000</v>
      </c>
      <c r="G128" s="5">
        <f t="shared" si="10"/>
        <v>40.090000000000003</v>
      </c>
      <c r="H128" s="5">
        <f t="shared" si="11"/>
        <v>0</v>
      </c>
      <c r="I128" s="5">
        <f t="shared" si="12"/>
        <v>0</v>
      </c>
      <c r="J128" s="42">
        <f t="shared" si="13"/>
        <v>0</v>
      </c>
      <c r="K128" s="42">
        <f t="shared" si="14"/>
        <v>0</v>
      </c>
      <c r="L128" s="42"/>
      <c r="M128" s="42">
        <f t="shared" si="9"/>
        <v>40.090000000000003</v>
      </c>
      <c r="N128" s="8"/>
    </row>
    <row r="129" spans="1:14">
      <c r="A129" s="1" t="s">
        <v>119</v>
      </c>
      <c r="B129" s="11"/>
      <c r="C129" s="11">
        <v>6390000</v>
      </c>
      <c r="D129" s="11">
        <v>6508000</v>
      </c>
      <c r="E129" s="11">
        <v>0</v>
      </c>
      <c r="F129" s="11">
        <f t="shared" si="8"/>
        <v>118000</v>
      </c>
      <c r="G129" s="5">
        <f t="shared" si="10"/>
        <v>40.090000000000003</v>
      </c>
      <c r="H129" s="5">
        <f t="shared" si="11"/>
        <v>21.8</v>
      </c>
      <c r="I129" s="5">
        <f t="shared" si="12"/>
        <v>25.299999999999997</v>
      </c>
      <c r="J129" s="42">
        <f t="shared" si="13"/>
        <v>29.5</v>
      </c>
      <c r="K129" s="42">
        <f t="shared" si="14"/>
        <v>266.76</v>
      </c>
      <c r="L129" s="42"/>
      <c r="M129" s="42">
        <f t="shared" si="9"/>
        <v>383.45</v>
      </c>
      <c r="N129" s="8"/>
    </row>
    <row r="130" spans="1:14">
      <c r="A130" s="1" t="s">
        <v>120</v>
      </c>
      <c r="B130" s="11"/>
      <c r="C130" s="11">
        <v>3634000</v>
      </c>
      <c r="D130" s="11">
        <v>3648000</v>
      </c>
      <c r="E130" s="11">
        <v>0</v>
      </c>
      <c r="F130" s="11">
        <f t="shared" si="8"/>
        <v>14000</v>
      </c>
      <c r="G130" s="5">
        <f t="shared" si="10"/>
        <v>40.090000000000003</v>
      </c>
      <c r="H130" s="5">
        <f t="shared" si="11"/>
        <v>8.7200000000000006</v>
      </c>
      <c r="I130" s="5">
        <f t="shared" si="12"/>
        <v>0</v>
      </c>
      <c r="J130" s="42">
        <f t="shared" si="13"/>
        <v>0</v>
      </c>
      <c r="K130" s="42">
        <f t="shared" si="14"/>
        <v>0</v>
      </c>
      <c r="L130" s="42"/>
      <c r="M130" s="42">
        <f t="shared" si="9"/>
        <v>48.81</v>
      </c>
      <c r="N130" s="8"/>
    </row>
    <row r="131" spans="1:14">
      <c r="A131" s="1" t="s">
        <v>121</v>
      </c>
      <c r="B131" s="11" t="s">
        <v>138</v>
      </c>
      <c r="C131" s="11">
        <v>0</v>
      </c>
      <c r="D131" s="11">
        <v>0</v>
      </c>
      <c r="E131" s="11">
        <v>0</v>
      </c>
      <c r="F131" s="11">
        <f t="shared" si="8"/>
        <v>0</v>
      </c>
      <c r="G131" s="5">
        <f t="shared" si="10"/>
        <v>11.79</v>
      </c>
      <c r="H131" s="5">
        <f t="shared" si="11"/>
        <v>0</v>
      </c>
      <c r="I131" s="5">
        <f t="shared" si="12"/>
        <v>0</v>
      </c>
      <c r="J131" s="42">
        <f t="shared" si="13"/>
        <v>0</v>
      </c>
      <c r="K131" s="42">
        <f t="shared" si="14"/>
        <v>0</v>
      </c>
      <c r="L131" s="42"/>
      <c r="M131" s="42">
        <f t="shared" si="9"/>
        <v>11.79</v>
      </c>
      <c r="N131" s="8"/>
    </row>
    <row r="132" spans="1:14">
      <c r="A132" s="1" t="s">
        <v>122</v>
      </c>
      <c r="B132" s="11"/>
      <c r="C132" s="11">
        <v>1221000</v>
      </c>
      <c r="D132" s="11">
        <v>1234000</v>
      </c>
      <c r="E132" s="11">
        <v>0</v>
      </c>
      <c r="F132" s="11">
        <f t="shared" si="8"/>
        <v>13000</v>
      </c>
      <c r="G132" s="5">
        <f t="shared" si="10"/>
        <v>40.090000000000003</v>
      </c>
      <c r="H132" s="5">
        <f t="shared" si="11"/>
        <v>6.5400000000000009</v>
      </c>
      <c r="I132" s="5">
        <f t="shared" si="12"/>
        <v>0</v>
      </c>
      <c r="J132" s="42">
        <f t="shared" si="13"/>
        <v>0</v>
      </c>
      <c r="K132" s="42">
        <f t="shared" si="14"/>
        <v>0</v>
      </c>
      <c r="L132" s="42"/>
      <c r="M132" s="42">
        <f t="shared" si="9"/>
        <v>46.63</v>
      </c>
      <c r="N132" s="8"/>
    </row>
    <row r="133" spans="1:14">
      <c r="A133" s="1" t="s">
        <v>123</v>
      </c>
      <c r="B133" s="11" t="s">
        <v>138</v>
      </c>
      <c r="C133" s="11">
        <v>0</v>
      </c>
      <c r="D133" s="11">
        <v>0</v>
      </c>
      <c r="E133" s="11">
        <v>0</v>
      </c>
      <c r="F133" s="11">
        <f t="shared" si="8"/>
        <v>0</v>
      </c>
      <c r="G133" s="5">
        <f t="shared" si="10"/>
        <v>11.79</v>
      </c>
      <c r="H133" s="5">
        <f t="shared" si="11"/>
        <v>0</v>
      </c>
      <c r="I133" s="5">
        <f t="shared" si="12"/>
        <v>0</v>
      </c>
      <c r="J133" s="42">
        <f t="shared" si="13"/>
        <v>0</v>
      </c>
      <c r="K133" s="42">
        <f t="shared" si="14"/>
        <v>0</v>
      </c>
      <c r="L133" s="42"/>
      <c r="M133" s="42">
        <f t="shared" si="9"/>
        <v>11.79</v>
      </c>
      <c r="N133" s="8"/>
    </row>
    <row r="134" spans="1:14">
      <c r="A134" s="1" t="s">
        <v>124</v>
      </c>
      <c r="B134" s="11" t="s">
        <v>138</v>
      </c>
      <c r="C134" s="11">
        <v>0</v>
      </c>
      <c r="D134" s="11">
        <v>0</v>
      </c>
      <c r="E134" s="11">
        <v>0</v>
      </c>
      <c r="F134" s="11">
        <f t="shared" si="8"/>
        <v>0</v>
      </c>
      <c r="G134" s="5">
        <f t="shared" si="10"/>
        <v>11.79</v>
      </c>
      <c r="H134" s="5">
        <f t="shared" si="11"/>
        <v>0</v>
      </c>
      <c r="I134" s="5">
        <f t="shared" si="12"/>
        <v>0</v>
      </c>
      <c r="J134" s="42">
        <f t="shared" si="13"/>
        <v>0</v>
      </c>
      <c r="K134" s="42">
        <f t="shared" si="14"/>
        <v>0</v>
      </c>
      <c r="L134" s="42"/>
      <c r="M134" s="42">
        <f t="shared" si="9"/>
        <v>11.79</v>
      </c>
      <c r="N134" s="8"/>
    </row>
    <row r="135" spans="1:14">
      <c r="A135" s="1" t="s">
        <v>125</v>
      </c>
      <c r="B135" s="11" t="s">
        <v>138</v>
      </c>
      <c r="C135" s="11">
        <v>0</v>
      </c>
      <c r="D135" s="11">
        <v>0</v>
      </c>
      <c r="E135" s="11">
        <v>0</v>
      </c>
      <c r="F135" s="11">
        <f t="shared" si="8"/>
        <v>0</v>
      </c>
      <c r="G135" s="5">
        <f t="shared" si="10"/>
        <v>11.79</v>
      </c>
      <c r="H135" s="5">
        <f t="shared" si="11"/>
        <v>0</v>
      </c>
      <c r="I135" s="5">
        <f t="shared" si="12"/>
        <v>0</v>
      </c>
      <c r="J135" s="42">
        <f t="shared" si="13"/>
        <v>0</v>
      </c>
      <c r="K135" s="42">
        <f t="shared" si="14"/>
        <v>0</v>
      </c>
      <c r="L135" s="42"/>
      <c r="M135" s="42">
        <f t="shared" si="9"/>
        <v>11.79</v>
      </c>
      <c r="N135" s="8"/>
    </row>
    <row r="136" spans="1:14">
      <c r="A136" s="1" t="s">
        <v>126</v>
      </c>
      <c r="B136" s="11"/>
      <c r="C136" s="11">
        <v>885000</v>
      </c>
      <c r="D136" s="11">
        <v>907000</v>
      </c>
      <c r="E136" s="11">
        <v>0</v>
      </c>
      <c r="F136" s="11">
        <f t="shared" si="8"/>
        <v>22000</v>
      </c>
      <c r="G136" s="5">
        <f t="shared" si="10"/>
        <v>40.090000000000003</v>
      </c>
      <c r="H136" s="5">
        <f t="shared" si="11"/>
        <v>21.8</v>
      </c>
      <c r="I136" s="5">
        <f t="shared" si="12"/>
        <v>5.0599999999999996</v>
      </c>
      <c r="J136" s="42">
        <f t="shared" si="13"/>
        <v>0</v>
      </c>
      <c r="K136" s="42">
        <f t="shared" si="14"/>
        <v>0</v>
      </c>
      <c r="L136" s="42"/>
      <c r="M136" s="42">
        <f t="shared" si="9"/>
        <v>66.95</v>
      </c>
      <c r="N136" s="8"/>
    </row>
    <row r="138" spans="1:14">
      <c r="E138" s="1" t="s">
        <v>149</v>
      </c>
      <c r="F138" s="1">
        <f>SUM(F11:F137)</f>
        <v>3090100</v>
      </c>
      <c r="J138" s="1" t="s">
        <v>136</v>
      </c>
      <c r="M138" s="5">
        <f>SUM(M11:M137)</f>
        <v>10528.580000000018</v>
      </c>
    </row>
    <row r="139" spans="1:14" customFormat="1" ht="6.75" customHeight="1">
      <c r="A139" s="44"/>
      <c r="B139" s="44"/>
      <c r="C139" s="44"/>
      <c r="D139" s="44"/>
      <c r="E139" s="44"/>
      <c r="F139" s="44"/>
      <c r="G139" s="44"/>
      <c r="H139" s="44"/>
      <c r="I139" s="44"/>
      <c r="J139" s="44"/>
      <c r="K139" s="44"/>
      <c r="L139" s="44"/>
      <c r="M139" s="44"/>
      <c r="N139" s="44"/>
    </row>
    <row r="140" spans="1:14" customFormat="1">
      <c r="A140" t="s">
        <v>249</v>
      </c>
      <c r="D140" s="76" t="s">
        <v>256</v>
      </c>
      <c r="E140" s="76"/>
      <c r="F140" s="81">
        <f>SUM(Table214[May Usage])</f>
        <v>3090100</v>
      </c>
      <c r="G140" s="25">
        <f>SUM(Table214[[Base Rate ]])</f>
        <v>4196.7500000000045</v>
      </c>
      <c r="H140" s="25">
        <f>SUM(Table214[Tier1])</f>
        <v>1322.5899999999986</v>
      </c>
      <c r="I140" s="25">
        <f>SUM(Table214[Tier2])</f>
        <v>999.34999999999923</v>
      </c>
      <c r="J140" s="25">
        <f>SUM(Table214[Tier3])</f>
        <v>805.35000000000014</v>
      </c>
      <c r="K140" s="25">
        <f>SUM(Table214[Tier4])</f>
        <v>3204.54</v>
      </c>
      <c r="L140" s="25">
        <f>SUM(G140:K140)</f>
        <v>10528.580000000002</v>
      </c>
    </row>
    <row r="141" spans="1:14" customFormat="1">
      <c r="A141" t="s">
        <v>250</v>
      </c>
    </row>
    <row r="142" spans="1:14" customFormat="1">
      <c r="D142" t="s">
        <v>248</v>
      </c>
      <c r="E142" t="s">
        <v>148</v>
      </c>
      <c r="G142" t="s">
        <v>258</v>
      </c>
      <c r="H142" t="s">
        <v>166</v>
      </c>
      <c r="I142" t="s">
        <v>167</v>
      </c>
      <c r="J142" t="s">
        <v>169</v>
      </c>
      <c r="K142" t="s">
        <v>252</v>
      </c>
      <c r="L142" t="s">
        <v>251</v>
      </c>
    </row>
    <row r="143" spans="1:14" customFormat="1">
      <c r="A143" t="s">
        <v>254</v>
      </c>
      <c r="D143">
        <v>82</v>
      </c>
      <c r="E143" s="25">
        <v>0</v>
      </c>
      <c r="G143" s="25">
        <f>SUM(G18:G130)-G145</f>
        <v>3287.3800000000028</v>
      </c>
      <c r="H143" s="80">
        <f>SUM(H18:H130)-H145</f>
        <v>1035.4999999999995</v>
      </c>
      <c r="I143" s="25">
        <f>SUM(I18:I130)-I145</f>
        <v>893.08999999999946</v>
      </c>
      <c r="J143" s="25">
        <f>SUM(J18:J130)-J145</f>
        <v>687.34999999999991</v>
      </c>
      <c r="K143" s="25">
        <f>SUM(K18:K130)-K145</f>
        <v>1460.3399999999997</v>
      </c>
      <c r="L143" s="25">
        <f>SUM(F143:K143)</f>
        <v>7363.6600000000017</v>
      </c>
    </row>
    <row r="144" spans="1:14" customFormat="1">
      <c r="A144" t="s">
        <v>255</v>
      </c>
      <c r="D144">
        <v>8</v>
      </c>
      <c r="E144" s="25">
        <v>0</v>
      </c>
      <c r="G144" s="34">
        <f>SUM(G11:G15)+G17+G132+G136</f>
        <v>320.72000000000003</v>
      </c>
      <c r="H144" s="34">
        <f>SUM(H11:H15)+H17+H132+H136</f>
        <v>126.44000000000001</v>
      </c>
      <c r="I144" s="34">
        <f>SUM(I11:I15)+I17+I132+I136</f>
        <v>106.25999999999999</v>
      </c>
      <c r="J144" s="34">
        <f>SUM(J11:J15)+J17+J132+J136</f>
        <v>118</v>
      </c>
      <c r="K144" s="34">
        <f>SUM(K11:K15)+K17+K132+K136</f>
        <v>1744.2</v>
      </c>
      <c r="L144" s="25">
        <f t="shared" ref="L144:L147" si="15">SUM(F144:K144)</f>
        <v>2415.62</v>
      </c>
    </row>
    <row r="145" spans="1:12" customFormat="1">
      <c r="A145" t="s">
        <v>260</v>
      </c>
      <c r="D145">
        <v>31</v>
      </c>
      <c r="E145" s="25">
        <v>0</v>
      </c>
      <c r="G145" s="25">
        <f>G119+G114+G112+G108+G107+G105+G104+G103+G97+G91+G84+G81+G77+G73+G70+G69+G68+G65+G61+G57+G56+G55+G51+G50+G49+G40+G39+G34+G33+G31+G23</f>
        <v>365.49000000000007</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15"/>
        <v>365.49000000000007</v>
      </c>
    </row>
    <row r="146" spans="1:12" customFormat="1">
      <c r="A146" t="s">
        <v>261</v>
      </c>
      <c r="D146">
        <v>4</v>
      </c>
      <c r="E146" s="25">
        <v>0</v>
      </c>
      <c r="G146" s="25">
        <f>G135+G134+G133+G131</f>
        <v>47.16</v>
      </c>
      <c r="H146" s="25">
        <f>H135+H134+H133+H131</f>
        <v>0</v>
      </c>
      <c r="I146" s="25">
        <f>I135+I134+I133+I131</f>
        <v>0</v>
      </c>
      <c r="J146" s="25">
        <f>J135+J134+J133+J131</f>
        <v>0</v>
      </c>
      <c r="K146" s="25">
        <f>K135+K134+K133+K131</f>
        <v>0</v>
      </c>
      <c r="L146" s="25">
        <f t="shared" si="15"/>
        <v>47.16</v>
      </c>
    </row>
    <row r="147" spans="1:12" customFormat="1">
      <c r="A147" t="s">
        <v>253</v>
      </c>
      <c r="D147">
        <v>1</v>
      </c>
      <c r="E147" s="25">
        <v>0</v>
      </c>
      <c r="G147" s="25">
        <f>G16</f>
        <v>176</v>
      </c>
      <c r="H147" s="25">
        <f>H16</f>
        <v>160.65</v>
      </c>
      <c r="I147" s="25">
        <f>I16</f>
        <v>0</v>
      </c>
      <c r="J147" s="25">
        <f>J16</f>
        <v>0</v>
      </c>
      <c r="K147" s="25">
        <f>K16</f>
        <v>0</v>
      </c>
      <c r="L147" s="25">
        <f t="shared" si="15"/>
        <v>336.65</v>
      </c>
    </row>
    <row r="148" spans="1:12" customFormat="1" ht="15.75" thickBot="1">
      <c r="B148" t="s">
        <v>257</v>
      </c>
      <c r="D148" s="73">
        <f>SUM(D143:D147)</f>
        <v>126</v>
      </c>
      <c r="E148" s="73"/>
      <c r="F148" s="73"/>
      <c r="G148" s="74">
        <f t="shared" ref="G148:L148" si="16">SUM(G143:G147)</f>
        <v>4196.7500000000036</v>
      </c>
      <c r="H148" s="74">
        <f t="shared" si="16"/>
        <v>1322.5899999999997</v>
      </c>
      <c r="I148" s="74">
        <f t="shared" si="16"/>
        <v>999.34999999999945</v>
      </c>
      <c r="J148" s="74">
        <f t="shared" si="16"/>
        <v>805.34999999999991</v>
      </c>
      <c r="K148" s="74">
        <f t="shared" si="16"/>
        <v>3204.54</v>
      </c>
      <c r="L148" s="74">
        <f t="shared" si="16"/>
        <v>10528.580000000002</v>
      </c>
    </row>
    <row r="149" spans="1:12" customFormat="1" ht="15.75" thickTop="1">
      <c r="D149" s="78"/>
      <c r="E149" s="78"/>
      <c r="F149" s="78"/>
      <c r="G149" s="79"/>
      <c r="H149" s="79"/>
      <c r="I149" s="79"/>
      <c r="J149" s="79"/>
      <c r="K149" s="79"/>
      <c r="L149" s="79"/>
    </row>
    <row r="150" spans="1:12" customFormat="1">
      <c r="A150" t="s">
        <v>262</v>
      </c>
      <c r="D150" s="75"/>
      <c r="E150" s="81">
        <v>0</v>
      </c>
      <c r="F150" s="75"/>
      <c r="G150" s="81">
        <f>F140-G151-G152-(SUM(H153:K153))</f>
        <v>697100.00000000047</v>
      </c>
      <c r="H150" s="81">
        <f>H143/2.18*1000</f>
        <v>474999.99999999977</v>
      </c>
      <c r="I150" s="81">
        <f>I143/2.53*1000</f>
        <v>352999.99999999983</v>
      </c>
      <c r="J150" s="81">
        <f>J143/2.95*1000</f>
        <v>232999.99999999994</v>
      </c>
      <c r="K150" s="81">
        <f>K143/3.42*1000</f>
        <v>426999.99999999994</v>
      </c>
      <c r="L150" s="81">
        <f>SUM(G150:K150)</f>
        <v>2185100</v>
      </c>
    </row>
    <row r="151" spans="1:12" customFormat="1">
      <c r="A151" t="s">
        <v>263</v>
      </c>
      <c r="D151" s="75"/>
      <c r="E151" s="81">
        <v>0</v>
      </c>
      <c r="F151" s="75"/>
      <c r="G151" s="81">
        <f>(SUM(F11:F15)+F17+SUM(F131:F136)-H151-I151-J151-K151)</f>
        <v>70000</v>
      </c>
      <c r="H151" s="81">
        <f>H144/2.18*1000</f>
        <v>58000</v>
      </c>
      <c r="I151" s="81">
        <f>I144/2.53*1000</f>
        <v>42000</v>
      </c>
      <c r="J151" s="81">
        <f>J144/2.95*1000</f>
        <v>40000</v>
      </c>
      <c r="K151" s="81">
        <f>K144/3.42*1000</f>
        <v>510000</v>
      </c>
      <c r="L151" s="81">
        <f>SUM(G151:K151)</f>
        <v>720000</v>
      </c>
    </row>
    <row r="152" spans="1:12" customFormat="1">
      <c r="A152" t="s">
        <v>264</v>
      </c>
      <c r="D152" s="75"/>
      <c r="E152" s="81">
        <v>0</v>
      </c>
      <c r="F152" s="75"/>
      <c r="G152" s="81">
        <f>IF(F16&gt;100000,100000,F16)</f>
        <v>100000</v>
      </c>
      <c r="H152" s="81">
        <f>H147/1.89*1000</f>
        <v>85000.000000000015</v>
      </c>
      <c r="I152" s="81" t="s">
        <v>259</v>
      </c>
      <c r="J152" s="81" t="s">
        <v>259</v>
      </c>
      <c r="K152" s="81" t="s">
        <v>259</v>
      </c>
      <c r="L152" s="81">
        <f>SUM(G152:K152)</f>
        <v>185000</v>
      </c>
    </row>
    <row r="153" spans="1:12" customFormat="1" ht="15.75" thickBot="1">
      <c r="B153" t="s">
        <v>265</v>
      </c>
      <c r="D153" s="77"/>
      <c r="E153" s="82">
        <v>0</v>
      </c>
      <c r="F153" s="77"/>
      <c r="G153" s="82">
        <f>G150+G151+G152</f>
        <v>867100.00000000047</v>
      </c>
      <c r="H153" s="82">
        <f>SUM(H150:H152)</f>
        <v>617999.99999999977</v>
      </c>
      <c r="I153" s="82">
        <f>SUM(I150:I152)</f>
        <v>394999.99999999983</v>
      </c>
      <c r="J153" s="82">
        <f>SUM(J150:J152)</f>
        <v>272999.99999999994</v>
      </c>
      <c r="K153" s="82">
        <f>SUM(K150:K152)</f>
        <v>937000</v>
      </c>
      <c r="L153" s="82">
        <f>SUM(L150:L152)</f>
        <v>3090100</v>
      </c>
    </row>
    <row r="154" spans="1:12" ht="15.75" thickTop="1">
      <c r="E154" s="1" t="s">
        <v>274</v>
      </c>
    </row>
    <row r="155" spans="1:12">
      <c r="E155" s="75" t="s">
        <v>275</v>
      </c>
    </row>
    <row r="156" spans="1:12">
      <c r="E156" s="75" t="s">
        <v>273</v>
      </c>
    </row>
    <row r="157" spans="1:12">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29.xml><?xml version="1.0" encoding="utf-8"?>
<worksheet xmlns="http://schemas.openxmlformats.org/spreadsheetml/2006/main" xmlns:r="http://schemas.openxmlformats.org/officeDocument/2006/relationships">
  <sheetPr>
    <pageSetUpPr fitToPage="1"/>
  </sheetPr>
  <dimension ref="A1:M145"/>
  <sheetViews>
    <sheetView zoomScaleNormal="100" zoomScalePageLayoutView="55" workbookViewId="0"/>
  </sheetViews>
  <sheetFormatPr defaultRowHeight="15"/>
  <cols>
    <col min="1" max="1" width="13.140625" customWidth="1"/>
    <col min="2" max="2" width="10.7109375" customWidth="1"/>
    <col min="3" max="3" width="15.42578125" customWidth="1"/>
    <col min="4" max="5" width="14.85546875" customWidth="1"/>
    <col min="6" max="6" width="14.28515625" customWidth="1"/>
    <col min="7" max="7" width="13.5703125" customWidth="1"/>
    <col min="8" max="8" width="11.5703125" customWidth="1"/>
    <col min="9" max="9" width="11.28515625" customWidth="1"/>
    <col min="10" max="10" width="11.85546875" customWidth="1"/>
    <col min="11" max="11" width="11.42578125" customWidth="1"/>
    <col min="12" max="12" width="11.85546875" customWidth="1"/>
    <col min="13" max="13" width="39.5703125" customWidth="1"/>
  </cols>
  <sheetData>
    <row r="1" spans="1:13">
      <c r="A1" t="s">
        <v>0</v>
      </c>
      <c r="B1" t="s">
        <v>137</v>
      </c>
      <c r="C1" t="s">
        <v>188</v>
      </c>
      <c r="D1" s="43" t="s">
        <v>201</v>
      </c>
      <c r="E1" t="s">
        <v>140</v>
      </c>
      <c r="F1" t="s">
        <v>189</v>
      </c>
      <c r="G1" t="s">
        <v>132</v>
      </c>
      <c r="H1" t="s">
        <v>128</v>
      </c>
      <c r="I1" t="s">
        <v>129</v>
      </c>
      <c r="J1" t="s">
        <v>130</v>
      </c>
      <c r="K1" t="s">
        <v>131</v>
      </c>
      <c r="L1" t="s">
        <v>135</v>
      </c>
      <c r="M1" t="s">
        <v>127</v>
      </c>
    </row>
    <row r="2" spans="1:13">
      <c r="A2" t="s">
        <v>1</v>
      </c>
      <c r="C2">
        <v>6500000</v>
      </c>
      <c r="D2">
        <v>6677000</v>
      </c>
      <c r="E2">
        <v>0</v>
      </c>
      <c r="F2">
        <f>($D2-$C2)+$E2</f>
        <v>177000</v>
      </c>
      <c r="G2">
        <f>IF(OR($F2&gt;0,$B2=""),40.09,11.79)</f>
        <v>40.090000000000003</v>
      </c>
      <c r="H2">
        <f>IF(AND((($F2-10000)&gt;=0),(($F2-10000)&lt;= 10000)),($F2-10000)/1000*2.18,IF(($F2-10000)&gt;=10000,2.18*10,0))</f>
        <v>21.8</v>
      </c>
      <c r="I2">
        <f>IF(AND((($F2-20000)&gt;=0),(($F2-20000)&lt;=10000)),($F2-20000)/1000*2.53,IF(($F2-20000)&gt;=10000,2.53*10,0))</f>
        <v>25.299999999999997</v>
      </c>
      <c r="J2">
        <f>IF(AND((($F2-30000)&gt;=0),(($F2-30000)&lt;=10000)),($F2-30000)/1000*2.95,IF(($F2-30000)&gt;=10000,2.95*10,0))</f>
        <v>29.5</v>
      </c>
      <c r="K2">
        <f>IF((($F2-40000)&gt;=0),($F2-40000)/1000*3.42,0)</f>
        <v>468.53999999999996</v>
      </c>
      <c r="L2">
        <f t="shared" ref="L2:L65" si="0">SUM(G2:K2)</f>
        <v>585.23</v>
      </c>
    </row>
    <row r="3" spans="1:13">
      <c r="A3" t="s">
        <v>2</v>
      </c>
      <c r="C3">
        <v>5980000</v>
      </c>
      <c r="D3">
        <v>6091000</v>
      </c>
      <c r="E3">
        <v>0</v>
      </c>
      <c r="F3">
        <f t="shared" ref="F3:F66" si="1">($D3-$C3)+$E3</f>
        <v>111000</v>
      </c>
      <c r="G3">
        <f>IF(OR($F3&gt;0,$B3=""),40.09,11.79)</f>
        <v>40.090000000000003</v>
      </c>
      <c r="H3">
        <f>IF(AND((($F3-10000)&gt;=0),(($F3-10000)&lt;= 10000)),($F3-10000)/1000*2.18,IF(($F3-10000)&gt;=10000,2.18*10,0))</f>
        <v>21.8</v>
      </c>
      <c r="I3">
        <f>IF(AND((($F3-20000)&gt;=0),(($F3-20000)&lt;=10000)),($F3-20000)/1000*2.53,IF(($F3-20000)&gt;=10000,2.53*10,0))</f>
        <v>25.299999999999997</v>
      </c>
      <c r="J3">
        <f>IF(AND((($F3-30000)&gt;=0),(($F3-30000)&lt;=10000)),($F3-30000)/1000*2.95,IF(($F3-30000)&gt;=10000,2.95*10,0))</f>
        <v>29.5</v>
      </c>
      <c r="K3">
        <f>IF((($F3-40000)&gt;=0),($F3-40000)/1000*3.42,0)</f>
        <v>242.82</v>
      </c>
      <c r="L3">
        <f t="shared" si="0"/>
        <v>359.51</v>
      </c>
    </row>
    <row r="4" spans="1:13">
      <c r="A4" t="s">
        <v>3</v>
      </c>
      <c r="C4">
        <v>0</v>
      </c>
      <c r="D4">
        <v>0</v>
      </c>
      <c r="E4">
        <v>0</v>
      </c>
      <c r="F4">
        <f t="shared" si="1"/>
        <v>0</v>
      </c>
      <c r="G4">
        <f>IF(OR($F4&gt;0,$B4=""),40.09,11.79)</f>
        <v>40.090000000000003</v>
      </c>
      <c r="H4">
        <f>IF(AND((($F4-10000)&gt;=0),(($F4-10000)&lt;= 10000)),($F4-10000)/1000*2.18,IF(($F4-10000)&gt;=10000,2.18*10,0))</f>
        <v>0</v>
      </c>
      <c r="I4">
        <f>IF(AND((($F4-20000)&gt;=0),(($F4-20000)&lt;=10000)),($F4-20000)/1000*2.53,IF(($F4-20000)&gt;=10000,2.53*10,0))</f>
        <v>0</v>
      </c>
      <c r="J4">
        <f>IF(AND((($F4-30000)&gt;=0),(($F4-30000)&lt;=10000)),($F4-30000)/1000*2.95,IF(($F4-30000)&gt;=10000,2.95*10,0))</f>
        <v>0</v>
      </c>
      <c r="K4">
        <f>IF((($F4-40000)&gt;=0),($F4-40000)/1000*3.42,0)</f>
        <v>0</v>
      </c>
      <c r="L4">
        <f t="shared" si="0"/>
        <v>40.090000000000003</v>
      </c>
      <c r="M4" t="s">
        <v>134</v>
      </c>
    </row>
    <row r="5" spans="1:13">
      <c r="A5" t="s">
        <v>4</v>
      </c>
      <c r="C5">
        <v>2540000</v>
      </c>
      <c r="D5">
        <v>2654000</v>
      </c>
      <c r="E5">
        <v>0</v>
      </c>
      <c r="F5">
        <f t="shared" si="1"/>
        <v>114000</v>
      </c>
      <c r="G5">
        <f>IF(OR($F5&gt;0,$B5=""),40.09,11.79)</f>
        <v>40.090000000000003</v>
      </c>
      <c r="H5">
        <f>IF(AND((($F5-10000)&gt;=0),(($F5-10000)&lt;= 10000)),($F5-10000)/1000*2.18,IF(($F5-10000)&gt;=10000,2.18*10,0))</f>
        <v>21.8</v>
      </c>
      <c r="I5">
        <f>IF(AND((($F5-20000)&gt;=0),(($F5-20000)&lt;=10000)),($F5-20000)/1000*2.53,IF(($F5-20000)&gt;=10000,2.53*10,0))</f>
        <v>25.299999999999997</v>
      </c>
      <c r="J5">
        <f>IF(AND((($F5-30000)&gt;=0),(($F5-30000)&lt;=10000)),($F5-30000)/1000*2.95,IF(($F5-30000)&gt;=10000,2.95*10,0))</f>
        <v>29.5</v>
      </c>
      <c r="K5">
        <f>IF((($F5-40000)&gt;=0),($F5-40000)/1000*3.42,0)</f>
        <v>253.07999999999998</v>
      </c>
      <c r="L5">
        <f t="shared" si="0"/>
        <v>369.77</v>
      </c>
    </row>
    <row r="6" spans="1:13">
      <c r="A6" t="s">
        <v>5</v>
      </c>
      <c r="C6">
        <v>1744000</v>
      </c>
      <c r="D6">
        <v>1840000</v>
      </c>
      <c r="E6">
        <v>0</v>
      </c>
      <c r="F6">
        <f t="shared" si="1"/>
        <v>96000</v>
      </c>
      <c r="G6">
        <f>IF(OR($F6&gt;0,$B6=""),40.09,11.79)</f>
        <v>40.090000000000003</v>
      </c>
      <c r="H6">
        <f>IF(AND((($F6-10000)&gt;=0),(($F6-10000)&lt;= 10000)),($F6-10000)/1000*2.18,IF(($F6-10000)&gt;=10000,2.18*10,0))</f>
        <v>21.8</v>
      </c>
      <c r="I6">
        <f>IF(AND((($F6-20000)&gt;=0),(($F6-20000)&lt;=10000)),($F6-20000)/1000*2.53,IF(($F6-20000)&gt;=10000,2.53*10,0))</f>
        <v>25.299999999999997</v>
      </c>
      <c r="J6">
        <f>IF(AND((($F6-30000)&gt;=0),(($F6-30000)&lt;=10000)),($F6-30000)/1000*2.95,IF(($F6-30000)&gt;=10000,2.95*10,0))</f>
        <v>29.5</v>
      </c>
      <c r="K6">
        <f>IF((($F6-40000)&gt;=0),($F6-40000)/1000*3.42,0)</f>
        <v>191.51999999999998</v>
      </c>
      <c r="L6">
        <f t="shared" si="0"/>
        <v>308.20999999999998</v>
      </c>
    </row>
    <row r="7" spans="1:13">
      <c r="A7" t="s">
        <v>6</v>
      </c>
      <c r="C7">
        <v>23898000</v>
      </c>
      <c r="D7">
        <v>24082000</v>
      </c>
      <c r="E7">
        <v>0</v>
      </c>
      <c r="F7">
        <f t="shared" si="1"/>
        <v>184000</v>
      </c>
      <c r="G7">
        <v>176</v>
      </c>
      <c r="H7">
        <f>IF(($F7-100000)&gt;=0,($F7-100000)/1000*1.89,0)</f>
        <v>158.76</v>
      </c>
      <c r="L7">
        <f t="shared" si="0"/>
        <v>334.76</v>
      </c>
      <c r="M7" t="s">
        <v>133</v>
      </c>
    </row>
    <row r="8" spans="1:13">
      <c r="A8" t="s">
        <v>7</v>
      </c>
      <c r="C8">
        <v>452000</v>
      </c>
      <c r="D8">
        <v>466000</v>
      </c>
      <c r="E8">
        <v>0</v>
      </c>
      <c r="F8">
        <f t="shared" si="1"/>
        <v>14000</v>
      </c>
      <c r="G8">
        <f t="shared" ref="G8:G71" si="2">IF(OR($F8&gt;0,$B8=""),40.09,11.79)</f>
        <v>40.090000000000003</v>
      </c>
      <c r="H8">
        <f t="shared" ref="H8:H71" si="3">IF(AND((($F8-10000)&gt;=0),(($F8-10000)&lt;= 10000)),($F8-10000)/1000*2.18,IF(($F8-10000)&gt;=10000,2.18*10,0))</f>
        <v>8.7200000000000006</v>
      </c>
      <c r="I8">
        <f t="shared" ref="I8:I71" si="4">IF(AND((($F8-20000)&gt;=0),(($F8-20000)&lt;=10000)),($F8-20000)/1000*2.53,IF(($F8-20000)&gt;=10000,2.53*10,0))</f>
        <v>0</v>
      </c>
      <c r="J8">
        <f t="shared" ref="J8:J71" si="5">IF(AND((($F8-30000)&gt;=0),(($F8-30000)&lt;=10000)),($F8-30000)/1000*2.95,IF(($F8-30000)&gt;=10000,2.95*10,0))</f>
        <v>0</v>
      </c>
      <c r="K8">
        <f t="shared" ref="K8:K71" si="6">IF((($F8-40000)&gt;=0),($F8-40000)/1000*3.42,0)</f>
        <v>0</v>
      </c>
      <c r="L8">
        <f t="shared" si="0"/>
        <v>48.81</v>
      </c>
    </row>
    <row r="9" spans="1:13">
      <c r="A9" t="s">
        <v>8</v>
      </c>
      <c r="C9">
        <v>2106000</v>
      </c>
      <c r="D9">
        <v>2122000</v>
      </c>
      <c r="E9">
        <v>0</v>
      </c>
      <c r="F9">
        <f t="shared" si="1"/>
        <v>16000</v>
      </c>
      <c r="G9">
        <f t="shared" si="2"/>
        <v>40.090000000000003</v>
      </c>
      <c r="H9">
        <f t="shared" si="3"/>
        <v>13.080000000000002</v>
      </c>
      <c r="I9">
        <f t="shared" si="4"/>
        <v>0</v>
      </c>
      <c r="J9">
        <f t="shared" si="5"/>
        <v>0</v>
      </c>
      <c r="K9">
        <f t="shared" si="6"/>
        <v>0</v>
      </c>
      <c r="L9">
        <f t="shared" si="0"/>
        <v>53.17</v>
      </c>
    </row>
    <row r="10" spans="1:13">
      <c r="A10" t="s">
        <v>9</v>
      </c>
      <c r="C10">
        <v>19000</v>
      </c>
      <c r="D10">
        <v>43000</v>
      </c>
      <c r="E10">
        <v>0</v>
      </c>
      <c r="F10">
        <f t="shared" si="1"/>
        <v>24000</v>
      </c>
      <c r="G10">
        <f t="shared" si="2"/>
        <v>40.090000000000003</v>
      </c>
      <c r="H10">
        <f t="shared" si="3"/>
        <v>21.8</v>
      </c>
      <c r="I10">
        <f t="shared" si="4"/>
        <v>10.119999999999999</v>
      </c>
      <c r="J10">
        <f t="shared" si="5"/>
        <v>0</v>
      </c>
      <c r="K10">
        <f t="shared" si="6"/>
        <v>0</v>
      </c>
      <c r="L10">
        <f t="shared" si="0"/>
        <v>72.010000000000005</v>
      </c>
    </row>
    <row r="11" spans="1:13">
      <c r="A11" t="s">
        <v>10</v>
      </c>
      <c r="C11">
        <v>1415000</v>
      </c>
      <c r="D11">
        <v>1435000</v>
      </c>
      <c r="E11">
        <v>0</v>
      </c>
      <c r="F11">
        <f t="shared" si="1"/>
        <v>20000</v>
      </c>
      <c r="G11">
        <f t="shared" si="2"/>
        <v>40.090000000000003</v>
      </c>
      <c r="H11">
        <f t="shared" si="3"/>
        <v>21.8</v>
      </c>
      <c r="I11">
        <f t="shared" si="4"/>
        <v>0</v>
      </c>
      <c r="J11">
        <f t="shared" si="5"/>
        <v>0</v>
      </c>
      <c r="K11">
        <f t="shared" si="6"/>
        <v>0</v>
      </c>
      <c r="L11">
        <f t="shared" si="0"/>
        <v>61.89</v>
      </c>
    </row>
    <row r="12" spans="1:13">
      <c r="A12" t="s">
        <v>11</v>
      </c>
      <c r="C12">
        <v>1899000</v>
      </c>
      <c r="D12">
        <v>1913000</v>
      </c>
      <c r="E12">
        <v>0</v>
      </c>
      <c r="F12">
        <f t="shared" si="1"/>
        <v>14000</v>
      </c>
      <c r="G12">
        <f t="shared" si="2"/>
        <v>40.090000000000003</v>
      </c>
      <c r="H12">
        <f t="shared" si="3"/>
        <v>8.7200000000000006</v>
      </c>
      <c r="I12">
        <f t="shared" si="4"/>
        <v>0</v>
      </c>
      <c r="J12">
        <f t="shared" si="5"/>
        <v>0</v>
      </c>
      <c r="K12">
        <f t="shared" si="6"/>
        <v>0</v>
      </c>
      <c r="L12">
        <f t="shared" si="0"/>
        <v>48.81</v>
      </c>
    </row>
    <row r="13" spans="1:13">
      <c r="A13" t="s">
        <v>12</v>
      </c>
      <c r="C13">
        <v>2043000</v>
      </c>
      <c r="D13">
        <v>2065000</v>
      </c>
      <c r="E13">
        <v>0</v>
      </c>
      <c r="F13">
        <f t="shared" si="1"/>
        <v>22000</v>
      </c>
      <c r="G13">
        <f t="shared" si="2"/>
        <v>40.090000000000003</v>
      </c>
      <c r="H13">
        <f t="shared" si="3"/>
        <v>21.8</v>
      </c>
      <c r="I13">
        <f t="shared" si="4"/>
        <v>5.0599999999999996</v>
      </c>
      <c r="J13">
        <f t="shared" si="5"/>
        <v>0</v>
      </c>
      <c r="K13">
        <f t="shared" si="6"/>
        <v>0</v>
      </c>
      <c r="L13">
        <f t="shared" si="0"/>
        <v>66.95</v>
      </c>
    </row>
    <row r="14" spans="1:13">
      <c r="A14" t="s">
        <v>13</v>
      </c>
      <c r="B14" t="s">
        <v>138</v>
      </c>
      <c r="C14">
        <v>0</v>
      </c>
      <c r="D14">
        <v>0</v>
      </c>
      <c r="E14">
        <v>0</v>
      </c>
      <c r="F14">
        <f t="shared" si="1"/>
        <v>0</v>
      </c>
      <c r="G14">
        <f t="shared" si="2"/>
        <v>11.79</v>
      </c>
      <c r="H14">
        <f t="shared" si="3"/>
        <v>0</v>
      </c>
      <c r="I14">
        <f t="shared" si="4"/>
        <v>0</v>
      </c>
      <c r="J14">
        <f t="shared" si="5"/>
        <v>0</v>
      </c>
      <c r="K14">
        <f t="shared" si="6"/>
        <v>0</v>
      </c>
      <c r="L14">
        <f t="shared" si="0"/>
        <v>11.79</v>
      </c>
    </row>
    <row r="15" spans="1:13">
      <c r="A15" t="s">
        <v>14</v>
      </c>
      <c r="C15">
        <v>6109000</v>
      </c>
      <c r="D15">
        <v>6160000</v>
      </c>
      <c r="E15">
        <v>0</v>
      </c>
      <c r="F15">
        <f t="shared" si="1"/>
        <v>51000</v>
      </c>
      <c r="G15">
        <f t="shared" si="2"/>
        <v>40.090000000000003</v>
      </c>
      <c r="H15">
        <f t="shared" si="3"/>
        <v>21.8</v>
      </c>
      <c r="I15">
        <f t="shared" si="4"/>
        <v>25.299999999999997</v>
      </c>
      <c r="J15">
        <f t="shared" si="5"/>
        <v>29.5</v>
      </c>
      <c r="K15">
        <f t="shared" si="6"/>
        <v>37.619999999999997</v>
      </c>
      <c r="L15">
        <f t="shared" si="0"/>
        <v>154.31</v>
      </c>
    </row>
    <row r="16" spans="1:13">
      <c r="A16" t="s">
        <v>15</v>
      </c>
      <c r="C16">
        <v>2510000</v>
      </c>
      <c r="D16">
        <v>2528000</v>
      </c>
      <c r="E16">
        <v>0</v>
      </c>
      <c r="F16">
        <f t="shared" si="1"/>
        <v>18000</v>
      </c>
      <c r="G16">
        <f t="shared" si="2"/>
        <v>40.090000000000003</v>
      </c>
      <c r="H16">
        <f t="shared" si="3"/>
        <v>17.440000000000001</v>
      </c>
      <c r="I16">
        <f t="shared" si="4"/>
        <v>0</v>
      </c>
      <c r="J16">
        <f t="shared" si="5"/>
        <v>0</v>
      </c>
      <c r="K16">
        <f t="shared" si="6"/>
        <v>0</v>
      </c>
      <c r="L16">
        <f t="shared" si="0"/>
        <v>57.53</v>
      </c>
    </row>
    <row r="17" spans="1:12">
      <c r="A17" t="s">
        <v>16</v>
      </c>
      <c r="C17">
        <v>1461000</v>
      </c>
      <c r="D17">
        <v>1473000</v>
      </c>
      <c r="E17">
        <v>0</v>
      </c>
      <c r="F17">
        <f t="shared" si="1"/>
        <v>12000</v>
      </c>
      <c r="G17">
        <f t="shared" si="2"/>
        <v>40.090000000000003</v>
      </c>
      <c r="H17">
        <f t="shared" si="3"/>
        <v>4.3600000000000003</v>
      </c>
      <c r="I17">
        <f t="shared" si="4"/>
        <v>0</v>
      </c>
      <c r="J17">
        <f t="shared" si="5"/>
        <v>0</v>
      </c>
      <c r="K17">
        <f t="shared" si="6"/>
        <v>0</v>
      </c>
      <c r="L17">
        <f t="shared" si="0"/>
        <v>44.45</v>
      </c>
    </row>
    <row r="18" spans="1:12">
      <c r="A18" t="s">
        <v>17</v>
      </c>
      <c r="C18">
        <v>1116000</v>
      </c>
      <c r="D18">
        <v>1123000</v>
      </c>
      <c r="E18">
        <v>0</v>
      </c>
      <c r="F18">
        <f t="shared" si="1"/>
        <v>7000</v>
      </c>
      <c r="G18">
        <f t="shared" si="2"/>
        <v>40.090000000000003</v>
      </c>
      <c r="H18">
        <f t="shared" si="3"/>
        <v>0</v>
      </c>
      <c r="I18">
        <f t="shared" si="4"/>
        <v>0</v>
      </c>
      <c r="J18">
        <f t="shared" si="5"/>
        <v>0</v>
      </c>
      <c r="K18">
        <f t="shared" si="6"/>
        <v>0</v>
      </c>
      <c r="L18">
        <f t="shared" si="0"/>
        <v>40.090000000000003</v>
      </c>
    </row>
    <row r="19" spans="1:12">
      <c r="A19" t="s">
        <v>18</v>
      </c>
      <c r="C19">
        <v>3957000</v>
      </c>
      <c r="D19">
        <v>3972000</v>
      </c>
      <c r="E19">
        <v>0</v>
      </c>
      <c r="F19">
        <f t="shared" si="1"/>
        <v>15000</v>
      </c>
      <c r="G19">
        <f t="shared" si="2"/>
        <v>40.090000000000003</v>
      </c>
      <c r="H19">
        <f t="shared" si="3"/>
        <v>10.9</v>
      </c>
      <c r="I19">
        <f t="shared" si="4"/>
        <v>0</v>
      </c>
      <c r="J19">
        <f t="shared" si="5"/>
        <v>0</v>
      </c>
      <c r="K19">
        <f t="shared" si="6"/>
        <v>0</v>
      </c>
      <c r="L19">
        <f t="shared" si="0"/>
        <v>50.99</v>
      </c>
    </row>
    <row r="20" spans="1:12">
      <c r="A20" t="s">
        <v>19</v>
      </c>
      <c r="C20">
        <v>988000</v>
      </c>
      <c r="D20">
        <v>1009000</v>
      </c>
      <c r="E20">
        <v>0</v>
      </c>
      <c r="F20">
        <f t="shared" si="1"/>
        <v>21000</v>
      </c>
      <c r="G20">
        <f t="shared" si="2"/>
        <v>40.090000000000003</v>
      </c>
      <c r="H20">
        <f t="shared" si="3"/>
        <v>21.8</v>
      </c>
      <c r="I20">
        <f t="shared" si="4"/>
        <v>2.5299999999999998</v>
      </c>
      <c r="J20">
        <f t="shared" si="5"/>
        <v>0</v>
      </c>
      <c r="K20">
        <f t="shared" si="6"/>
        <v>0</v>
      </c>
      <c r="L20">
        <f t="shared" si="0"/>
        <v>64.42</v>
      </c>
    </row>
    <row r="21" spans="1:12">
      <c r="A21" t="s">
        <v>20</v>
      </c>
      <c r="C21">
        <v>2142000</v>
      </c>
      <c r="D21">
        <v>2143000</v>
      </c>
      <c r="E21">
        <v>0</v>
      </c>
      <c r="F21">
        <f t="shared" si="1"/>
        <v>1000</v>
      </c>
      <c r="G21">
        <f t="shared" si="2"/>
        <v>40.090000000000003</v>
      </c>
      <c r="H21">
        <f t="shared" si="3"/>
        <v>0</v>
      </c>
      <c r="I21">
        <f t="shared" si="4"/>
        <v>0</v>
      </c>
      <c r="J21">
        <f t="shared" si="5"/>
        <v>0</v>
      </c>
      <c r="K21">
        <f t="shared" si="6"/>
        <v>0</v>
      </c>
      <c r="L21">
        <f t="shared" si="0"/>
        <v>40.090000000000003</v>
      </c>
    </row>
    <row r="22" spans="1:12">
      <c r="A22" t="s">
        <v>21</v>
      </c>
      <c r="B22" t="s">
        <v>138</v>
      </c>
      <c r="C22">
        <v>0</v>
      </c>
      <c r="D22">
        <v>0</v>
      </c>
      <c r="E22">
        <v>0</v>
      </c>
      <c r="F22">
        <f t="shared" si="1"/>
        <v>0</v>
      </c>
      <c r="G22">
        <f t="shared" si="2"/>
        <v>11.79</v>
      </c>
      <c r="H22">
        <f t="shared" si="3"/>
        <v>0</v>
      </c>
      <c r="I22">
        <f t="shared" si="4"/>
        <v>0</v>
      </c>
      <c r="J22">
        <f t="shared" si="5"/>
        <v>0</v>
      </c>
      <c r="K22">
        <f t="shared" si="6"/>
        <v>0</v>
      </c>
      <c r="L22">
        <f t="shared" si="0"/>
        <v>11.79</v>
      </c>
    </row>
    <row r="23" spans="1:12">
      <c r="A23" t="s">
        <v>22</v>
      </c>
      <c r="C23">
        <v>565000</v>
      </c>
      <c r="D23">
        <v>575000</v>
      </c>
      <c r="E23">
        <v>0</v>
      </c>
      <c r="F23">
        <f t="shared" si="1"/>
        <v>10000</v>
      </c>
      <c r="G23">
        <f t="shared" si="2"/>
        <v>40.090000000000003</v>
      </c>
      <c r="H23">
        <f t="shared" si="3"/>
        <v>0</v>
      </c>
      <c r="I23">
        <f t="shared" si="4"/>
        <v>0</v>
      </c>
      <c r="J23">
        <f t="shared" si="5"/>
        <v>0</v>
      </c>
      <c r="K23">
        <f t="shared" si="6"/>
        <v>0</v>
      </c>
      <c r="L23">
        <f t="shared" si="0"/>
        <v>40.090000000000003</v>
      </c>
    </row>
    <row r="24" spans="1:12">
      <c r="A24" t="s">
        <v>23</v>
      </c>
      <c r="B24" t="s">
        <v>138</v>
      </c>
      <c r="C24">
        <v>0</v>
      </c>
      <c r="D24">
        <v>0</v>
      </c>
      <c r="E24">
        <v>0</v>
      </c>
      <c r="F24">
        <f t="shared" si="1"/>
        <v>0</v>
      </c>
      <c r="G24">
        <f t="shared" si="2"/>
        <v>11.79</v>
      </c>
      <c r="H24">
        <f t="shared" si="3"/>
        <v>0</v>
      </c>
      <c r="I24">
        <f t="shared" si="4"/>
        <v>0</v>
      </c>
      <c r="J24">
        <f t="shared" si="5"/>
        <v>0</v>
      </c>
      <c r="K24">
        <f t="shared" si="6"/>
        <v>0</v>
      </c>
      <c r="L24">
        <f t="shared" si="0"/>
        <v>11.79</v>
      </c>
    </row>
    <row r="25" spans="1:12">
      <c r="A25" t="s">
        <v>24</v>
      </c>
      <c r="B25" t="s">
        <v>138</v>
      </c>
      <c r="C25">
        <v>0</v>
      </c>
      <c r="D25">
        <v>0</v>
      </c>
      <c r="E25">
        <v>0</v>
      </c>
      <c r="F25">
        <f t="shared" si="1"/>
        <v>0</v>
      </c>
      <c r="G25">
        <f t="shared" si="2"/>
        <v>11.79</v>
      </c>
      <c r="H25">
        <f t="shared" si="3"/>
        <v>0</v>
      </c>
      <c r="I25">
        <f t="shared" si="4"/>
        <v>0</v>
      </c>
      <c r="J25">
        <f t="shared" si="5"/>
        <v>0</v>
      </c>
      <c r="K25">
        <f t="shared" si="6"/>
        <v>0</v>
      </c>
      <c r="L25">
        <f t="shared" si="0"/>
        <v>11.79</v>
      </c>
    </row>
    <row r="26" spans="1:12">
      <c r="A26" t="s">
        <v>25</v>
      </c>
      <c r="C26">
        <v>2181000</v>
      </c>
      <c r="D26">
        <v>2208000</v>
      </c>
      <c r="E26">
        <v>0</v>
      </c>
      <c r="F26">
        <f t="shared" si="1"/>
        <v>27000</v>
      </c>
      <c r="G26">
        <f t="shared" si="2"/>
        <v>40.090000000000003</v>
      </c>
      <c r="H26">
        <f t="shared" si="3"/>
        <v>21.8</v>
      </c>
      <c r="I26">
        <f t="shared" si="4"/>
        <v>17.709999999999997</v>
      </c>
      <c r="J26">
        <f t="shared" si="5"/>
        <v>0</v>
      </c>
      <c r="K26">
        <f t="shared" si="6"/>
        <v>0</v>
      </c>
      <c r="L26">
        <f t="shared" si="0"/>
        <v>79.599999999999994</v>
      </c>
    </row>
    <row r="27" spans="1:12">
      <c r="A27" t="s">
        <v>26</v>
      </c>
      <c r="C27">
        <v>266000</v>
      </c>
      <c r="D27">
        <v>277000</v>
      </c>
      <c r="E27">
        <v>0</v>
      </c>
      <c r="F27">
        <f t="shared" si="1"/>
        <v>11000</v>
      </c>
      <c r="G27">
        <f t="shared" si="2"/>
        <v>40.090000000000003</v>
      </c>
      <c r="H27">
        <f t="shared" si="3"/>
        <v>2.1800000000000002</v>
      </c>
      <c r="I27">
        <f t="shared" si="4"/>
        <v>0</v>
      </c>
      <c r="J27">
        <f t="shared" si="5"/>
        <v>0</v>
      </c>
      <c r="K27">
        <f t="shared" si="6"/>
        <v>0</v>
      </c>
      <c r="L27">
        <f t="shared" si="0"/>
        <v>42.27</v>
      </c>
    </row>
    <row r="28" spans="1:12">
      <c r="A28" t="s">
        <v>27</v>
      </c>
      <c r="C28">
        <v>2110000</v>
      </c>
      <c r="D28">
        <v>2114000</v>
      </c>
      <c r="E28">
        <v>0</v>
      </c>
      <c r="F28">
        <f t="shared" si="1"/>
        <v>4000</v>
      </c>
      <c r="G28">
        <f t="shared" si="2"/>
        <v>40.090000000000003</v>
      </c>
      <c r="H28">
        <f t="shared" si="3"/>
        <v>0</v>
      </c>
      <c r="I28">
        <f t="shared" si="4"/>
        <v>0</v>
      </c>
      <c r="J28">
        <f t="shared" si="5"/>
        <v>0</v>
      </c>
      <c r="K28">
        <f t="shared" si="6"/>
        <v>0</v>
      </c>
      <c r="L28">
        <f t="shared" si="0"/>
        <v>40.090000000000003</v>
      </c>
    </row>
    <row r="29" spans="1:12">
      <c r="A29" t="s">
        <v>28</v>
      </c>
      <c r="C29">
        <v>1284000</v>
      </c>
      <c r="D29">
        <v>1295000</v>
      </c>
      <c r="E29">
        <v>0</v>
      </c>
      <c r="F29">
        <f t="shared" si="1"/>
        <v>11000</v>
      </c>
      <c r="G29">
        <f t="shared" si="2"/>
        <v>40.090000000000003</v>
      </c>
      <c r="H29">
        <f t="shared" si="3"/>
        <v>2.1800000000000002</v>
      </c>
      <c r="I29">
        <f t="shared" si="4"/>
        <v>0</v>
      </c>
      <c r="J29">
        <f t="shared" si="5"/>
        <v>0</v>
      </c>
      <c r="K29">
        <f t="shared" si="6"/>
        <v>0</v>
      </c>
      <c r="L29">
        <f t="shared" si="0"/>
        <v>42.27</v>
      </c>
    </row>
    <row r="30" spans="1:12">
      <c r="A30" t="s">
        <v>29</v>
      </c>
      <c r="B30" t="s">
        <v>138</v>
      </c>
      <c r="C30">
        <v>0</v>
      </c>
      <c r="D30">
        <v>0</v>
      </c>
      <c r="E30">
        <v>0</v>
      </c>
      <c r="F30">
        <f t="shared" si="1"/>
        <v>0</v>
      </c>
      <c r="G30">
        <f t="shared" si="2"/>
        <v>11.79</v>
      </c>
      <c r="H30">
        <f t="shared" si="3"/>
        <v>0</v>
      </c>
      <c r="I30">
        <f t="shared" si="4"/>
        <v>0</v>
      </c>
      <c r="J30">
        <f t="shared" si="5"/>
        <v>0</v>
      </c>
      <c r="K30">
        <f t="shared" si="6"/>
        <v>0</v>
      </c>
      <c r="L30">
        <f t="shared" si="0"/>
        <v>11.79</v>
      </c>
    </row>
    <row r="31" spans="1:12">
      <c r="A31" t="s">
        <v>30</v>
      </c>
      <c r="B31" t="s">
        <v>138</v>
      </c>
      <c r="C31">
        <v>0</v>
      </c>
      <c r="D31">
        <v>0</v>
      </c>
      <c r="E31">
        <v>0</v>
      </c>
      <c r="F31">
        <f t="shared" si="1"/>
        <v>0</v>
      </c>
      <c r="G31">
        <f t="shared" si="2"/>
        <v>11.79</v>
      </c>
      <c r="H31">
        <f t="shared" si="3"/>
        <v>0</v>
      </c>
      <c r="I31">
        <f t="shared" si="4"/>
        <v>0</v>
      </c>
      <c r="J31">
        <f t="shared" si="5"/>
        <v>0</v>
      </c>
      <c r="K31">
        <f t="shared" si="6"/>
        <v>0</v>
      </c>
      <c r="L31">
        <f t="shared" si="0"/>
        <v>11.79</v>
      </c>
    </row>
    <row r="32" spans="1:12">
      <c r="A32" t="s">
        <v>31</v>
      </c>
      <c r="C32">
        <v>481000</v>
      </c>
      <c r="D32">
        <v>485000</v>
      </c>
      <c r="E32">
        <v>0</v>
      </c>
      <c r="F32">
        <f t="shared" si="1"/>
        <v>4000</v>
      </c>
      <c r="G32">
        <f t="shared" si="2"/>
        <v>40.090000000000003</v>
      </c>
      <c r="H32">
        <f t="shared" si="3"/>
        <v>0</v>
      </c>
      <c r="I32">
        <f t="shared" si="4"/>
        <v>0</v>
      </c>
      <c r="J32">
        <f t="shared" si="5"/>
        <v>0</v>
      </c>
      <c r="K32">
        <f t="shared" si="6"/>
        <v>0</v>
      </c>
      <c r="L32">
        <f t="shared" si="0"/>
        <v>40.090000000000003</v>
      </c>
    </row>
    <row r="33" spans="1:13">
      <c r="A33" t="s">
        <v>32</v>
      </c>
      <c r="C33">
        <v>3803000</v>
      </c>
      <c r="D33">
        <v>3814000</v>
      </c>
      <c r="E33">
        <v>0</v>
      </c>
      <c r="F33">
        <f t="shared" si="1"/>
        <v>11000</v>
      </c>
      <c r="G33">
        <f t="shared" si="2"/>
        <v>40.090000000000003</v>
      </c>
      <c r="H33">
        <f t="shared" si="3"/>
        <v>2.1800000000000002</v>
      </c>
      <c r="I33">
        <f t="shared" si="4"/>
        <v>0</v>
      </c>
      <c r="J33">
        <f t="shared" si="5"/>
        <v>0</v>
      </c>
      <c r="K33">
        <f t="shared" si="6"/>
        <v>0</v>
      </c>
      <c r="L33">
        <f t="shared" si="0"/>
        <v>42.27</v>
      </c>
    </row>
    <row r="34" spans="1:13">
      <c r="A34" t="s">
        <v>33</v>
      </c>
      <c r="C34">
        <v>1119000</v>
      </c>
      <c r="D34">
        <v>1131000</v>
      </c>
      <c r="E34">
        <v>0</v>
      </c>
      <c r="F34">
        <f t="shared" si="1"/>
        <v>12000</v>
      </c>
      <c r="G34">
        <f t="shared" si="2"/>
        <v>40.090000000000003</v>
      </c>
      <c r="H34">
        <f t="shared" si="3"/>
        <v>4.3600000000000003</v>
      </c>
      <c r="I34">
        <f t="shared" si="4"/>
        <v>0</v>
      </c>
      <c r="J34">
        <f t="shared" si="5"/>
        <v>0</v>
      </c>
      <c r="K34">
        <f t="shared" si="6"/>
        <v>0</v>
      </c>
      <c r="L34">
        <f t="shared" si="0"/>
        <v>44.45</v>
      </c>
    </row>
    <row r="35" spans="1:13" s="44" customFormat="1">
      <c r="A35" s="44" t="s">
        <v>34</v>
      </c>
      <c r="C35" s="44">
        <v>4084000</v>
      </c>
      <c r="D35" s="44">
        <v>4084000</v>
      </c>
      <c r="E35" s="44">
        <v>23000</v>
      </c>
      <c r="F35" s="44">
        <f t="shared" si="1"/>
        <v>23000</v>
      </c>
      <c r="G35" s="44">
        <f t="shared" si="2"/>
        <v>40.090000000000003</v>
      </c>
      <c r="H35" s="44">
        <f t="shared" si="3"/>
        <v>21.8</v>
      </c>
      <c r="I35" s="44">
        <f t="shared" si="4"/>
        <v>7.59</v>
      </c>
      <c r="J35" s="44">
        <f t="shared" si="5"/>
        <v>0</v>
      </c>
      <c r="K35" s="44">
        <f t="shared" si="6"/>
        <v>0</v>
      </c>
      <c r="L35" s="44">
        <f t="shared" si="0"/>
        <v>69.48</v>
      </c>
      <c r="M35" s="44" t="s">
        <v>202</v>
      </c>
    </row>
    <row r="36" spans="1:13">
      <c r="A36" t="s">
        <v>35</v>
      </c>
      <c r="C36">
        <v>1271000</v>
      </c>
      <c r="D36">
        <v>1303000</v>
      </c>
      <c r="E36">
        <v>0</v>
      </c>
      <c r="F36">
        <f t="shared" si="1"/>
        <v>32000</v>
      </c>
      <c r="G36">
        <f t="shared" si="2"/>
        <v>40.090000000000003</v>
      </c>
      <c r="H36">
        <f t="shared" si="3"/>
        <v>21.8</v>
      </c>
      <c r="I36">
        <f t="shared" si="4"/>
        <v>25.299999999999997</v>
      </c>
      <c r="J36">
        <f t="shared" si="5"/>
        <v>5.9</v>
      </c>
      <c r="K36">
        <f t="shared" si="6"/>
        <v>0</v>
      </c>
      <c r="L36">
        <f t="shared" si="0"/>
        <v>93.09</v>
      </c>
    </row>
    <row r="37" spans="1:13">
      <c r="A37" t="s">
        <v>36</v>
      </c>
      <c r="C37">
        <v>1576000</v>
      </c>
      <c r="D37">
        <v>1578000</v>
      </c>
      <c r="E37">
        <v>0</v>
      </c>
      <c r="F37">
        <f t="shared" si="1"/>
        <v>2000</v>
      </c>
      <c r="G37">
        <f t="shared" si="2"/>
        <v>40.090000000000003</v>
      </c>
      <c r="H37">
        <f t="shared" si="3"/>
        <v>0</v>
      </c>
      <c r="I37">
        <f t="shared" si="4"/>
        <v>0</v>
      </c>
      <c r="J37">
        <f t="shared" si="5"/>
        <v>0</v>
      </c>
      <c r="K37">
        <f t="shared" si="6"/>
        <v>0</v>
      </c>
      <c r="L37">
        <f t="shared" si="0"/>
        <v>40.090000000000003</v>
      </c>
    </row>
    <row r="38" spans="1:13">
      <c r="A38" t="s">
        <v>37</v>
      </c>
      <c r="C38">
        <v>1520000</v>
      </c>
      <c r="D38">
        <v>1571000</v>
      </c>
      <c r="E38">
        <v>0</v>
      </c>
      <c r="F38">
        <f t="shared" si="1"/>
        <v>51000</v>
      </c>
      <c r="G38">
        <f t="shared" si="2"/>
        <v>40.090000000000003</v>
      </c>
      <c r="H38">
        <f t="shared" si="3"/>
        <v>21.8</v>
      </c>
      <c r="I38">
        <f t="shared" si="4"/>
        <v>25.299999999999997</v>
      </c>
      <c r="J38">
        <f t="shared" si="5"/>
        <v>29.5</v>
      </c>
      <c r="K38">
        <f t="shared" si="6"/>
        <v>37.619999999999997</v>
      </c>
      <c r="L38">
        <f>SUM(G38:K38)</f>
        <v>154.31</v>
      </c>
    </row>
    <row r="39" spans="1:13">
      <c r="A39" t="s">
        <v>38</v>
      </c>
      <c r="C39">
        <v>1364000</v>
      </c>
      <c r="D39">
        <v>1411000</v>
      </c>
      <c r="E39">
        <v>0</v>
      </c>
      <c r="F39">
        <f t="shared" si="1"/>
        <v>47000</v>
      </c>
      <c r="G39">
        <f t="shared" si="2"/>
        <v>40.090000000000003</v>
      </c>
      <c r="H39">
        <f t="shared" si="3"/>
        <v>21.8</v>
      </c>
      <c r="I39">
        <f t="shared" si="4"/>
        <v>25.299999999999997</v>
      </c>
      <c r="J39">
        <f t="shared" si="5"/>
        <v>29.5</v>
      </c>
      <c r="K39">
        <f t="shared" si="6"/>
        <v>23.939999999999998</v>
      </c>
      <c r="L39">
        <f t="shared" si="0"/>
        <v>140.63</v>
      </c>
    </row>
    <row r="40" spans="1:13">
      <c r="A40" t="s">
        <v>39</v>
      </c>
      <c r="B40" t="s">
        <v>138</v>
      </c>
      <c r="C40">
        <v>0</v>
      </c>
      <c r="D40">
        <v>0</v>
      </c>
      <c r="E40">
        <v>0</v>
      </c>
      <c r="F40">
        <f t="shared" si="1"/>
        <v>0</v>
      </c>
      <c r="G40">
        <f t="shared" si="2"/>
        <v>11.79</v>
      </c>
      <c r="H40">
        <f t="shared" si="3"/>
        <v>0</v>
      </c>
      <c r="I40">
        <f t="shared" si="4"/>
        <v>0</v>
      </c>
      <c r="J40">
        <f t="shared" si="5"/>
        <v>0</v>
      </c>
      <c r="K40">
        <f t="shared" si="6"/>
        <v>0</v>
      </c>
      <c r="L40">
        <f t="shared" si="0"/>
        <v>11.79</v>
      </c>
    </row>
    <row r="41" spans="1:13">
      <c r="A41" t="s">
        <v>40</v>
      </c>
      <c r="B41" t="s">
        <v>138</v>
      </c>
      <c r="C41">
        <v>0</v>
      </c>
      <c r="D41">
        <v>0</v>
      </c>
      <c r="E41">
        <v>0</v>
      </c>
      <c r="F41">
        <f t="shared" si="1"/>
        <v>0</v>
      </c>
      <c r="G41">
        <f t="shared" si="2"/>
        <v>11.79</v>
      </c>
      <c r="H41">
        <f t="shared" si="3"/>
        <v>0</v>
      </c>
      <c r="I41">
        <f t="shared" si="4"/>
        <v>0</v>
      </c>
      <c r="J41">
        <f t="shared" si="5"/>
        <v>0</v>
      </c>
      <c r="K41">
        <f t="shared" si="6"/>
        <v>0</v>
      </c>
      <c r="L41">
        <f t="shared" si="0"/>
        <v>11.79</v>
      </c>
    </row>
    <row r="42" spans="1:13">
      <c r="A42" t="s">
        <v>41</v>
      </c>
      <c r="B42" t="s">
        <v>138</v>
      </c>
      <c r="C42">
        <v>0</v>
      </c>
      <c r="D42">
        <v>0</v>
      </c>
      <c r="E42">
        <v>0</v>
      </c>
      <c r="F42">
        <f t="shared" si="1"/>
        <v>0</v>
      </c>
      <c r="G42">
        <f t="shared" si="2"/>
        <v>11.79</v>
      </c>
      <c r="H42">
        <f t="shared" si="3"/>
        <v>0</v>
      </c>
      <c r="I42">
        <f t="shared" si="4"/>
        <v>0</v>
      </c>
      <c r="J42">
        <f t="shared" si="5"/>
        <v>0</v>
      </c>
      <c r="K42">
        <f t="shared" si="6"/>
        <v>0</v>
      </c>
      <c r="L42">
        <f t="shared" si="0"/>
        <v>11.79</v>
      </c>
    </row>
    <row r="43" spans="1:13">
      <c r="A43" t="s">
        <v>42</v>
      </c>
      <c r="C43">
        <v>2972000</v>
      </c>
      <c r="D43">
        <v>2977000</v>
      </c>
      <c r="E43">
        <v>0</v>
      </c>
      <c r="F43">
        <f t="shared" si="1"/>
        <v>5000</v>
      </c>
      <c r="G43">
        <f t="shared" si="2"/>
        <v>40.090000000000003</v>
      </c>
      <c r="H43">
        <f t="shared" si="3"/>
        <v>0</v>
      </c>
      <c r="I43">
        <f t="shared" si="4"/>
        <v>0</v>
      </c>
      <c r="J43">
        <f t="shared" si="5"/>
        <v>0</v>
      </c>
      <c r="K43">
        <f t="shared" si="6"/>
        <v>0</v>
      </c>
      <c r="L43">
        <f t="shared" si="0"/>
        <v>40.090000000000003</v>
      </c>
    </row>
    <row r="44" spans="1:13">
      <c r="A44" t="s">
        <v>43</v>
      </c>
      <c r="C44">
        <v>3131000</v>
      </c>
      <c r="D44">
        <v>3145000</v>
      </c>
      <c r="E44">
        <v>0</v>
      </c>
      <c r="F44">
        <f t="shared" si="1"/>
        <v>14000</v>
      </c>
      <c r="G44">
        <f t="shared" si="2"/>
        <v>40.090000000000003</v>
      </c>
      <c r="H44">
        <f t="shared" si="3"/>
        <v>8.7200000000000006</v>
      </c>
      <c r="I44">
        <f t="shared" si="4"/>
        <v>0</v>
      </c>
      <c r="J44">
        <f t="shared" si="5"/>
        <v>0</v>
      </c>
      <c r="K44">
        <f t="shared" si="6"/>
        <v>0</v>
      </c>
      <c r="L44">
        <f t="shared" si="0"/>
        <v>48.81</v>
      </c>
    </row>
    <row r="45" spans="1:13">
      <c r="A45" t="s">
        <v>44</v>
      </c>
      <c r="C45">
        <v>3909000</v>
      </c>
      <c r="D45">
        <v>3923000</v>
      </c>
      <c r="E45">
        <v>0</v>
      </c>
      <c r="F45">
        <f t="shared" si="1"/>
        <v>14000</v>
      </c>
      <c r="G45">
        <f t="shared" si="2"/>
        <v>40.090000000000003</v>
      </c>
      <c r="H45">
        <f t="shared" si="3"/>
        <v>8.7200000000000006</v>
      </c>
      <c r="I45">
        <f t="shared" si="4"/>
        <v>0</v>
      </c>
      <c r="J45">
        <f t="shared" si="5"/>
        <v>0</v>
      </c>
      <c r="K45">
        <f t="shared" si="6"/>
        <v>0</v>
      </c>
      <c r="L45">
        <f t="shared" si="0"/>
        <v>48.81</v>
      </c>
    </row>
    <row r="46" spans="1:13">
      <c r="A46" t="s">
        <v>45</v>
      </c>
      <c r="B46" t="s">
        <v>138</v>
      </c>
      <c r="C46">
        <v>0</v>
      </c>
      <c r="D46">
        <v>0</v>
      </c>
      <c r="E46">
        <v>0</v>
      </c>
      <c r="F46">
        <f t="shared" si="1"/>
        <v>0</v>
      </c>
      <c r="G46">
        <f t="shared" si="2"/>
        <v>11.79</v>
      </c>
      <c r="H46">
        <f t="shared" si="3"/>
        <v>0</v>
      </c>
      <c r="I46">
        <f t="shared" si="4"/>
        <v>0</v>
      </c>
      <c r="J46">
        <f t="shared" si="5"/>
        <v>0</v>
      </c>
      <c r="K46">
        <f t="shared" si="6"/>
        <v>0</v>
      </c>
      <c r="L46">
        <f t="shared" si="0"/>
        <v>11.79</v>
      </c>
    </row>
    <row r="47" spans="1:13">
      <c r="A47" t="s">
        <v>46</v>
      </c>
      <c r="B47" t="s">
        <v>138</v>
      </c>
      <c r="C47">
        <v>0</v>
      </c>
      <c r="D47">
        <v>0</v>
      </c>
      <c r="E47">
        <v>0</v>
      </c>
      <c r="F47">
        <f t="shared" si="1"/>
        <v>0</v>
      </c>
      <c r="G47">
        <f t="shared" si="2"/>
        <v>11.79</v>
      </c>
      <c r="H47">
        <f t="shared" si="3"/>
        <v>0</v>
      </c>
      <c r="I47">
        <f t="shared" si="4"/>
        <v>0</v>
      </c>
      <c r="J47">
        <f t="shared" si="5"/>
        <v>0</v>
      </c>
      <c r="K47">
        <f t="shared" si="6"/>
        <v>0</v>
      </c>
      <c r="L47">
        <f t="shared" si="0"/>
        <v>11.79</v>
      </c>
    </row>
    <row r="48" spans="1:13">
      <c r="A48" t="s">
        <v>47</v>
      </c>
      <c r="B48" t="s">
        <v>138</v>
      </c>
      <c r="C48">
        <v>0</v>
      </c>
      <c r="D48">
        <v>0</v>
      </c>
      <c r="E48">
        <v>0</v>
      </c>
      <c r="F48">
        <f t="shared" si="1"/>
        <v>0</v>
      </c>
      <c r="G48">
        <f t="shared" si="2"/>
        <v>11.79</v>
      </c>
      <c r="H48">
        <f t="shared" si="3"/>
        <v>0</v>
      </c>
      <c r="I48">
        <f t="shared" si="4"/>
        <v>0</v>
      </c>
      <c r="J48">
        <f t="shared" si="5"/>
        <v>0</v>
      </c>
      <c r="K48">
        <f t="shared" si="6"/>
        <v>0</v>
      </c>
      <c r="L48">
        <f t="shared" si="0"/>
        <v>11.79</v>
      </c>
    </row>
    <row r="49" spans="1:12">
      <c r="A49" t="s">
        <v>48</v>
      </c>
      <c r="C49">
        <v>1106000</v>
      </c>
      <c r="D49">
        <v>1108000</v>
      </c>
      <c r="E49">
        <v>0</v>
      </c>
      <c r="F49">
        <f t="shared" si="1"/>
        <v>2000</v>
      </c>
      <c r="G49">
        <f t="shared" si="2"/>
        <v>40.090000000000003</v>
      </c>
      <c r="H49">
        <f t="shared" si="3"/>
        <v>0</v>
      </c>
      <c r="I49">
        <f t="shared" si="4"/>
        <v>0</v>
      </c>
      <c r="J49">
        <f t="shared" si="5"/>
        <v>0</v>
      </c>
      <c r="K49">
        <f t="shared" si="6"/>
        <v>0</v>
      </c>
      <c r="L49">
        <f t="shared" si="0"/>
        <v>40.090000000000003</v>
      </c>
    </row>
    <row r="50" spans="1:12">
      <c r="A50" t="s">
        <v>49</v>
      </c>
      <c r="C50">
        <v>837000</v>
      </c>
      <c r="D50">
        <v>846000</v>
      </c>
      <c r="E50">
        <v>0</v>
      </c>
      <c r="F50">
        <f t="shared" si="1"/>
        <v>9000</v>
      </c>
      <c r="G50">
        <f t="shared" si="2"/>
        <v>40.090000000000003</v>
      </c>
      <c r="H50">
        <f t="shared" si="3"/>
        <v>0</v>
      </c>
      <c r="I50">
        <f t="shared" si="4"/>
        <v>0</v>
      </c>
      <c r="J50">
        <f t="shared" si="5"/>
        <v>0</v>
      </c>
      <c r="K50">
        <f t="shared" si="6"/>
        <v>0</v>
      </c>
      <c r="L50">
        <f t="shared" si="0"/>
        <v>40.090000000000003</v>
      </c>
    </row>
    <row r="51" spans="1:12">
      <c r="A51" t="s">
        <v>50</v>
      </c>
      <c r="C51">
        <v>3395000</v>
      </c>
      <c r="D51">
        <v>3405000</v>
      </c>
      <c r="E51">
        <v>0</v>
      </c>
      <c r="F51">
        <f t="shared" si="1"/>
        <v>10000</v>
      </c>
      <c r="G51">
        <f t="shared" si="2"/>
        <v>40.090000000000003</v>
      </c>
      <c r="H51">
        <f t="shared" si="3"/>
        <v>0</v>
      </c>
      <c r="I51">
        <f t="shared" si="4"/>
        <v>0</v>
      </c>
      <c r="J51">
        <f t="shared" si="5"/>
        <v>0</v>
      </c>
      <c r="K51">
        <f t="shared" si="6"/>
        <v>0</v>
      </c>
      <c r="L51">
        <f t="shared" si="0"/>
        <v>40.090000000000003</v>
      </c>
    </row>
    <row r="52" spans="1:12">
      <c r="A52" t="s">
        <v>51</v>
      </c>
      <c r="B52" t="s">
        <v>138</v>
      </c>
      <c r="C52">
        <v>0</v>
      </c>
      <c r="D52">
        <v>0</v>
      </c>
      <c r="E52">
        <v>0</v>
      </c>
      <c r="F52">
        <f t="shared" si="1"/>
        <v>0</v>
      </c>
      <c r="G52">
        <f t="shared" si="2"/>
        <v>11.79</v>
      </c>
      <c r="H52">
        <f t="shared" si="3"/>
        <v>0</v>
      </c>
      <c r="I52">
        <f t="shared" si="4"/>
        <v>0</v>
      </c>
      <c r="J52">
        <f t="shared" si="5"/>
        <v>0</v>
      </c>
      <c r="K52">
        <f t="shared" si="6"/>
        <v>0</v>
      </c>
      <c r="L52">
        <f t="shared" si="0"/>
        <v>11.79</v>
      </c>
    </row>
    <row r="53" spans="1:12">
      <c r="A53" t="s">
        <v>52</v>
      </c>
      <c r="C53">
        <v>1669000</v>
      </c>
      <c r="D53">
        <v>1678000</v>
      </c>
      <c r="E53">
        <v>0</v>
      </c>
      <c r="F53">
        <f t="shared" si="1"/>
        <v>9000</v>
      </c>
      <c r="G53">
        <f t="shared" si="2"/>
        <v>40.090000000000003</v>
      </c>
      <c r="H53">
        <f t="shared" si="3"/>
        <v>0</v>
      </c>
      <c r="I53">
        <f t="shared" si="4"/>
        <v>0</v>
      </c>
      <c r="J53">
        <f t="shared" si="5"/>
        <v>0</v>
      </c>
      <c r="K53">
        <f t="shared" si="6"/>
        <v>0</v>
      </c>
      <c r="L53">
        <f t="shared" si="0"/>
        <v>40.090000000000003</v>
      </c>
    </row>
    <row r="54" spans="1:12">
      <c r="A54" t="s">
        <v>53</v>
      </c>
      <c r="C54">
        <v>2209000</v>
      </c>
      <c r="D54">
        <v>2223000</v>
      </c>
      <c r="E54">
        <v>0</v>
      </c>
      <c r="F54">
        <f t="shared" si="1"/>
        <v>14000</v>
      </c>
      <c r="G54">
        <f t="shared" si="2"/>
        <v>40.090000000000003</v>
      </c>
      <c r="H54">
        <f t="shared" si="3"/>
        <v>8.7200000000000006</v>
      </c>
      <c r="I54">
        <f t="shared" si="4"/>
        <v>0</v>
      </c>
      <c r="J54">
        <f t="shared" si="5"/>
        <v>0</v>
      </c>
      <c r="K54">
        <f t="shared" si="6"/>
        <v>0</v>
      </c>
      <c r="L54">
        <f t="shared" si="0"/>
        <v>48.81</v>
      </c>
    </row>
    <row r="55" spans="1:12">
      <c r="A55" t="s">
        <v>54</v>
      </c>
      <c r="C55">
        <v>2692000</v>
      </c>
      <c r="D55">
        <v>2745000</v>
      </c>
      <c r="E55">
        <v>0</v>
      </c>
      <c r="F55">
        <f t="shared" si="1"/>
        <v>53000</v>
      </c>
      <c r="G55">
        <f t="shared" si="2"/>
        <v>40.090000000000003</v>
      </c>
      <c r="H55">
        <f t="shared" si="3"/>
        <v>21.8</v>
      </c>
      <c r="I55">
        <f t="shared" si="4"/>
        <v>25.299999999999997</v>
      </c>
      <c r="J55">
        <f t="shared" si="5"/>
        <v>29.5</v>
      </c>
      <c r="K55">
        <f t="shared" si="6"/>
        <v>44.46</v>
      </c>
      <c r="L55">
        <f t="shared" si="0"/>
        <v>161.15</v>
      </c>
    </row>
    <row r="56" spans="1:12">
      <c r="A56" t="s">
        <v>55</v>
      </c>
      <c r="B56" t="s">
        <v>138</v>
      </c>
      <c r="C56">
        <v>0</v>
      </c>
      <c r="D56">
        <v>0</v>
      </c>
      <c r="E56">
        <v>0</v>
      </c>
      <c r="F56">
        <f t="shared" si="1"/>
        <v>0</v>
      </c>
      <c r="G56">
        <f t="shared" si="2"/>
        <v>11.79</v>
      </c>
      <c r="H56">
        <f t="shared" si="3"/>
        <v>0</v>
      </c>
      <c r="I56">
        <f t="shared" si="4"/>
        <v>0</v>
      </c>
      <c r="J56">
        <f t="shared" si="5"/>
        <v>0</v>
      </c>
      <c r="K56">
        <f t="shared" si="6"/>
        <v>0</v>
      </c>
      <c r="L56">
        <f t="shared" si="0"/>
        <v>11.79</v>
      </c>
    </row>
    <row r="57" spans="1:12">
      <c r="A57" t="s">
        <v>56</v>
      </c>
      <c r="C57">
        <v>1297000</v>
      </c>
      <c r="D57">
        <v>1333000</v>
      </c>
      <c r="E57">
        <v>0</v>
      </c>
      <c r="F57">
        <f t="shared" si="1"/>
        <v>36000</v>
      </c>
      <c r="G57">
        <f t="shared" si="2"/>
        <v>40.090000000000003</v>
      </c>
      <c r="H57">
        <f t="shared" si="3"/>
        <v>21.8</v>
      </c>
      <c r="I57">
        <f t="shared" si="4"/>
        <v>25.299999999999997</v>
      </c>
      <c r="J57">
        <f t="shared" si="5"/>
        <v>17.700000000000003</v>
      </c>
      <c r="K57">
        <f t="shared" si="6"/>
        <v>0</v>
      </c>
      <c r="L57">
        <f t="shared" si="0"/>
        <v>104.89</v>
      </c>
    </row>
    <row r="58" spans="1:12">
      <c r="A58" t="s">
        <v>57</v>
      </c>
      <c r="C58">
        <v>1609000</v>
      </c>
      <c r="D58">
        <v>1609000</v>
      </c>
      <c r="E58">
        <v>0</v>
      </c>
      <c r="F58">
        <f t="shared" si="1"/>
        <v>0</v>
      </c>
      <c r="G58">
        <f t="shared" si="2"/>
        <v>40.090000000000003</v>
      </c>
      <c r="H58">
        <f t="shared" si="3"/>
        <v>0</v>
      </c>
      <c r="I58">
        <f t="shared" si="4"/>
        <v>0</v>
      </c>
      <c r="J58">
        <f t="shared" si="5"/>
        <v>0</v>
      </c>
      <c r="K58">
        <f t="shared" si="6"/>
        <v>0</v>
      </c>
      <c r="L58">
        <f t="shared" si="0"/>
        <v>40.090000000000003</v>
      </c>
    </row>
    <row r="59" spans="1:12">
      <c r="A59" t="s">
        <v>58</v>
      </c>
      <c r="B59" t="s">
        <v>138</v>
      </c>
      <c r="C59">
        <v>0</v>
      </c>
      <c r="D59">
        <v>0</v>
      </c>
      <c r="E59">
        <v>0</v>
      </c>
      <c r="F59">
        <f t="shared" si="1"/>
        <v>0</v>
      </c>
      <c r="G59">
        <f t="shared" si="2"/>
        <v>11.79</v>
      </c>
      <c r="H59">
        <f t="shared" si="3"/>
        <v>0</v>
      </c>
      <c r="I59">
        <f t="shared" si="4"/>
        <v>0</v>
      </c>
      <c r="J59">
        <f t="shared" si="5"/>
        <v>0</v>
      </c>
      <c r="K59">
        <f t="shared" si="6"/>
        <v>0</v>
      </c>
      <c r="L59">
        <f t="shared" si="0"/>
        <v>11.79</v>
      </c>
    </row>
    <row r="60" spans="1:12">
      <c r="A60" t="s">
        <v>59</v>
      </c>
      <c r="B60" t="s">
        <v>138</v>
      </c>
      <c r="C60">
        <v>0</v>
      </c>
      <c r="D60">
        <v>0</v>
      </c>
      <c r="E60">
        <v>0</v>
      </c>
      <c r="F60">
        <f t="shared" si="1"/>
        <v>0</v>
      </c>
      <c r="G60">
        <f t="shared" si="2"/>
        <v>11.79</v>
      </c>
      <c r="H60">
        <f t="shared" si="3"/>
        <v>0</v>
      </c>
      <c r="I60">
        <f t="shared" si="4"/>
        <v>0</v>
      </c>
      <c r="J60">
        <f t="shared" si="5"/>
        <v>0</v>
      </c>
      <c r="K60">
        <f t="shared" si="6"/>
        <v>0</v>
      </c>
      <c r="L60">
        <f t="shared" si="0"/>
        <v>11.79</v>
      </c>
    </row>
    <row r="61" spans="1:12">
      <c r="A61" t="s">
        <v>60</v>
      </c>
      <c r="B61" t="s">
        <v>138</v>
      </c>
      <c r="C61">
        <v>0</v>
      </c>
      <c r="D61">
        <v>0</v>
      </c>
      <c r="E61">
        <v>0</v>
      </c>
      <c r="F61">
        <f t="shared" si="1"/>
        <v>0</v>
      </c>
      <c r="G61">
        <f t="shared" si="2"/>
        <v>11.79</v>
      </c>
      <c r="H61">
        <f t="shared" si="3"/>
        <v>0</v>
      </c>
      <c r="I61">
        <f t="shared" si="4"/>
        <v>0</v>
      </c>
      <c r="J61">
        <f t="shared" si="5"/>
        <v>0</v>
      </c>
      <c r="K61">
        <f t="shared" si="6"/>
        <v>0</v>
      </c>
      <c r="L61">
        <f t="shared" si="0"/>
        <v>11.79</v>
      </c>
    </row>
    <row r="62" spans="1:12">
      <c r="A62" t="s">
        <v>61</v>
      </c>
      <c r="C62">
        <v>1304000</v>
      </c>
      <c r="D62">
        <v>1315000</v>
      </c>
      <c r="E62">
        <v>0</v>
      </c>
      <c r="F62">
        <f t="shared" si="1"/>
        <v>11000</v>
      </c>
      <c r="G62">
        <f t="shared" si="2"/>
        <v>40.090000000000003</v>
      </c>
      <c r="H62">
        <f t="shared" si="3"/>
        <v>2.1800000000000002</v>
      </c>
      <c r="I62">
        <f t="shared" si="4"/>
        <v>0</v>
      </c>
      <c r="J62">
        <f t="shared" si="5"/>
        <v>0</v>
      </c>
      <c r="K62">
        <f t="shared" si="6"/>
        <v>0</v>
      </c>
      <c r="L62">
        <f t="shared" si="0"/>
        <v>42.27</v>
      </c>
    </row>
    <row r="63" spans="1:12">
      <c r="A63" t="s">
        <v>62</v>
      </c>
      <c r="C63">
        <v>1860000</v>
      </c>
      <c r="D63">
        <v>1866000</v>
      </c>
      <c r="E63">
        <v>0</v>
      </c>
      <c r="F63">
        <f t="shared" si="1"/>
        <v>6000</v>
      </c>
      <c r="G63">
        <f t="shared" si="2"/>
        <v>40.090000000000003</v>
      </c>
      <c r="H63">
        <f t="shared" si="3"/>
        <v>0</v>
      </c>
      <c r="I63">
        <f t="shared" si="4"/>
        <v>0</v>
      </c>
      <c r="J63">
        <f t="shared" si="5"/>
        <v>0</v>
      </c>
      <c r="K63">
        <f t="shared" si="6"/>
        <v>0</v>
      </c>
      <c r="L63">
        <f t="shared" si="0"/>
        <v>40.090000000000003</v>
      </c>
    </row>
    <row r="64" spans="1:12">
      <c r="A64" t="s">
        <v>63</v>
      </c>
      <c r="B64" t="s">
        <v>138</v>
      </c>
      <c r="C64">
        <v>0</v>
      </c>
      <c r="D64">
        <v>0</v>
      </c>
      <c r="E64">
        <v>0</v>
      </c>
      <c r="F64">
        <f t="shared" si="1"/>
        <v>0</v>
      </c>
      <c r="G64">
        <f t="shared" si="2"/>
        <v>11.79</v>
      </c>
      <c r="H64">
        <f t="shared" si="3"/>
        <v>0</v>
      </c>
      <c r="I64">
        <f t="shared" si="4"/>
        <v>0</v>
      </c>
      <c r="J64">
        <f t="shared" si="5"/>
        <v>0</v>
      </c>
      <c r="K64">
        <f t="shared" si="6"/>
        <v>0</v>
      </c>
      <c r="L64">
        <f t="shared" si="0"/>
        <v>11.79</v>
      </c>
    </row>
    <row r="65" spans="1:13">
      <c r="A65" t="s">
        <v>64</v>
      </c>
      <c r="C65">
        <v>4771000</v>
      </c>
      <c r="D65">
        <v>4783000</v>
      </c>
      <c r="E65">
        <v>0</v>
      </c>
      <c r="F65">
        <f t="shared" si="1"/>
        <v>12000</v>
      </c>
      <c r="G65">
        <f t="shared" si="2"/>
        <v>40.090000000000003</v>
      </c>
      <c r="H65">
        <f t="shared" si="3"/>
        <v>4.3600000000000003</v>
      </c>
      <c r="I65">
        <f t="shared" si="4"/>
        <v>0</v>
      </c>
      <c r="J65">
        <f t="shared" si="5"/>
        <v>0</v>
      </c>
      <c r="K65">
        <f t="shared" si="6"/>
        <v>0</v>
      </c>
      <c r="L65">
        <f t="shared" si="0"/>
        <v>44.45</v>
      </c>
    </row>
    <row r="66" spans="1:13">
      <c r="A66" t="s">
        <v>65</v>
      </c>
      <c r="C66">
        <v>6456000</v>
      </c>
      <c r="D66">
        <v>6465000</v>
      </c>
      <c r="E66">
        <v>0</v>
      </c>
      <c r="F66">
        <f t="shared" si="1"/>
        <v>9000</v>
      </c>
      <c r="G66">
        <f t="shared" si="2"/>
        <v>40.090000000000003</v>
      </c>
      <c r="H66">
        <f t="shared" si="3"/>
        <v>0</v>
      </c>
      <c r="I66">
        <f t="shared" si="4"/>
        <v>0</v>
      </c>
      <c r="J66">
        <f t="shared" si="5"/>
        <v>0</v>
      </c>
      <c r="K66">
        <f t="shared" si="6"/>
        <v>0</v>
      </c>
      <c r="L66">
        <f t="shared" ref="L66" si="7">SUM(G66:K66)</f>
        <v>40.090000000000003</v>
      </c>
    </row>
    <row r="67" spans="1:13">
      <c r="A67" t="s">
        <v>66</v>
      </c>
      <c r="C67">
        <v>9142000</v>
      </c>
      <c r="D67">
        <v>9153000</v>
      </c>
      <c r="E67">
        <v>0</v>
      </c>
      <c r="F67">
        <f t="shared" ref="F67:F127" si="8">($D67-$C67)+$E67</f>
        <v>11000</v>
      </c>
      <c r="G67">
        <f t="shared" si="2"/>
        <v>40.090000000000003</v>
      </c>
      <c r="H67">
        <f t="shared" si="3"/>
        <v>2.1800000000000002</v>
      </c>
      <c r="I67">
        <f t="shared" si="4"/>
        <v>0</v>
      </c>
      <c r="J67">
        <f t="shared" si="5"/>
        <v>0</v>
      </c>
      <c r="K67">
        <f t="shared" si="6"/>
        <v>0</v>
      </c>
      <c r="L67">
        <f t="shared" ref="L67:L127" si="9">SUM(G67:K67)</f>
        <v>42.27</v>
      </c>
    </row>
    <row r="68" spans="1:13">
      <c r="A68" t="s">
        <v>67</v>
      </c>
      <c r="B68" t="s">
        <v>138</v>
      </c>
      <c r="C68">
        <v>0</v>
      </c>
      <c r="D68">
        <v>0</v>
      </c>
      <c r="E68">
        <v>0</v>
      </c>
      <c r="F68">
        <f t="shared" si="8"/>
        <v>0</v>
      </c>
      <c r="G68">
        <f t="shared" si="2"/>
        <v>11.79</v>
      </c>
      <c r="H68">
        <f t="shared" si="3"/>
        <v>0</v>
      </c>
      <c r="I68">
        <f t="shared" si="4"/>
        <v>0</v>
      </c>
      <c r="J68">
        <f t="shared" si="5"/>
        <v>0</v>
      </c>
      <c r="K68">
        <f t="shared" si="6"/>
        <v>0</v>
      </c>
      <c r="L68">
        <f t="shared" si="9"/>
        <v>11.79</v>
      </c>
    </row>
    <row r="69" spans="1:13">
      <c r="A69" t="s">
        <v>68</v>
      </c>
      <c r="C69">
        <v>3442000</v>
      </c>
      <c r="D69">
        <v>3453000</v>
      </c>
      <c r="E69">
        <v>0</v>
      </c>
      <c r="F69">
        <f t="shared" si="8"/>
        <v>11000</v>
      </c>
      <c r="G69">
        <f t="shared" si="2"/>
        <v>40.090000000000003</v>
      </c>
      <c r="H69">
        <f t="shared" si="3"/>
        <v>2.1800000000000002</v>
      </c>
      <c r="I69">
        <f t="shared" si="4"/>
        <v>0</v>
      </c>
      <c r="J69">
        <f t="shared" si="5"/>
        <v>0</v>
      </c>
      <c r="K69">
        <f t="shared" si="6"/>
        <v>0</v>
      </c>
      <c r="L69">
        <f t="shared" si="9"/>
        <v>42.27</v>
      </c>
    </row>
    <row r="70" spans="1:13">
      <c r="A70" t="s">
        <v>69</v>
      </c>
      <c r="C70">
        <v>2198000</v>
      </c>
      <c r="D70">
        <v>2215000</v>
      </c>
      <c r="E70">
        <v>0</v>
      </c>
      <c r="F70">
        <f t="shared" si="8"/>
        <v>17000</v>
      </c>
      <c r="G70">
        <f t="shared" si="2"/>
        <v>40.090000000000003</v>
      </c>
      <c r="H70">
        <f t="shared" si="3"/>
        <v>15.260000000000002</v>
      </c>
      <c r="I70">
        <f t="shared" si="4"/>
        <v>0</v>
      </c>
      <c r="J70">
        <f t="shared" si="5"/>
        <v>0</v>
      </c>
      <c r="K70">
        <f t="shared" si="6"/>
        <v>0</v>
      </c>
      <c r="L70">
        <f t="shared" si="9"/>
        <v>55.350000000000009</v>
      </c>
    </row>
    <row r="71" spans="1:13">
      <c r="A71" t="s">
        <v>70</v>
      </c>
      <c r="C71">
        <v>1287000</v>
      </c>
      <c r="D71">
        <v>1304000</v>
      </c>
      <c r="E71">
        <v>0</v>
      </c>
      <c r="F71">
        <f t="shared" si="8"/>
        <v>17000</v>
      </c>
      <c r="G71">
        <f t="shared" si="2"/>
        <v>40.090000000000003</v>
      </c>
      <c r="H71">
        <f t="shared" si="3"/>
        <v>15.260000000000002</v>
      </c>
      <c r="I71">
        <f t="shared" si="4"/>
        <v>0</v>
      </c>
      <c r="J71">
        <f t="shared" si="5"/>
        <v>0</v>
      </c>
      <c r="K71">
        <f t="shared" si="6"/>
        <v>0</v>
      </c>
      <c r="L71">
        <f t="shared" si="9"/>
        <v>55.350000000000009</v>
      </c>
    </row>
    <row r="72" spans="1:13">
      <c r="A72" t="s">
        <v>71</v>
      </c>
      <c r="B72" t="s">
        <v>138</v>
      </c>
      <c r="C72">
        <v>0</v>
      </c>
      <c r="D72">
        <v>0</v>
      </c>
      <c r="E72">
        <v>0</v>
      </c>
      <c r="F72">
        <f t="shared" si="8"/>
        <v>0</v>
      </c>
      <c r="G72">
        <f t="shared" ref="G72:G127" si="10">IF(OR($F72&gt;0,$B72=""),40.09,11.79)</f>
        <v>11.79</v>
      </c>
      <c r="H72">
        <f t="shared" ref="H72:H127" si="11">IF(AND((($F72-10000)&gt;=0),(($F72-10000)&lt;= 10000)),($F72-10000)/1000*2.18,IF(($F72-10000)&gt;=10000,2.18*10,0))</f>
        <v>0</v>
      </c>
      <c r="I72">
        <f t="shared" ref="I72:I127" si="12">IF(AND((($F72-20000)&gt;=0),(($F72-20000)&lt;=10000)),($F72-20000)/1000*2.53,IF(($F72-20000)&gt;=10000,2.53*10,0))</f>
        <v>0</v>
      </c>
      <c r="J72">
        <f t="shared" ref="J72:J127" si="13">IF(AND((($F72-30000)&gt;=0),(($F72-30000)&lt;=10000)),($F72-30000)/1000*2.95,IF(($F72-30000)&gt;=10000,2.95*10,0))</f>
        <v>0</v>
      </c>
      <c r="K72">
        <f t="shared" ref="K72:K127" si="14">IF((($F72-40000)&gt;=0),($F72-40000)/1000*3.42,0)</f>
        <v>0</v>
      </c>
      <c r="L72">
        <f t="shared" si="9"/>
        <v>11.79</v>
      </c>
    </row>
    <row r="73" spans="1:13" s="16" customFormat="1">
      <c r="A73" s="16" t="s">
        <v>72</v>
      </c>
      <c r="C73" s="16">
        <v>0</v>
      </c>
      <c r="D73" s="16">
        <v>13000</v>
      </c>
      <c r="E73" s="16">
        <v>0</v>
      </c>
      <c r="F73" s="16">
        <f t="shared" si="8"/>
        <v>13000</v>
      </c>
      <c r="G73" s="16">
        <f t="shared" si="10"/>
        <v>40.090000000000003</v>
      </c>
      <c r="H73" s="16">
        <f t="shared" si="11"/>
        <v>6.5400000000000009</v>
      </c>
      <c r="I73" s="16">
        <f t="shared" si="12"/>
        <v>0</v>
      </c>
      <c r="J73" s="16">
        <f t="shared" si="13"/>
        <v>0</v>
      </c>
      <c r="K73" s="16">
        <f t="shared" si="14"/>
        <v>0</v>
      </c>
      <c r="L73" s="16">
        <f t="shared" si="9"/>
        <v>46.63</v>
      </c>
      <c r="M73" s="16" t="s">
        <v>139</v>
      </c>
    </row>
    <row r="74" spans="1:13">
      <c r="A74" t="s">
        <v>73</v>
      </c>
      <c r="C74">
        <v>1880000</v>
      </c>
      <c r="D74">
        <v>1889000</v>
      </c>
      <c r="E74">
        <v>0</v>
      </c>
      <c r="F74">
        <f t="shared" si="8"/>
        <v>9000</v>
      </c>
      <c r="G74">
        <f t="shared" si="10"/>
        <v>40.090000000000003</v>
      </c>
      <c r="H74">
        <f t="shared" si="11"/>
        <v>0</v>
      </c>
      <c r="I74">
        <f t="shared" si="12"/>
        <v>0</v>
      </c>
      <c r="J74">
        <f t="shared" si="13"/>
        <v>0</v>
      </c>
      <c r="K74">
        <f t="shared" si="14"/>
        <v>0</v>
      </c>
      <c r="L74">
        <f t="shared" si="9"/>
        <v>40.090000000000003</v>
      </c>
    </row>
    <row r="75" spans="1:13">
      <c r="A75" t="s">
        <v>74</v>
      </c>
      <c r="B75" t="s">
        <v>138</v>
      </c>
      <c r="C75">
        <v>0</v>
      </c>
      <c r="D75">
        <v>0</v>
      </c>
      <c r="E75">
        <v>0</v>
      </c>
      <c r="F75">
        <f t="shared" si="8"/>
        <v>0</v>
      </c>
      <c r="G75">
        <f t="shared" si="10"/>
        <v>11.79</v>
      </c>
      <c r="H75">
        <f t="shared" si="11"/>
        <v>0</v>
      </c>
      <c r="I75">
        <f t="shared" si="12"/>
        <v>0</v>
      </c>
      <c r="J75">
        <f t="shared" si="13"/>
        <v>0</v>
      </c>
      <c r="K75">
        <f t="shared" si="14"/>
        <v>0</v>
      </c>
      <c r="L75">
        <f t="shared" si="9"/>
        <v>11.79</v>
      </c>
    </row>
    <row r="76" spans="1:13">
      <c r="A76" t="s">
        <v>75</v>
      </c>
      <c r="C76">
        <v>709000</v>
      </c>
      <c r="D76">
        <v>711000</v>
      </c>
      <c r="E76">
        <v>0</v>
      </c>
      <c r="F76">
        <f t="shared" si="8"/>
        <v>2000</v>
      </c>
      <c r="G76">
        <f t="shared" si="10"/>
        <v>40.090000000000003</v>
      </c>
      <c r="H76">
        <f t="shared" si="11"/>
        <v>0</v>
      </c>
      <c r="I76">
        <f t="shared" si="12"/>
        <v>0</v>
      </c>
      <c r="J76">
        <f t="shared" si="13"/>
        <v>0</v>
      </c>
      <c r="K76">
        <f t="shared" si="14"/>
        <v>0</v>
      </c>
      <c r="L76">
        <f t="shared" si="9"/>
        <v>40.090000000000003</v>
      </c>
    </row>
    <row r="77" spans="1:13" s="16" customFormat="1">
      <c r="A77" s="16" t="s">
        <v>76</v>
      </c>
      <c r="C77" s="16">
        <v>0</v>
      </c>
      <c r="D77" s="16">
        <v>15000</v>
      </c>
      <c r="E77" s="16">
        <v>0</v>
      </c>
      <c r="F77" s="16">
        <f t="shared" si="8"/>
        <v>15000</v>
      </c>
      <c r="G77" s="16">
        <f t="shared" si="10"/>
        <v>40.090000000000003</v>
      </c>
      <c r="H77" s="16">
        <f t="shared" si="11"/>
        <v>10.9</v>
      </c>
      <c r="I77" s="16">
        <f t="shared" si="12"/>
        <v>0</v>
      </c>
      <c r="J77" s="16">
        <f t="shared" si="13"/>
        <v>0</v>
      </c>
      <c r="K77" s="16">
        <f t="shared" si="14"/>
        <v>0</v>
      </c>
      <c r="L77" s="16">
        <f t="shared" si="9"/>
        <v>50.99</v>
      </c>
      <c r="M77" s="16" t="s">
        <v>139</v>
      </c>
    </row>
    <row r="78" spans="1:13" s="8" customFormat="1">
      <c r="A78" s="8" t="s">
        <v>77</v>
      </c>
      <c r="C78" s="8">
        <v>54000</v>
      </c>
      <c r="D78" s="8">
        <v>57000</v>
      </c>
      <c r="E78" s="8">
        <v>0</v>
      </c>
      <c r="F78" s="8">
        <f t="shared" si="8"/>
        <v>3000</v>
      </c>
      <c r="G78" s="8">
        <f t="shared" si="10"/>
        <v>40.090000000000003</v>
      </c>
      <c r="H78" s="8">
        <f t="shared" si="11"/>
        <v>0</v>
      </c>
      <c r="I78" s="8">
        <f t="shared" si="12"/>
        <v>0</v>
      </c>
      <c r="J78" s="8">
        <f t="shared" si="13"/>
        <v>0</v>
      </c>
      <c r="K78" s="8">
        <f t="shared" si="14"/>
        <v>0</v>
      </c>
      <c r="L78" s="8">
        <f t="shared" si="9"/>
        <v>40.090000000000003</v>
      </c>
    </row>
    <row r="79" spans="1:13">
      <c r="A79" t="s">
        <v>78</v>
      </c>
      <c r="C79">
        <v>1045000</v>
      </c>
      <c r="D79">
        <v>1067000</v>
      </c>
      <c r="E79">
        <v>0</v>
      </c>
      <c r="F79">
        <f t="shared" si="8"/>
        <v>22000</v>
      </c>
      <c r="G79">
        <f t="shared" si="10"/>
        <v>40.090000000000003</v>
      </c>
      <c r="H79">
        <f t="shared" si="11"/>
        <v>21.8</v>
      </c>
      <c r="I79">
        <f t="shared" si="12"/>
        <v>5.0599999999999996</v>
      </c>
      <c r="J79">
        <f t="shared" si="13"/>
        <v>0</v>
      </c>
      <c r="K79">
        <f t="shared" si="14"/>
        <v>0</v>
      </c>
      <c r="L79">
        <f t="shared" si="9"/>
        <v>66.95</v>
      </c>
    </row>
    <row r="80" spans="1:13">
      <c r="A80" t="s">
        <v>79</v>
      </c>
      <c r="C80">
        <v>3380000</v>
      </c>
      <c r="D80">
        <v>3390000</v>
      </c>
      <c r="E80">
        <v>0</v>
      </c>
      <c r="F80">
        <f t="shared" si="8"/>
        <v>10000</v>
      </c>
      <c r="G80">
        <f t="shared" si="10"/>
        <v>40.090000000000003</v>
      </c>
      <c r="H80">
        <f t="shared" si="11"/>
        <v>0</v>
      </c>
      <c r="I80">
        <f t="shared" si="12"/>
        <v>0</v>
      </c>
      <c r="J80">
        <f t="shared" si="13"/>
        <v>0</v>
      </c>
      <c r="K80">
        <f t="shared" si="14"/>
        <v>0</v>
      </c>
      <c r="L80">
        <f t="shared" si="9"/>
        <v>40.090000000000003</v>
      </c>
    </row>
    <row r="81" spans="1:12">
      <c r="A81" t="s">
        <v>80</v>
      </c>
      <c r="C81">
        <v>2984000</v>
      </c>
      <c r="D81">
        <v>2989000</v>
      </c>
      <c r="E81">
        <v>0</v>
      </c>
      <c r="F81">
        <f t="shared" si="8"/>
        <v>5000</v>
      </c>
      <c r="G81">
        <f t="shared" si="10"/>
        <v>40.090000000000003</v>
      </c>
      <c r="H81">
        <f t="shared" si="11"/>
        <v>0</v>
      </c>
      <c r="I81">
        <f t="shared" si="12"/>
        <v>0</v>
      </c>
      <c r="J81">
        <f t="shared" si="13"/>
        <v>0</v>
      </c>
      <c r="K81">
        <f t="shared" si="14"/>
        <v>0</v>
      </c>
      <c r="L81">
        <f t="shared" si="9"/>
        <v>40.090000000000003</v>
      </c>
    </row>
    <row r="82" spans="1:12">
      <c r="A82" t="s">
        <v>81</v>
      </c>
      <c r="B82" t="s">
        <v>138</v>
      </c>
      <c r="C82">
        <v>0</v>
      </c>
      <c r="D82">
        <v>0</v>
      </c>
      <c r="E82">
        <v>0</v>
      </c>
      <c r="F82">
        <f t="shared" si="8"/>
        <v>0</v>
      </c>
      <c r="G82">
        <f t="shared" si="10"/>
        <v>11.79</v>
      </c>
      <c r="H82">
        <f t="shared" si="11"/>
        <v>0</v>
      </c>
      <c r="I82">
        <f t="shared" si="12"/>
        <v>0</v>
      </c>
      <c r="J82">
        <f t="shared" si="13"/>
        <v>0</v>
      </c>
      <c r="K82">
        <f t="shared" si="14"/>
        <v>0</v>
      </c>
      <c r="L82">
        <f t="shared" si="9"/>
        <v>11.79</v>
      </c>
    </row>
    <row r="83" spans="1:12">
      <c r="A83" t="s">
        <v>82</v>
      </c>
      <c r="C83">
        <v>2975000</v>
      </c>
      <c r="D83">
        <v>3027000</v>
      </c>
      <c r="E83">
        <v>0</v>
      </c>
      <c r="F83">
        <f t="shared" si="8"/>
        <v>52000</v>
      </c>
      <c r="G83">
        <f t="shared" si="10"/>
        <v>40.090000000000003</v>
      </c>
      <c r="H83">
        <f t="shared" si="11"/>
        <v>21.8</v>
      </c>
      <c r="I83">
        <f t="shared" si="12"/>
        <v>25.299999999999997</v>
      </c>
      <c r="J83">
        <f t="shared" si="13"/>
        <v>29.5</v>
      </c>
      <c r="K83">
        <f t="shared" si="14"/>
        <v>41.04</v>
      </c>
      <c r="L83">
        <f t="shared" si="9"/>
        <v>157.72999999999999</v>
      </c>
    </row>
    <row r="84" spans="1:12">
      <c r="A84" t="s">
        <v>83</v>
      </c>
      <c r="C84">
        <v>7285000</v>
      </c>
      <c r="D84">
        <v>7325000</v>
      </c>
      <c r="E84">
        <v>0</v>
      </c>
      <c r="F84">
        <f t="shared" si="8"/>
        <v>40000</v>
      </c>
      <c r="G84">
        <f t="shared" si="10"/>
        <v>40.090000000000003</v>
      </c>
      <c r="H84">
        <f t="shared" si="11"/>
        <v>21.8</v>
      </c>
      <c r="I84">
        <f t="shared" si="12"/>
        <v>25.299999999999997</v>
      </c>
      <c r="J84">
        <f t="shared" si="13"/>
        <v>29.5</v>
      </c>
      <c r="K84">
        <f t="shared" si="14"/>
        <v>0</v>
      </c>
      <c r="L84">
        <f t="shared" si="9"/>
        <v>116.69</v>
      </c>
    </row>
    <row r="85" spans="1:12">
      <c r="A85" t="s">
        <v>84</v>
      </c>
      <c r="C85">
        <v>2857000</v>
      </c>
      <c r="D85">
        <v>2868000</v>
      </c>
      <c r="E85">
        <v>0</v>
      </c>
      <c r="F85">
        <f t="shared" si="8"/>
        <v>11000</v>
      </c>
      <c r="G85">
        <f t="shared" si="10"/>
        <v>40.090000000000003</v>
      </c>
      <c r="H85">
        <f t="shared" si="11"/>
        <v>2.1800000000000002</v>
      </c>
      <c r="I85">
        <f t="shared" si="12"/>
        <v>0</v>
      </c>
      <c r="J85">
        <f t="shared" si="13"/>
        <v>0</v>
      </c>
      <c r="K85">
        <f t="shared" si="14"/>
        <v>0</v>
      </c>
      <c r="L85">
        <f t="shared" si="9"/>
        <v>42.27</v>
      </c>
    </row>
    <row r="86" spans="1:12">
      <c r="A86" t="s">
        <v>85</v>
      </c>
      <c r="C86">
        <v>1907000</v>
      </c>
      <c r="D86">
        <v>1923000</v>
      </c>
      <c r="E86">
        <v>0</v>
      </c>
      <c r="F86">
        <f t="shared" si="8"/>
        <v>16000</v>
      </c>
      <c r="G86">
        <f t="shared" si="10"/>
        <v>40.090000000000003</v>
      </c>
      <c r="H86">
        <f t="shared" si="11"/>
        <v>13.080000000000002</v>
      </c>
      <c r="I86">
        <f t="shared" si="12"/>
        <v>0</v>
      </c>
      <c r="J86">
        <f t="shared" si="13"/>
        <v>0</v>
      </c>
      <c r="K86">
        <f t="shared" si="14"/>
        <v>0</v>
      </c>
      <c r="L86">
        <f t="shared" si="9"/>
        <v>53.17</v>
      </c>
    </row>
    <row r="87" spans="1:12">
      <c r="A87" t="s">
        <v>86</v>
      </c>
      <c r="C87">
        <v>1806000</v>
      </c>
      <c r="D87">
        <v>1813000</v>
      </c>
      <c r="E87">
        <v>0</v>
      </c>
      <c r="F87">
        <f t="shared" si="8"/>
        <v>7000</v>
      </c>
      <c r="G87">
        <f t="shared" si="10"/>
        <v>40.090000000000003</v>
      </c>
      <c r="H87">
        <f t="shared" si="11"/>
        <v>0</v>
      </c>
      <c r="I87">
        <f t="shared" si="12"/>
        <v>0</v>
      </c>
      <c r="J87">
        <f t="shared" si="13"/>
        <v>0</v>
      </c>
      <c r="K87">
        <f t="shared" si="14"/>
        <v>0</v>
      </c>
      <c r="L87">
        <f t="shared" si="9"/>
        <v>40.090000000000003</v>
      </c>
    </row>
    <row r="88" spans="1:12">
      <c r="A88" t="s">
        <v>87</v>
      </c>
      <c r="B88" t="s">
        <v>138</v>
      </c>
      <c r="C88">
        <v>0</v>
      </c>
      <c r="D88">
        <v>0</v>
      </c>
      <c r="E88">
        <v>0</v>
      </c>
      <c r="F88">
        <f t="shared" si="8"/>
        <v>0</v>
      </c>
      <c r="G88">
        <f t="shared" si="10"/>
        <v>11.79</v>
      </c>
      <c r="H88">
        <f t="shared" si="11"/>
        <v>0</v>
      </c>
      <c r="I88">
        <f t="shared" si="12"/>
        <v>0</v>
      </c>
      <c r="J88">
        <f t="shared" si="13"/>
        <v>0</v>
      </c>
      <c r="K88">
        <f t="shared" si="14"/>
        <v>0</v>
      </c>
      <c r="L88">
        <f t="shared" si="9"/>
        <v>11.79</v>
      </c>
    </row>
    <row r="89" spans="1:12">
      <c r="A89" t="s">
        <v>88</v>
      </c>
      <c r="C89">
        <v>1208000</v>
      </c>
      <c r="D89">
        <v>1209000</v>
      </c>
      <c r="E89">
        <v>0</v>
      </c>
      <c r="F89">
        <f t="shared" si="8"/>
        <v>1000</v>
      </c>
      <c r="G89">
        <f t="shared" si="10"/>
        <v>40.090000000000003</v>
      </c>
      <c r="H89">
        <f t="shared" si="11"/>
        <v>0</v>
      </c>
      <c r="I89">
        <f t="shared" si="12"/>
        <v>0</v>
      </c>
      <c r="J89">
        <f t="shared" si="13"/>
        <v>0</v>
      </c>
      <c r="K89">
        <f t="shared" si="14"/>
        <v>0</v>
      </c>
      <c r="L89">
        <f t="shared" si="9"/>
        <v>40.090000000000003</v>
      </c>
    </row>
    <row r="90" spans="1:12">
      <c r="A90" t="s">
        <v>89</v>
      </c>
      <c r="C90">
        <v>2063000</v>
      </c>
      <c r="D90">
        <v>2080000</v>
      </c>
      <c r="E90">
        <v>0</v>
      </c>
      <c r="F90">
        <f t="shared" si="8"/>
        <v>17000</v>
      </c>
      <c r="G90">
        <f t="shared" si="10"/>
        <v>40.090000000000003</v>
      </c>
      <c r="H90">
        <f t="shared" si="11"/>
        <v>15.260000000000002</v>
      </c>
      <c r="I90">
        <f t="shared" si="12"/>
        <v>0</v>
      </c>
      <c r="J90">
        <f t="shared" si="13"/>
        <v>0</v>
      </c>
      <c r="K90">
        <f t="shared" si="14"/>
        <v>0</v>
      </c>
      <c r="L90">
        <f t="shared" si="9"/>
        <v>55.350000000000009</v>
      </c>
    </row>
    <row r="91" spans="1:12">
      <c r="A91" t="s">
        <v>90</v>
      </c>
      <c r="C91">
        <v>1205000</v>
      </c>
      <c r="D91">
        <v>1210000</v>
      </c>
      <c r="E91">
        <v>0</v>
      </c>
      <c r="F91">
        <f t="shared" si="8"/>
        <v>5000</v>
      </c>
      <c r="G91">
        <f t="shared" si="10"/>
        <v>40.090000000000003</v>
      </c>
      <c r="H91">
        <f t="shared" si="11"/>
        <v>0</v>
      </c>
      <c r="I91">
        <f t="shared" si="12"/>
        <v>0</v>
      </c>
      <c r="J91">
        <f t="shared" si="13"/>
        <v>0</v>
      </c>
      <c r="K91">
        <f t="shared" si="14"/>
        <v>0</v>
      </c>
      <c r="L91">
        <f t="shared" si="9"/>
        <v>40.090000000000003</v>
      </c>
    </row>
    <row r="92" spans="1:12">
      <c r="A92" t="s">
        <v>91</v>
      </c>
      <c r="C92">
        <v>212600</v>
      </c>
      <c r="D92">
        <v>217700</v>
      </c>
      <c r="E92">
        <v>0</v>
      </c>
      <c r="F92">
        <f t="shared" si="8"/>
        <v>5100</v>
      </c>
      <c r="G92">
        <f t="shared" si="10"/>
        <v>40.090000000000003</v>
      </c>
      <c r="H92">
        <f t="shared" si="11"/>
        <v>0</v>
      </c>
      <c r="I92">
        <f t="shared" si="12"/>
        <v>0</v>
      </c>
      <c r="J92">
        <f t="shared" si="13"/>
        <v>0</v>
      </c>
      <c r="K92">
        <f t="shared" si="14"/>
        <v>0</v>
      </c>
      <c r="L92">
        <f t="shared" si="9"/>
        <v>40.090000000000003</v>
      </c>
    </row>
    <row r="93" spans="1:12">
      <c r="A93" t="s">
        <v>92</v>
      </c>
      <c r="C93">
        <v>2464000</v>
      </c>
      <c r="D93">
        <v>2492000</v>
      </c>
      <c r="E93">
        <v>0</v>
      </c>
      <c r="F93">
        <f t="shared" si="8"/>
        <v>28000</v>
      </c>
      <c r="G93">
        <f t="shared" si="10"/>
        <v>40.090000000000003</v>
      </c>
      <c r="H93">
        <f t="shared" si="11"/>
        <v>21.8</v>
      </c>
      <c r="I93">
        <f t="shared" si="12"/>
        <v>20.239999999999998</v>
      </c>
      <c r="J93">
        <f t="shared" si="13"/>
        <v>0</v>
      </c>
      <c r="K93">
        <f t="shared" si="14"/>
        <v>0</v>
      </c>
      <c r="L93">
        <f t="shared" si="9"/>
        <v>82.13</v>
      </c>
    </row>
    <row r="94" spans="1:12">
      <c r="A94" t="s">
        <v>93</v>
      </c>
      <c r="B94" t="s">
        <v>138</v>
      </c>
      <c r="C94">
        <v>0</v>
      </c>
      <c r="D94">
        <v>0</v>
      </c>
      <c r="E94">
        <v>0</v>
      </c>
      <c r="F94">
        <f t="shared" si="8"/>
        <v>0</v>
      </c>
      <c r="G94">
        <f t="shared" si="10"/>
        <v>11.79</v>
      </c>
      <c r="H94">
        <f t="shared" si="11"/>
        <v>0</v>
      </c>
      <c r="I94">
        <f t="shared" si="12"/>
        <v>0</v>
      </c>
      <c r="J94">
        <f t="shared" si="13"/>
        <v>0</v>
      </c>
      <c r="K94">
        <f t="shared" si="14"/>
        <v>0</v>
      </c>
      <c r="L94">
        <f t="shared" si="9"/>
        <v>11.79</v>
      </c>
    </row>
    <row r="95" spans="1:12">
      <c r="A95" t="s">
        <v>94</v>
      </c>
      <c r="B95" t="s">
        <v>138</v>
      </c>
      <c r="C95">
        <v>0</v>
      </c>
      <c r="D95">
        <v>0</v>
      </c>
      <c r="E95">
        <v>0</v>
      </c>
      <c r="F95">
        <f t="shared" si="8"/>
        <v>0</v>
      </c>
      <c r="G95">
        <f t="shared" si="10"/>
        <v>11.79</v>
      </c>
      <c r="H95">
        <f t="shared" si="11"/>
        <v>0</v>
      </c>
      <c r="I95">
        <f t="shared" si="12"/>
        <v>0</v>
      </c>
      <c r="J95">
        <f t="shared" si="13"/>
        <v>0</v>
      </c>
      <c r="K95">
        <f t="shared" si="14"/>
        <v>0</v>
      </c>
      <c r="L95">
        <f t="shared" si="9"/>
        <v>11.79</v>
      </c>
    </row>
    <row r="96" spans="1:12">
      <c r="A96" t="s">
        <v>95</v>
      </c>
      <c r="B96" t="s">
        <v>138</v>
      </c>
      <c r="C96">
        <v>0</v>
      </c>
      <c r="D96">
        <v>0</v>
      </c>
      <c r="E96">
        <v>0</v>
      </c>
      <c r="F96">
        <f t="shared" si="8"/>
        <v>0</v>
      </c>
      <c r="G96">
        <f t="shared" si="10"/>
        <v>11.79</v>
      </c>
      <c r="H96">
        <f t="shared" si="11"/>
        <v>0</v>
      </c>
      <c r="I96">
        <f t="shared" si="12"/>
        <v>0</v>
      </c>
      <c r="J96">
        <f t="shared" si="13"/>
        <v>0</v>
      </c>
      <c r="K96">
        <f t="shared" si="14"/>
        <v>0</v>
      </c>
      <c r="L96">
        <f t="shared" si="9"/>
        <v>11.79</v>
      </c>
    </row>
    <row r="97" spans="1:12">
      <c r="A97" t="s">
        <v>96</v>
      </c>
      <c r="C97">
        <v>1768000</v>
      </c>
      <c r="D97">
        <v>1776000</v>
      </c>
      <c r="E97">
        <v>0</v>
      </c>
      <c r="F97">
        <f t="shared" si="8"/>
        <v>8000</v>
      </c>
      <c r="G97">
        <f t="shared" si="10"/>
        <v>40.090000000000003</v>
      </c>
      <c r="H97">
        <f t="shared" si="11"/>
        <v>0</v>
      </c>
      <c r="I97">
        <f t="shared" si="12"/>
        <v>0</v>
      </c>
      <c r="J97">
        <f t="shared" si="13"/>
        <v>0</v>
      </c>
      <c r="K97">
        <f t="shared" si="14"/>
        <v>0</v>
      </c>
      <c r="L97">
        <f t="shared" si="9"/>
        <v>40.090000000000003</v>
      </c>
    </row>
    <row r="98" spans="1:12">
      <c r="A98" t="s">
        <v>97</v>
      </c>
      <c r="B98" t="s">
        <v>138</v>
      </c>
      <c r="C98">
        <v>0</v>
      </c>
      <c r="D98">
        <v>0</v>
      </c>
      <c r="E98">
        <v>0</v>
      </c>
      <c r="F98">
        <f t="shared" si="8"/>
        <v>0</v>
      </c>
      <c r="G98">
        <f t="shared" si="10"/>
        <v>11.79</v>
      </c>
      <c r="H98">
        <f t="shared" si="11"/>
        <v>0</v>
      </c>
      <c r="I98">
        <f t="shared" si="12"/>
        <v>0</v>
      </c>
      <c r="J98">
        <f t="shared" si="13"/>
        <v>0</v>
      </c>
      <c r="K98">
        <f t="shared" si="14"/>
        <v>0</v>
      </c>
      <c r="L98">
        <f t="shared" si="9"/>
        <v>11.79</v>
      </c>
    </row>
    <row r="99" spans="1:12">
      <c r="A99" t="s">
        <v>98</v>
      </c>
      <c r="B99" t="s">
        <v>138</v>
      </c>
      <c r="C99">
        <v>0</v>
      </c>
      <c r="D99">
        <v>0</v>
      </c>
      <c r="E99">
        <v>0</v>
      </c>
      <c r="F99">
        <f t="shared" si="8"/>
        <v>0</v>
      </c>
      <c r="G99">
        <f t="shared" si="10"/>
        <v>11.79</v>
      </c>
      <c r="H99">
        <f t="shared" si="11"/>
        <v>0</v>
      </c>
      <c r="I99">
        <f t="shared" si="12"/>
        <v>0</v>
      </c>
      <c r="J99">
        <f t="shared" si="13"/>
        <v>0</v>
      </c>
      <c r="K99">
        <f t="shared" si="14"/>
        <v>0</v>
      </c>
      <c r="L99">
        <f t="shared" si="9"/>
        <v>11.79</v>
      </c>
    </row>
    <row r="100" spans="1:12">
      <c r="A100" t="s">
        <v>99</v>
      </c>
      <c r="C100">
        <v>1639000</v>
      </c>
      <c r="D100">
        <v>1639000</v>
      </c>
      <c r="E100">
        <v>0</v>
      </c>
      <c r="F100">
        <f t="shared" si="8"/>
        <v>0</v>
      </c>
      <c r="G100">
        <f t="shared" si="10"/>
        <v>40.090000000000003</v>
      </c>
      <c r="H100">
        <f t="shared" si="11"/>
        <v>0</v>
      </c>
      <c r="I100">
        <f t="shared" si="12"/>
        <v>0</v>
      </c>
      <c r="J100">
        <f t="shared" si="13"/>
        <v>0</v>
      </c>
      <c r="K100">
        <f t="shared" si="14"/>
        <v>0</v>
      </c>
      <c r="L100">
        <f t="shared" si="9"/>
        <v>40.090000000000003</v>
      </c>
    </row>
    <row r="101" spans="1:12">
      <c r="A101" t="s">
        <v>100</v>
      </c>
      <c r="C101">
        <v>482000</v>
      </c>
      <c r="D101">
        <v>487000</v>
      </c>
      <c r="E101">
        <v>0</v>
      </c>
      <c r="F101">
        <f t="shared" si="8"/>
        <v>5000</v>
      </c>
      <c r="G101">
        <f t="shared" si="10"/>
        <v>40.090000000000003</v>
      </c>
      <c r="H101">
        <f t="shared" si="11"/>
        <v>0</v>
      </c>
      <c r="I101">
        <f t="shared" si="12"/>
        <v>0</v>
      </c>
      <c r="J101">
        <f t="shared" si="13"/>
        <v>0</v>
      </c>
      <c r="K101">
        <f t="shared" si="14"/>
        <v>0</v>
      </c>
      <c r="L101">
        <f t="shared" si="9"/>
        <v>40.090000000000003</v>
      </c>
    </row>
    <row r="102" spans="1:12">
      <c r="A102" t="s">
        <v>101</v>
      </c>
      <c r="C102">
        <v>4430000</v>
      </c>
      <c r="D102">
        <v>4445000</v>
      </c>
      <c r="E102">
        <v>0</v>
      </c>
      <c r="F102">
        <f t="shared" si="8"/>
        <v>15000</v>
      </c>
      <c r="G102">
        <f t="shared" si="10"/>
        <v>40.090000000000003</v>
      </c>
      <c r="H102">
        <f t="shared" si="11"/>
        <v>10.9</v>
      </c>
      <c r="I102">
        <f t="shared" si="12"/>
        <v>0</v>
      </c>
      <c r="J102">
        <f t="shared" si="13"/>
        <v>0</v>
      </c>
      <c r="K102">
        <f t="shared" si="14"/>
        <v>0</v>
      </c>
      <c r="L102">
        <f t="shared" si="9"/>
        <v>50.99</v>
      </c>
    </row>
    <row r="103" spans="1:12">
      <c r="A103" t="s">
        <v>102</v>
      </c>
      <c r="B103" t="s">
        <v>138</v>
      </c>
      <c r="C103">
        <v>0</v>
      </c>
      <c r="D103">
        <v>0</v>
      </c>
      <c r="E103">
        <v>0</v>
      </c>
      <c r="F103">
        <f t="shared" si="8"/>
        <v>0</v>
      </c>
      <c r="G103">
        <f t="shared" si="10"/>
        <v>11.79</v>
      </c>
      <c r="H103">
        <f t="shared" si="11"/>
        <v>0</v>
      </c>
      <c r="I103">
        <f t="shared" si="12"/>
        <v>0</v>
      </c>
      <c r="J103">
        <f t="shared" si="13"/>
        <v>0</v>
      </c>
      <c r="K103">
        <f t="shared" si="14"/>
        <v>0</v>
      </c>
      <c r="L103">
        <f t="shared" si="9"/>
        <v>11.79</v>
      </c>
    </row>
    <row r="104" spans="1:12">
      <c r="A104" t="s">
        <v>103</v>
      </c>
      <c r="C104">
        <v>1036000</v>
      </c>
      <c r="D104">
        <v>1074000</v>
      </c>
      <c r="E104">
        <v>0</v>
      </c>
      <c r="F104">
        <f t="shared" si="8"/>
        <v>38000</v>
      </c>
      <c r="G104">
        <f t="shared" si="10"/>
        <v>40.090000000000003</v>
      </c>
      <c r="H104">
        <f t="shared" si="11"/>
        <v>21.8</v>
      </c>
      <c r="I104">
        <f t="shared" si="12"/>
        <v>25.299999999999997</v>
      </c>
      <c r="J104">
        <f t="shared" si="13"/>
        <v>23.6</v>
      </c>
      <c r="K104">
        <f t="shared" si="14"/>
        <v>0</v>
      </c>
      <c r="L104">
        <f t="shared" si="9"/>
        <v>110.78999999999999</v>
      </c>
    </row>
    <row r="105" spans="1:12">
      <c r="A105" t="s">
        <v>104</v>
      </c>
      <c r="B105" t="s">
        <v>138</v>
      </c>
      <c r="C105">
        <v>0</v>
      </c>
      <c r="D105">
        <v>0</v>
      </c>
      <c r="E105">
        <v>0</v>
      </c>
      <c r="F105">
        <f t="shared" si="8"/>
        <v>0</v>
      </c>
      <c r="G105">
        <f t="shared" si="10"/>
        <v>11.79</v>
      </c>
      <c r="H105">
        <f t="shared" si="11"/>
        <v>0</v>
      </c>
      <c r="I105">
        <f t="shared" si="12"/>
        <v>0</v>
      </c>
      <c r="J105">
        <f t="shared" si="13"/>
        <v>0</v>
      </c>
      <c r="K105">
        <f t="shared" si="14"/>
        <v>0</v>
      </c>
      <c r="L105">
        <f t="shared" si="9"/>
        <v>11.79</v>
      </c>
    </row>
    <row r="106" spans="1:12">
      <c r="A106" t="s">
        <v>105</v>
      </c>
      <c r="C106">
        <v>1268000</v>
      </c>
      <c r="D106">
        <v>1293000</v>
      </c>
      <c r="E106">
        <v>0</v>
      </c>
      <c r="F106">
        <f t="shared" si="8"/>
        <v>25000</v>
      </c>
      <c r="G106">
        <f t="shared" si="10"/>
        <v>40.090000000000003</v>
      </c>
      <c r="H106">
        <f t="shared" si="11"/>
        <v>21.8</v>
      </c>
      <c r="I106">
        <f t="shared" si="12"/>
        <v>12.649999999999999</v>
      </c>
      <c r="J106">
        <f t="shared" si="13"/>
        <v>0</v>
      </c>
      <c r="K106">
        <f t="shared" si="14"/>
        <v>0</v>
      </c>
      <c r="L106">
        <f t="shared" si="9"/>
        <v>74.539999999999992</v>
      </c>
    </row>
    <row r="107" spans="1:12">
      <c r="A107" t="s">
        <v>106</v>
      </c>
      <c r="C107">
        <v>1780000</v>
      </c>
      <c r="D107">
        <v>1782000</v>
      </c>
      <c r="E107">
        <v>0</v>
      </c>
      <c r="F107">
        <f t="shared" si="8"/>
        <v>2000</v>
      </c>
      <c r="G107">
        <f t="shared" si="10"/>
        <v>40.090000000000003</v>
      </c>
      <c r="H107">
        <f t="shared" si="11"/>
        <v>0</v>
      </c>
      <c r="I107">
        <f t="shared" si="12"/>
        <v>0</v>
      </c>
      <c r="J107">
        <f t="shared" si="13"/>
        <v>0</v>
      </c>
      <c r="K107">
        <f t="shared" si="14"/>
        <v>0</v>
      </c>
      <c r="L107">
        <f t="shared" si="9"/>
        <v>40.090000000000003</v>
      </c>
    </row>
    <row r="108" spans="1:12">
      <c r="A108" t="s">
        <v>107</v>
      </c>
      <c r="C108">
        <v>307000</v>
      </c>
      <c r="D108">
        <v>309000</v>
      </c>
      <c r="E108">
        <v>0</v>
      </c>
      <c r="F108">
        <f t="shared" si="8"/>
        <v>2000</v>
      </c>
      <c r="G108">
        <f t="shared" si="10"/>
        <v>40.090000000000003</v>
      </c>
      <c r="H108">
        <f t="shared" si="11"/>
        <v>0</v>
      </c>
      <c r="I108">
        <f t="shared" si="12"/>
        <v>0</v>
      </c>
      <c r="J108">
        <f t="shared" si="13"/>
        <v>0</v>
      </c>
      <c r="K108">
        <f t="shared" si="14"/>
        <v>0</v>
      </c>
      <c r="L108">
        <f t="shared" si="9"/>
        <v>40.090000000000003</v>
      </c>
    </row>
    <row r="109" spans="1:12">
      <c r="A109" t="s">
        <v>108</v>
      </c>
      <c r="C109">
        <v>2463000</v>
      </c>
      <c r="D109">
        <v>2478000</v>
      </c>
      <c r="E109">
        <v>0</v>
      </c>
      <c r="F109">
        <f t="shared" si="8"/>
        <v>15000</v>
      </c>
      <c r="G109">
        <f t="shared" si="10"/>
        <v>40.090000000000003</v>
      </c>
      <c r="H109">
        <f t="shared" si="11"/>
        <v>10.9</v>
      </c>
      <c r="I109">
        <f t="shared" si="12"/>
        <v>0</v>
      </c>
      <c r="J109">
        <f t="shared" si="13"/>
        <v>0</v>
      </c>
      <c r="K109">
        <f t="shared" si="14"/>
        <v>0</v>
      </c>
      <c r="L109">
        <f t="shared" si="9"/>
        <v>50.99</v>
      </c>
    </row>
    <row r="110" spans="1:12">
      <c r="A110" t="s">
        <v>109</v>
      </c>
      <c r="B110" t="s">
        <v>138</v>
      </c>
      <c r="C110">
        <v>0</v>
      </c>
      <c r="D110">
        <v>0</v>
      </c>
      <c r="E110">
        <v>0</v>
      </c>
      <c r="F110">
        <f t="shared" si="8"/>
        <v>0</v>
      </c>
      <c r="G110">
        <f t="shared" si="10"/>
        <v>11.79</v>
      </c>
      <c r="H110">
        <f t="shared" si="11"/>
        <v>0</v>
      </c>
      <c r="I110">
        <f t="shared" si="12"/>
        <v>0</v>
      </c>
      <c r="J110">
        <f t="shared" si="13"/>
        <v>0</v>
      </c>
      <c r="K110">
        <f t="shared" si="14"/>
        <v>0</v>
      </c>
      <c r="L110">
        <f t="shared" si="9"/>
        <v>11.79</v>
      </c>
    </row>
    <row r="111" spans="1:12">
      <c r="A111" t="s">
        <v>110</v>
      </c>
      <c r="C111">
        <v>3733000</v>
      </c>
      <c r="D111">
        <v>3745000</v>
      </c>
      <c r="E111">
        <v>0</v>
      </c>
      <c r="F111">
        <f t="shared" si="8"/>
        <v>12000</v>
      </c>
      <c r="G111">
        <f t="shared" si="10"/>
        <v>40.090000000000003</v>
      </c>
      <c r="H111">
        <f t="shared" si="11"/>
        <v>4.3600000000000003</v>
      </c>
      <c r="I111">
        <f t="shared" si="12"/>
        <v>0</v>
      </c>
      <c r="J111">
        <f t="shared" si="13"/>
        <v>0</v>
      </c>
      <c r="K111">
        <f t="shared" si="14"/>
        <v>0</v>
      </c>
      <c r="L111">
        <f t="shared" si="9"/>
        <v>44.45</v>
      </c>
    </row>
    <row r="112" spans="1:12">
      <c r="A112" t="s">
        <v>111</v>
      </c>
      <c r="C112">
        <v>3318000</v>
      </c>
      <c r="D112">
        <v>3355000</v>
      </c>
      <c r="E112">
        <v>0</v>
      </c>
      <c r="F112">
        <f t="shared" si="8"/>
        <v>37000</v>
      </c>
      <c r="G112">
        <f t="shared" si="10"/>
        <v>40.090000000000003</v>
      </c>
      <c r="H112">
        <f t="shared" si="11"/>
        <v>21.8</v>
      </c>
      <c r="I112">
        <f t="shared" si="12"/>
        <v>25.299999999999997</v>
      </c>
      <c r="J112">
        <f t="shared" si="13"/>
        <v>20.650000000000002</v>
      </c>
      <c r="K112">
        <f t="shared" si="14"/>
        <v>0</v>
      </c>
      <c r="L112">
        <f t="shared" si="9"/>
        <v>107.84</v>
      </c>
    </row>
    <row r="113" spans="1:12">
      <c r="A113" t="s">
        <v>112</v>
      </c>
      <c r="C113">
        <v>330000</v>
      </c>
      <c r="D113">
        <v>333000</v>
      </c>
      <c r="E113">
        <v>0</v>
      </c>
      <c r="F113">
        <f t="shared" si="8"/>
        <v>3000</v>
      </c>
      <c r="G113">
        <f t="shared" si="10"/>
        <v>40.090000000000003</v>
      </c>
      <c r="H113">
        <f t="shared" si="11"/>
        <v>0</v>
      </c>
      <c r="I113">
        <f t="shared" si="12"/>
        <v>0</v>
      </c>
      <c r="J113">
        <f t="shared" si="13"/>
        <v>0</v>
      </c>
      <c r="K113">
        <f t="shared" si="14"/>
        <v>0</v>
      </c>
      <c r="L113">
        <f t="shared" si="9"/>
        <v>40.090000000000003</v>
      </c>
    </row>
    <row r="114" spans="1:12">
      <c r="A114" t="s">
        <v>113</v>
      </c>
      <c r="C114">
        <v>1264000</v>
      </c>
      <c r="D114">
        <v>1304000</v>
      </c>
      <c r="E114">
        <v>0</v>
      </c>
      <c r="F114">
        <f t="shared" si="8"/>
        <v>40000</v>
      </c>
      <c r="G114">
        <f t="shared" si="10"/>
        <v>40.090000000000003</v>
      </c>
      <c r="H114">
        <f t="shared" si="11"/>
        <v>21.8</v>
      </c>
      <c r="I114">
        <f t="shared" si="12"/>
        <v>25.299999999999997</v>
      </c>
      <c r="J114">
        <f t="shared" si="13"/>
        <v>29.5</v>
      </c>
      <c r="K114">
        <f t="shared" si="14"/>
        <v>0</v>
      </c>
      <c r="L114">
        <f t="shared" si="9"/>
        <v>116.69</v>
      </c>
    </row>
    <row r="115" spans="1:12">
      <c r="A115" t="s">
        <v>114</v>
      </c>
      <c r="C115">
        <v>2535000</v>
      </c>
      <c r="D115">
        <v>2541000</v>
      </c>
      <c r="E115">
        <v>0</v>
      </c>
      <c r="F115">
        <f t="shared" si="8"/>
        <v>6000</v>
      </c>
      <c r="G115">
        <f t="shared" si="10"/>
        <v>40.090000000000003</v>
      </c>
      <c r="H115">
        <f t="shared" si="11"/>
        <v>0</v>
      </c>
      <c r="I115">
        <f t="shared" si="12"/>
        <v>0</v>
      </c>
      <c r="J115">
        <f t="shared" si="13"/>
        <v>0</v>
      </c>
      <c r="K115">
        <f t="shared" si="14"/>
        <v>0</v>
      </c>
      <c r="L115">
        <f t="shared" si="9"/>
        <v>40.090000000000003</v>
      </c>
    </row>
    <row r="116" spans="1:12">
      <c r="A116" t="s">
        <v>115</v>
      </c>
      <c r="C116">
        <v>2364000</v>
      </c>
      <c r="D116">
        <v>2380000</v>
      </c>
      <c r="E116">
        <v>0</v>
      </c>
      <c r="F116">
        <f t="shared" si="8"/>
        <v>16000</v>
      </c>
      <c r="G116">
        <f t="shared" si="10"/>
        <v>40.090000000000003</v>
      </c>
      <c r="H116">
        <f t="shared" si="11"/>
        <v>13.080000000000002</v>
      </c>
      <c r="I116">
        <f t="shared" si="12"/>
        <v>0</v>
      </c>
      <c r="J116">
        <f t="shared" si="13"/>
        <v>0</v>
      </c>
      <c r="K116">
        <f t="shared" si="14"/>
        <v>0</v>
      </c>
      <c r="L116">
        <f t="shared" si="9"/>
        <v>53.17</v>
      </c>
    </row>
    <row r="117" spans="1:12">
      <c r="A117" t="s">
        <v>116</v>
      </c>
      <c r="C117">
        <v>4225000</v>
      </c>
      <c r="D117">
        <v>4230000</v>
      </c>
      <c r="E117">
        <v>0</v>
      </c>
      <c r="F117">
        <f t="shared" si="8"/>
        <v>5000</v>
      </c>
      <c r="G117">
        <f t="shared" si="10"/>
        <v>40.090000000000003</v>
      </c>
      <c r="H117">
        <f t="shared" si="11"/>
        <v>0</v>
      </c>
      <c r="I117">
        <f t="shared" si="12"/>
        <v>0</v>
      </c>
      <c r="J117">
        <f t="shared" si="13"/>
        <v>0</v>
      </c>
      <c r="K117">
        <f t="shared" si="14"/>
        <v>0</v>
      </c>
      <c r="L117">
        <f t="shared" si="9"/>
        <v>40.090000000000003</v>
      </c>
    </row>
    <row r="118" spans="1:12">
      <c r="A118" t="s">
        <v>117</v>
      </c>
      <c r="C118">
        <v>1850000</v>
      </c>
      <c r="D118">
        <v>1855000</v>
      </c>
      <c r="E118">
        <v>0</v>
      </c>
      <c r="F118">
        <f t="shared" si="8"/>
        <v>5000</v>
      </c>
      <c r="G118">
        <f t="shared" si="10"/>
        <v>40.090000000000003</v>
      </c>
      <c r="H118">
        <f t="shared" si="11"/>
        <v>0</v>
      </c>
      <c r="I118">
        <f t="shared" si="12"/>
        <v>0</v>
      </c>
      <c r="J118">
        <f t="shared" si="13"/>
        <v>0</v>
      </c>
      <c r="K118">
        <f t="shared" si="14"/>
        <v>0</v>
      </c>
      <c r="L118">
        <f t="shared" si="9"/>
        <v>40.090000000000003</v>
      </c>
    </row>
    <row r="119" spans="1:12">
      <c r="A119" t="s">
        <v>118</v>
      </c>
      <c r="C119">
        <v>1133000</v>
      </c>
      <c r="D119">
        <v>1139000</v>
      </c>
      <c r="E119">
        <v>0</v>
      </c>
      <c r="F119">
        <f t="shared" si="8"/>
        <v>6000</v>
      </c>
      <c r="G119">
        <f t="shared" si="10"/>
        <v>40.090000000000003</v>
      </c>
      <c r="H119">
        <f t="shared" si="11"/>
        <v>0</v>
      </c>
      <c r="I119">
        <f t="shared" si="12"/>
        <v>0</v>
      </c>
      <c r="J119">
        <f t="shared" si="13"/>
        <v>0</v>
      </c>
      <c r="K119">
        <f t="shared" si="14"/>
        <v>0</v>
      </c>
      <c r="L119">
        <f t="shared" si="9"/>
        <v>40.090000000000003</v>
      </c>
    </row>
    <row r="120" spans="1:12">
      <c r="A120" t="s">
        <v>119</v>
      </c>
      <c r="C120">
        <v>6331000</v>
      </c>
      <c r="D120">
        <v>6390000</v>
      </c>
      <c r="E120">
        <v>0</v>
      </c>
      <c r="F120">
        <f t="shared" si="8"/>
        <v>59000</v>
      </c>
      <c r="G120">
        <f t="shared" si="10"/>
        <v>40.090000000000003</v>
      </c>
      <c r="H120">
        <f t="shared" si="11"/>
        <v>21.8</v>
      </c>
      <c r="I120">
        <f t="shared" si="12"/>
        <v>25.299999999999997</v>
      </c>
      <c r="J120">
        <f t="shared" si="13"/>
        <v>29.5</v>
      </c>
      <c r="K120">
        <f t="shared" si="14"/>
        <v>64.98</v>
      </c>
      <c r="L120">
        <f t="shared" si="9"/>
        <v>181.67000000000002</v>
      </c>
    </row>
    <row r="121" spans="1:12">
      <c r="A121" t="s">
        <v>120</v>
      </c>
      <c r="C121">
        <v>3622000</v>
      </c>
      <c r="D121">
        <v>3634000</v>
      </c>
      <c r="E121">
        <v>0</v>
      </c>
      <c r="F121">
        <f t="shared" si="8"/>
        <v>12000</v>
      </c>
      <c r="G121">
        <f t="shared" si="10"/>
        <v>40.090000000000003</v>
      </c>
      <c r="H121">
        <f t="shared" si="11"/>
        <v>4.3600000000000003</v>
      </c>
      <c r="I121">
        <f t="shared" si="12"/>
        <v>0</v>
      </c>
      <c r="J121">
        <f t="shared" si="13"/>
        <v>0</v>
      </c>
      <c r="K121">
        <f t="shared" si="14"/>
        <v>0</v>
      </c>
      <c r="L121">
        <f t="shared" si="9"/>
        <v>44.45</v>
      </c>
    </row>
    <row r="122" spans="1:12">
      <c r="A122" t="s">
        <v>121</v>
      </c>
      <c r="B122" t="s">
        <v>138</v>
      </c>
      <c r="C122">
        <v>0</v>
      </c>
      <c r="D122">
        <v>0</v>
      </c>
      <c r="E122">
        <v>0</v>
      </c>
      <c r="F122">
        <f t="shared" si="8"/>
        <v>0</v>
      </c>
      <c r="G122">
        <f t="shared" si="10"/>
        <v>11.79</v>
      </c>
      <c r="H122">
        <f t="shared" si="11"/>
        <v>0</v>
      </c>
      <c r="I122">
        <f t="shared" si="12"/>
        <v>0</v>
      </c>
      <c r="J122">
        <f t="shared" si="13"/>
        <v>0</v>
      </c>
      <c r="K122">
        <f t="shared" si="14"/>
        <v>0</v>
      </c>
      <c r="L122">
        <f t="shared" si="9"/>
        <v>11.79</v>
      </c>
    </row>
    <row r="123" spans="1:12">
      <c r="A123" t="s">
        <v>122</v>
      </c>
      <c r="C123">
        <v>1210000</v>
      </c>
      <c r="D123">
        <v>1221000</v>
      </c>
      <c r="E123">
        <v>0</v>
      </c>
      <c r="F123">
        <f t="shared" si="8"/>
        <v>11000</v>
      </c>
      <c r="G123">
        <f t="shared" si="10"/>
        <v>40.090000000000003</v>
      </c>
      <c r="H123">
        <f t="shared" si="11"/>
        <v>2.1800000000000002</v>
      </c>
      <c r="I123">
        <f t="shared" si="12"/>
        <v>0</v>
      </c>
      <c r="J123">
        <f t="shared" si="13"/>
        <v>0</v>
      </c>
      <c r="K123">
        <f t="shared" si="14"/>
        <v>0</v>
      </c>
      <c r="L123">
        <f t="shared" si="9"/>
        <v>42.27</v>
      </c>
    </row>
    <row r="124" spans="1:12">
      <c r="A124" t="s">
        <v>123</v>
      </c>
      <c r="B124" t="s">
        <v>138</v>
      </c>
      <c r="C124">
        <v>0</v>
      </c>
      <c r="D124">
        <v>0</v>
      </c>
      <c r="E124">
        <v>0</v>
      </c>
      <c r="F124">
        <f t="shared" si="8"/>
        <v>0</v>
      </c>
      <c r="G124">
        <f t="shared" si="10"/>
        <v>11.79</v>
      </c>
      <c r="H124">
        <f t="shared" si="11"/>
        <v>0</v>
      </c>
      <c r="I124">
        <f t="shared" si="12"/>
        <v>0</v>
      </c>
      <c r="J124">
        <f t="shared" si="13"/>
        <v>0</v>
      </c>
      <c r="K124">
        <f t="shared" si="14"/>
        <v>0</v>
      </c>
      <c r="L124">
        <f t="shared" si="9"/>
        <v>11.79</v>
      </c>
    </row>
    <row r="125" spans="1:12">
      <c r="A125" t="s">
        <v>124</v>
      </c>
      <c r="B125" t="s">
        <v>138</v>
      </c>
      <c r="C125">
        <v>0</v>
      </c>
      <c r="D125">
        <v>0</v>
      </c>
      <c r="E125">
        <v>0</v>
      </c>
      <c r="F125">
        <f t="shared" si="8"/>
        <v>0</v>
      </c>
      <c r="G125">
        <f t="shared" si="10"/>
        <v>11.79</v>
      </c>
      <c r="H125">
        <f t="shared" si="11"/>
        <v>0</v>
      </c>
      <c r="I125">
        <f t="shared" si="12"/>
        <v>0</v>
      </c>
      <c r="J125">
        <f t="shared" si="13"/>
        <v>0</v>
      </c>
      <c r="K125">
        <f t="shared" si="14"/>
        <v>0</v>
      </c>
      <c r="L125">
        <f t="shared" si="9"/>
        <v>11.79</v>
      </c>
    </row>
    <row r="126" spans="1:12">
      <c r="A126" t="s">
        <v>125</v>
      </c>
      <c r="B126" t="s">
        <v>138</v>
      </c>
      <c r="C126">
        <v>0</v>
      </c>
      <c r="D126">
        <v>0</v>
      </c>
      <c r="E126">
        <v>0</v>
      </c>
      <c r="F126">
        <f t="shared" si="8"/>
        <v>0</v>
      </c>
      <c r="G126">
        <f t="shared" si="10"/>
        <v>11.79</v>
      </c>
      <c r="H126">
        <f t="shared" si="11"/>
        <v>0</v>
      </c>
      <c r="I126">
        <f t="shared" si="12"/>
        <v>0</v>
      </c>
      <c r="J126">
        <f t="shared" si="13"/>
        <v>0</v>
      </c>
      <c r="K126">
        <f t="shared" si="14"/>
        <v>0</v>
      </c>
      <c r="L126">
        <f t="shared" si="9"/>
        <v>11.79</v>
      </c>
    </row>
    <row r="127" spans="1:12">
      <c r="A127" t="s">
        <v>126</v>
      </c>
      <c r="C127">
        <v>842000</v>
      </c>
      <c r="D127">
        <v>885000</v>
      </c>
      <c r="E127">
        <v>0</v>
      </c>
      <c r="F127">
        <f t="shared" si="8"/>
        <v>43000</v>
      </c>
      <c r="G127">
        <f t="shared" si="10"/>
        <v>40.090000000000003</v>
      </c>
      <c r="H127">
        <f t="shared" si="11"/>
        <v>21.8</v>
      </c>
      <c r="I127">
        <f t="shared" si="12"/>
        <v>25.299999999999997</v>
      </c>
      <c r="J127">
        <f t="shared" si="13"/>
        <v>29.5</v>
      </c>
      <c r="K127">
        <f t="shared" si="14"/>
        <v>10.26</v>
      </c>
      <c r="L127">
        <f t="shared" si="9"/>
        <v>126.95</v>
      </c>
    </row>
    <row r="129" spans="1:13">
      <c r="J129" t="s">
        <v>136</v>
      </c>
      <c r="L129">
        <f>SUM(L2:L128)</f>
        <v>7536.0400000000036</v>
      </c>
    </row>
    <row r="130" spans="1:13" ht="6.75" customHeight="1">
      <c r="A130" s="44"/>
      <c r="B130" s="44"/>
      <c r="C130" s="44"/>
      <c r="D130" s="44"/>
      <c r="E130" s="44"/>
      <c r="F130" s="44"/>
      <c r="G130" s="44"/>
      <c r="H130" s="44"/>
      <c r="I130" s="44"/>
      <c r="J130" s="44"/>
      <c r="K130" s="44"/>
      <c r="L130" s="44"/>
      <c r="M130" s="44"/>
    </row>
    <row r="131" spans="1:13">
      <c r="A131" t="s">
        <v>249</v>
      </c>
      <c r="D131" s="76" t="s">
        <v>256</v>
      </c>
      <c r="E131" s="76"/>
      <c r="F131" s="81">
        <f>SUM(Table215[May Usage])</f>
        <v>2048100</v>
      </c>
      <c r="G131" s="25">
        <f>SUM(Table215[[Base Rate ]])</f>
        <v>4196.7500000000045</v>
      </c>
      <c r="H131" s="25">
        <f>SUM(Table215[Tier1])</f>
        <v>960.99999999999932</v>
      </c>
      <c r="I131" s="25">
        <f>SUM(Table215[Tier2])</f>
        <v>511.06000000000012</v>
      </c>
      <c r="J131" s="25">
        <f>SUM(Table215[Tier3])</f>
        <v>451.35</v>
      </c>
      <c r="K131" s="25">
        <f>SUM(Table215[Tier4])</f>
        <v>1415.8799999999997</v>
      </c>
      <c r="L131" s="25">
        <f>SUM(G131:K131)</f>
        <v>7536.0400000000045</v>
      </c>
    </row>
    <row r="132" spans="1:13">
      <c r="A132" t="s">
        <v>250</v>
      </c>
    </row>
    <row r="133" spans="1:13">
      <c r="D133" t="s">
        <v>248</v>
      </c>
      <c r="E133" t="s">
        <v>148</v>
      </c>
      <c r="G133" t="s">
        <v>258</v>
      </c>
      <c r="H133" t="s">
        <v>166</v>
      </c>
      <c r="I133" t="s">
        <v>167</v>
      </c>
      <c r="J133" t="s">
        <v>169</v>
      </c>
      <c r="K133" t="s">
        <v>252</v>
      </c>
      <c r="L133" t="s">
        <v>251</v>
      </c>
    </row>
    <row r="134" spans="1:13">
      <c r="A134" t="s">
        <v>254</v>
      </c>
      <c r="D134">
        <v>82</v>
      </c>
      <c r="E134" s="25">
        <v>0</v>
      </c>
      <c r="G134" s="25">
        <f>SUM(G9:G121)-G136</f>
        <v>3287.3800000000028</v>
      </c>
      <c r="H134" s="80">
        <f>SUM(H9:H121)-H136</f>
        <v>682.34</v>
      </c>
      <c r="I134" s="25">
        <f>SUM(I9:I121)-I136</f>
        <v>384.56000000000006</v>
      </c>
      <c r="J134" s="25">
        <f>SUM(J9:J121)-J136</f>
        <v>303.85000000000002</v>
      </c>
      <c r="K134" s="25">
        <f>SUM(K9:K121)-K136</f>
        <v>249.65999999999997</v>
      </c>
      <c r="L134" s="25">
        <f>SUM(F134:K134)</f>
        <v>4907.7900000000036</v>
      </c>
    </row>
    <row r="135" spans="1:13">
      <c r="A135" t="s">
        <v>255</v>
      </c>
      <c r="D135">
        <v>8</v>
      </c>
      <c r="E135" s="25">
        <v>0</v>
      </c>
      <c r="G135" s="34">
        <f>SUM(G2:G6)+G8+G123+G127</f>
        <v>320.72000000000003</v>
      </c>
      <c r="H135" s="34">
        <f>SUM(H2:H6)+H8+H123+H127</f>
        <v>119.9</v>
      </c>
      <c r="I135" s="34">
        <f>SUM(I2:I6)+I8+I123+I127</f>
        <v>126.49999999999999</v>
      </c>
      <c r="J135" s="34">
        <f>SUM(J2:J6)+J8+J123+J127</f>
        <v>147.5</v>
      </c>
      <c r="K135" s="34">
        <f>SUM(K2:K6)+K8+K123+K127</f>
        <v>1166.2199999999998</v>
      </c>
      <c r="L135" s="25">
        <f t="shared" ref="L135:L138" si="15">SUM(F135:K135)</f>
        <v>1880.8399999999997</v>
      </c>
    </row>
    <row r="136" spans="1:13">
      <c r="A136" t="s">
        <v>260</v>
      </c>
      <c r="D136">
        <v>31</v>
      </c>
      <c r="E136" s="25">
        <v>0</v>
      </c>
      <c r="G136" s="25">
        <f>G110+G105+G103+G99+G98+G96+G95+G94+G88+G82+G75+G72+G68+G64+G61+G60+G59+G56+G52+G48+G47+G46+G42+G41+G40+G31+G30+G25+G24+G22+G14</f>
        <v>365.49000000000007</v>
      </c>
      <c r="H136" s="25">
        <f>H110+H105+H103+H99+H98+H96+H95+H94+H88+H82+H75+H72+H68+H64+H61+H60+H59+H56+H52+H48+H47+H46+H42+H41+H40+H31+H30+H25+H24+H22+H14</f>
        <v>0</v>
      </c>
      <c r="I136" s="25">
        <f>I110+I105+I103+I99+I98+I96+I95+I94+I88+I82+I75+I72+I68+I64+I61+I60+I59+I56+I52+I48+I47+I46+I42+I41+I40+I31+I30+I25+I24+I22+I14</f>
        <v>0</v>
      </c>
      <c r="J136" s="25">
        <f>J110+J105+J103+J99+J98+J96+J95+J94+J88+J82+J75+J72+J68+J64+J61+J60+J59+J56+J52+J48+J47+J46+J42+J41+J40+J31+J30+J25+J24+J22+J14</f>
        <v>0</v>
      </c>
      <c r="K136" s="25">
        <f>K110+K105+K103+K99+K98+K96+K95+K94+K88+K82+K75+K72+K68+K64+K61+K60+K59+K56+K52+K48+K47+K46+K42+K41+K40+K31+K30+K25+K24+K22+K14</f>
        <v>0</v>
      </c>
      <c r="L136" s="25">
        <f t="shared" si="15"/>
        <v>365.49000000000007</v>
      </c>
    </row>
    <row r="137" spans="1:13">
      <c r="A137" t="s">
        <v>261</v>
      </c>
      <c r="D137">
        <v>4</v>
      </c>
      <c r="E137" s="25">
        <v>0</v>
      </c>
      <c r="G137" s="25">
        <f>G126+G125+G124+G122</f>
        <v>47.16</v>
      </c>
      <c r="H137" s="25">
        <f>H126+H125+H124+H122</f>
        <v>0</v>
      </c>
      <c r="I137" s="25">
        <f>I126+I125+I124+I122</f>
        <v>0</v>
      </c>
      <c r="J137" s="25">
        <f>J126+J125+J124+J122</f>
        <v>0</v>
      </c>
      <c r="K137" s="25">
        <f>K126+K125+K124+K122</f>
        <v>0</v>
      </c>
      <c r="L137" s="25">
        <f t="shared" si="15"/>
        <v>47.16</v>
      </c>
    </row>
    <row r="138" spans="1:13">
      <c r="A138" t="s">
        <v>253</v>
      </c>
      <c r="D138">
        <v>1</v>
      </c>
      <c r="E138" s="25">
        <v>0</v>
      </c>
      <c r="G138" s="25">
        <f>G7</f>
        <v>176</v>
      </c>
      <c r="H138" s="25">
        <f>H7</f>
        <v>158.76</v>
      </c>
      <c r="I138" s="25">
        <f>I7</f>
        <v>0</v>
      </c>
      <c r="J138" s="25">
        <f>J7</f>
        <v>0</v>
      </c>
      <c r="K138" s="25">
        <f>K7</f>
        <v>0</v>
      </c>
      <c r="L138" s="25">
        <f t="shared" si="15"/>
        <v>334.76</v>
      </c>
    </row>
    <row r="139" spans="1:13" ht="15.75" thickBot="1">
      <c r="B139" t="s">
        <v>257</v>
      </c>
      <c r="D139" s="73">
        <f>SUM(D134:D138)</f>
        <v>126</v>
      </c>
      <c r="E139" s="73"/>
      <c r="F139" s="73"/>
      <c r="G139" s="74">
        <f t="shared" ref="G139:L139" si="16">SUM(G134:G138)</f>
        <v>4196.7500000000036</v>
      </c>
      <c r="H139" s="74">
        <f t="shared" si="16"/>
        <v>961</v>
      </c>
      <c r="I139" s="74">
        <f t="shared" si="16"/>
        <v>511.06000000000006</v>
      </c>
      <c r="J139" s="74">
        <f t="shared" si="16"/>
        <v>451.35</v>
      </c>
      <c r="K139" s="74">
        <f t="shared" si="16"/>
        <v>1415.8799999999997</v>
      </c>
      <c r="L139" s="74">
        <f t="shared" si="16"/>
        <v>7536.0400000000027</v>
      </c>
    </row>
    <row r="140" spans="1:13" ht="15.75" thickTop="1">
      <c r="D140" s="78"/>
      <c r="E140" s="78"/>
      <c r="F140" s="78"/>
      <c r="G140" s="79"/>
      <c r="H140" s="79"/>
      <c r="I140" s="79"/>
      <c r="J140" s="79"/>
      <c r="K140" s="79"/>
      <c r="L140" s="79"/>
    </row>
    <row r="141" spans="1:13">
      <c r="A141" t="s">
        <v>262</v>
      </c>
      <c r="D141" s="75"/>
      <c r="E141" s="25">
        <v>0</v>
      </c>
      <c r="F141" s="75"/>
      <c r="G141" s="81">
        <f>F131-G142-G143-(SUM(H144:K144))</f>
        <v>657100</v>
      </c>
      <c r="H141" s="81">
        <f>H134/2.18*1000</f>
        <v>313000</v>
      </c>
      <c r="I141" s="81">
        <f>I134/2.53*1000</f>
        <v>152000.00000000003</v>
      </c>
      <c r="J141" s="81">
        <f>J134/2.95*1000</f>
        <v>103000</v>
      </c>
      <c r="K141" s="81">
        <f>K134/3.42*1000</f>
        <v>72999.999999999985</v>
      </c>
      <c r="L141" s="81">
        <f>SUM(G141:K141)</f>
        <v>1298100</v>
      </c>
    </row>
    <row r="142" spans="1:13">
      <c r="A142" t="s">
        <v>263</v>
      </c>
      <c r="D142" s="75"/>
      <c r="E142" s="25">
        <v>0</v>
      </c>
      <c r="F142" s="75"/>
      <c r="G142" s="81">
        <f>(SUM(F2:F6)+F8+SUM(F122:F127)-H142-I142-J142-K142)</f>
        <v>70000.000000000058</v>
      </c>
      <c r="H142" s="81">
        <f>H135/2.18*1000</f>
        <v>55000</v>
      </c>
      <c r="I142" s="81">
        <f>I135/2.53*1000</f>
        <v>50000</v>
      </c>
      <c r="J142" s="81">
        <f>J135/2.95*1000</f>
        <v>50000</v>
      </c>
      <c r="K142" s="81">
        <f>K135/3.42*1000</f>
        <v>340999.99999999994</v>
      </c>
      <c r="L142" s="81">
        <f>SUM(G142:K142)</f>
        <v>566000</v>
      </c>
    </row>
    <row r="143" spans="1:13">
      <c r="A143" t="s">
        <v>264</v>
      </c>
      <c r="D143" s="75"/>
      <c r="E143" s="25">
        <v>0</v>
      </c>
      <c r="F143" s="75"/>
      <c r="G143" s="81">
        <f>IF(F7&gt;100000,100000,F7)</f>
        <v>100000</v>
      </c>
      <c r="H143" s="81">
        <f>H138/1.89*1000</f>
        <v>84000</v>
      </c>
      <c r="I143" s="81" t="s">
        <v>259</v>
      </c>
      <c r="J143" s="81" t="s">
        <v>259</v>
      </c>
      <c r="K143" s="81" t="s">
        <v>259</v>
      </c>
      <c r="L143" s="81">
        <f>SUM(G143:K143)</f>
        <v>184000</v>
      </c>
    </row>
    <row r="144" spans="1:13" ht="15.75" thickBot="1">
      <c r="B144" t="s">
        <v>265</v>
      </c>
      <c r="D144" s="77"/>
      <c r="E144" s="77"/>
      <c r="F144" s="77"/>
      <c r="G144" s="82">
        <f>G141+G142+G143</f>
        <v>827100</v>
      </c>
      <c r="H144" s="82">
        <f>SUM(H141:H143)</f>
        <v>452000</v>
      </c>
      <c r="I144" s="82">
        <f>SUM(I141:I143)</f>
        <v>202000.00000000003</v>
      </c>
      <c r="J144" s="82">
        <f>SUM(J141:J143)</f>
        <v>153000</v>
      </c>
      <c r="K144" s="82">
        <f>SUM(K141:K143)</f>
        <v>413999.99999999994</v>
      </c>
      <c r="L144" s="82">
        <f>SUM(L141:L143)</f>
        <v>2048100</v>
      </c>
    </row>
    <row r="145" ht="15.75" thickTop="1"/>
  </sheetData>
  <pageMargins left="0.7" right="0.7" top="0.83" bottom="0.89" header="0.3" footer="0.2"/>
  <pageSetup paperSize="3" scale="52" orientation="portrait" r:id="rId1"/>
  <headerFooter>
    <oddHeader>&amp;LHi-Country
Customer Usage Summary</oddHeader>
    <oddFooter>&amp;L&amp;A
&amp;F&amp;Rpage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sheetPr>
    <tabColor rgb="FFFFFF00"/>
  </sheetPr>
  <dimension ref="A1:G1048571"/>
  <sheetViews>
    <sheetView zoomScaleNormal="100" zoomScalePageLayoutView="25" workbookViewId="0"/>
  </sheetViews>
  <sheetFormatPr defaultRowHeight="15"/>
  <cols>
    <col min="1" max="1" width="3.5703125" customWidth="1"/>
    <col min="2" max="2" width="16.85546875" style="81" customWidth="1"/>
    <col min="3" max="3" width="13.85546875" style="81" bestFit="1" customWidth="1"/>
    <col min="4" max="5" width="12.5703125" style="81" customWidth="1"/>
    <col min="6" max="6" width="12.5703125" style="207" customWidth="1"/>
    <col min="7" max="7" width="12.5703125" customWidth="1"/>
  </cols>
  <sheetData>
    <row r="1" spans="1:7">
      <c r="A1" s="119" t="s">
        <v>366</v>
      </c>
      <c r="B1" s="118"/>
      <c r="C1" s="118"/>
      <c r="D1" s="118"/>
      <c r="E1" s="118"/>
      <c r="F1" s="206"/>
      <c r="G1" s="117"/>
    </row>
    <row r="2" spans="1:7" ht="15.75" thickBot="1">
      <c r="A2" s="46"/>
      <c r="B2" s="66"/>
      <c r="C2" s="58"/>
      <c r="D2" s="58"/>
      <c r="E2" s="58"/>
      <c r="F2" s="110"/>
    </row>
    <row r="3" spans="1:7" s="195" customFormat="1" ht="66.75" customHeight="1" thickBot="1">
      <c r="A3" s="201"/>
      <c r="B3" s="203" t="s">
        <v>396</v>
      </c>
      <c r="C3" s="202" t="s">
        <v>395</v>
      </c>
      <c r="D3" s="202" t="s">
        <v>394</v>
      </c>
      <c r="E3" s="202" t="s">
        <v>398</v>
      </c>
      <c r="F3" s="202" t="s">
        <v>400</v>
      </c>
    </row>
    <row r="4" spans="1:7">
      <c r="A4" s="46"/>
      <c r="B4" s="200" t="s">
        <v>224</v>
      </c>
      <c r="C4" s="58" t="s">
        <v>392</v>
      </c>
      <c r="D4" s="205">
        <f>'Oct12 SS'!E8</f>
        <v>332.97</v>
      </c>
      <c r="E4" s="110">
        <v>42</v>
      </c>
      <c r="F4" s="205">
        <f>D4/E4</f>
        <v>7.9278571428571434</v>
      </c>
    </row>
    <row r="5" spans="1:7">
      <c r="A5" s="46"/>
      <c r="B5" s="200" t="s">
        <v>226</v>
      </c>
      <c r="C5" s="58" t="s">
        <v>393</v>
      </c>
      <c r="D5" s="205">
        <f>'Aug12 SS'!E8</f>
        <v>341.97</v>
      </c>
      <c r="E5" s="212">
        <f>'Aug12 SS'!D155</f>
        <v>82</v>
      </c>
      <c r="F5" s="205">
        <f>D5/E5</f>
        <v>4.1703658536585371</v>
      </c>
    </row>
    <row r="6" spans="1:7" ht="15.75" thickBot="1">
      <c r="A6" s="46"/>
      <c r="B6" s="81" t="s">
        <v>279</v>
      </c>
      <c r="C6" s="58"/>
      <c r="D6" s="208">
        <f>SUM(D4:D5)</f>
        <v>674.94</v>
      </c>
      <c r="E6" s="210"/>
      <c r="F6" s="211"/>
    </row>
    <row r="7" spans="1:7" ht="15.75" thickTop="1">
      <c r="A7" s="46"/>
      <c r="B7" s="58"/>
      <c r="C7" s="58"/>
      <c r="D7" s="58"/>
      <c r="E7" s="110"/>
      <c r="F7" s="58"/>
    </row>
    <row r="8" spans="1:7">
      <c r="A8" s="46"/>
      <c r="B8" s="200" t="s">
        <v>235</v>
      </c>
      <c r="C8" s="58" t="s">
        <v>401</v>
      </c>
      <c r="D8" s="205">
        <f>'Oct11 SS'!E8</f>
        <v>2634.53</v>
      </c>
      <c r="E8" s="110">
        <f>'Oct11 SS'!D155</f>
        <v>126</v>
      </c>
      <c r="F8" s="205">
        <f>D8/E8</f>
        <v>20.908968253968254</v>
      </c>
    </row>
    <row r="9" spans="1:7">
      <c r="A9" s="46"/>
      <c r="B9" s="200" t="s">
        <v>236</v>
      </c>
      <c r="C9" s="58" t="s">
        <v>393</v>
      </c>
      <c r="D9" s="205">
        <f>+'Sep11 SS'!E8</f>
        <v>1925.81</v>
      </c>
      <c r="E9" s="110">
        <f>+'Sep11 SS'!D155</f>
        <v>88</v>
      </c>
      <c r="F9" s="205">
        <f>D9/E9</f>
        <v>21.884204545454544</v>
      </c>
    </row>
    <row r="10" spans="1:7">
      <c r="A10" s="46"/>
      <c r="B10" s="200" t="s">
        <v>237</v>
      </c>
      <c r="C10" s="58" t="s">
        <v>392</v>
      </c>
      <c r="D10" s="25">
        <f>+'Aug11 SS'!E8</f>
        <v>2666.11</v>
      </c>
      <c r="E10" s="212">
        <f>'Aug11 SS'!D155</f>
        <v>59</v>
      </c>
      <c r="F10" s="205">
        <f>D10/E10</f>
        <v>45.188305084745764</v>
      </c>
    </row>
    <row r="11" spans="1:7" ht="15.75" thickBot="1">
      <c r="B11" s="81" t="s">
        <v>279</v>
      </c>
      <c r="D11" s="208">
        <f>SUM(D8:D10)</f>
        <v>7226.4500000000007</v>
      </c>
      <c r="E11" s="210"/>
      <c r="F11" s="211"/>
    </row>
    <row r="12" spans="1:7" ht="15.75" thickTop="1">
      <c r="E12" s="207"/>
    </row>
    <row r="13" spans="1:7">
      <c r="E13" s="209"/>
    </row>
    <row r="14" spans="1:7" s="8" customFormat="1" ht="84.75" customHeight="1">
      <c r="A14" s="235" t="s">
        <v>402</v>
      </c>
      <c r="B14" s="235"/>
      <c r="C14" s="235"/>
      <c r="D14" s="235"/>
      <c r="E14" s="235"/>
      <c r="F14" s="235"/>
      <c r="G14" s="235"/>
    </row>
    <row r="15" spans="1:7" s="8" customFormat="1" ht="202.5" customHeight="1">
      <c r="A15" s="235" t="s">
        <v>399</v>
      </c>
      <c r="B15" s="235"/>
      <c r="C15" s="235"/>
      <c r="D15" s="235"/>
      <c r="E15" s="235"/>
      <c r="F15" s="235"/>
      <c r="G15" s="235"/>
    </row>
    <row r="16" spans="1:7" s="213" customFormat="1" ht="69.75" customHeight="1">
      <c r="A16" s="236" t="s">
        <v>408</v>
      </c>
      <c r="B16" s="236"/>
      <c r="C16" s="236"/>
      <c r="D16" s="236"/>
      <c r="E16" s="236"/>
      <c r="F16" s="236"/>
      <c r="G16" s="236"/>
    </row>
    <row r="17" spans="1:7" s="8" customFormat="1" ht="55.5" customHeight="1">
      <c r="A17" s="235" t="s">
        <v>405</v>
      </c>
      <c r="B17" s="235"/>
      <c r="C17" s="235"/>
      <c r="D17" s="235"/>
      <c r="E17" s="235"/>
      <c r="F17" s="235"/>
      <c r="G17" s="235"/>
    </row>
    <row r="1048571" spans="7:7">
      <c r="G1048571" s="205"/>
    </row>
  </sheetData>
  <mergeCells count="4">
    <mergeCell ref="A14:G14"/>
    <mergeCell ref="A15:G15"/>
    <mergeCell ref="A16:G16"/>
    <mergeCell ref="A17:G17"/>
  </mergeCells>
  <pageMargins left="0.7" right="0.7" top="0.83" bottom="0.39" header="0.3" footer="0.2"/>
  <pageSetup scale="85" orientation="portrait" horizontalDpi="4294967293" r:id="rId1"/>
  <headerFooter>
    <oddHeader>&amp;LHi-Country
Customer Usage Summary</oddHeader>
    <oddFooter>&amp;L&amp;A
&amp;F&amp;Rpage &amp;P of &amp;N</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M145"/>
  <sheetViews>
    <sheetView zoomScaleNormal="100" zoomScalePageLayoutView="25" workbookViewId="0"/>
  </sheetViews>
  <sheetFormatPr defaultRowHeight="15"/>
  <cols>
    <col min="1" max="1" width="13.140625" customWidth="1"/>
    <col min="2" max="2" width="10.7109375" customWidth="1"/>
    <col min="3" max="3" width="15.42578125" customWidth="1"/>
    <col min="4" max="5" width="14.85546875" customWidth="1"/>
    <col min="6" max="6" width="14.28515625" customWidth="1"/>
    <col min="7" max="7" width="13.5703125" customWidth="1"/>
    <col min="8" max="8" width="11.5703125" customWidth="1"/>
    <col min="9" max="9" width="11.28515625" customWidth="1"/>
    <col min="10" max="10" width="11.85546875" customWidth="1"/>
    <col min="11" max="11" width="11.42578125" customWidth="1"/>
    <col min="12" max="12" width="12.5703125" bestFit="1" customWidth="1"/>
    <col min="13" max="13" width="39.5703125" customWidth="1"/>
  </cols>
  <sheetData>
    <row r="1" spans="1:13">
      <c r="A1" s="28" t="s">
        <v>0</v>
      </c>
      <c r="B1" s="29" t="s">
        <v>137</v>
      </c>
      <c r="C1" s="30" t="s">
        <v>187</v>
      </c>
      <c r="D1" s="30" t="s">
        <v>188</v>
      </c>
      <c r="E1" s="30" t="s">
        <v>140</v>
      </c>
      <c r="F1" s="28" t="s">
        <v>189</v>
      </c>
      <c r="G1" s="28" t="s">
        <v>132</v>
      </c>
      <c r="H1" s="28" t="s">
        <v>128</v>
      </c>
      <c r="I1" s="28" t="s">
        <v>129</v>
      </c>
      <c r="J1" s="28" t="s">
        <v>130</v>
      </c>
      <c r="K1" s="28" t="s">
        <v>131</v>
      </c>
      <c r="L1" s="28" t="s">
        <v>135</v>
      </c>
      <c r="M1" s="28" t="s">
        <v>127</v>
      </c>
    </row>
    <row r="2" spans="1:13">
      <c r="A2" t="s">
        <v>1</v>
      </c>
      <c r="B2" s="31"/>
      <c r="C2">
        <v>6425000</v>
      </c>
      <c r="D2">
        <v>6500000</v>
      </c>
      <c r="E2">
        <v>0</v>
      </c>
      <c r="F2">
        <f>($D2-$C2)+$E2</f>
        <v>75000</v>
      </c>
      <c r="G2" s="25">
        <f>IF(OR($F2&gt;0,$B2=""),40.09,11.79)</f>
        <v>40.090000000000003</v>
      </c>
      <c r="H2" s="25">
        <f>IF(AND((($F2-10000)&gt;=0),(($F2-10000)&lt;= 10000)),($F2-10000)/1000*2.18,IF(($F2-10000)&gt;=10000,2.18*10,0))</f>
        <v>21.8</v>
      </c>
      <c r="I2" s="25">
        <f>IF(AND((($F2-20000)&gt;=0),(($F2-20000)&lt;=10000)),($F2-20000)/1000*2.53,IF(($F2-20000)&gt;=10000,2.53*10,0))</f>
        <v>25.299999999999997</v>
      </c>
      <c r="J2" s="25">
        <f>IF(AND((($F2-30000)&gt;=0),(($F2-30000)&lt;=10000)),($F2-30000)/1000*2.95,IF(($F2-30000)&gt;=10000,2.95*10,0))</f>
        <v>29.5</v>
      </c>
      <c r="K2" s="25">
        <f>IF((($F2-40000)&gt;=0),($F2-40000)/1000*3.42,0)</f>
        <v>119.7</v>
      </c>
      <c r="L2" s="25">
        <f t="shared" ref="L2:L6" si="0">SUM(G2:K2)</f>
        <v>236.39</v>
      </c>
    </row>
    <row r="3" spans="1:13">
      <c r="A3" t="s">
        <v>2</v>
      </c>
      <c r="B3" s="31"/>
      <c r="C3">
        <v>5906000</v>
      </c>
      <c r="D3">
        <v>5980000</v>
      </c>
      <c r="E3">
        <v>0</v>
      </c>
      <c r="F3">
        <f t="shared" ref="F3:F66" si="1">($D3-$C3)+$E3</f>
        <v>74000</v>
      </c>
      <c r="G3" s="25">
        <f>IF(OR($F3&gt;0,$B3=""),40.09,11.79)</f>
        <v>40.090000000000003</v>
      </c>
      <c r="H3" s="25">
        <f>IF(AND((($F3-10000)&gt;=0),(($F3-10000)&lt;= 10000)),($F3-10000)/1000*2.18,IF(($F3-10000)&gt;=10000,2.18*10,0))</f>
        <v>21.8</v>
      </c>
      <c r="I3" s="25">
        <f>IF(AND((($F3-20000)&gt;=0),(($F3-20000)&lt;=10000)),($F3-20000)/1000*2.53,IF(($F3-20000)&gt;=10000,2.53*10,0))</f>
        <v>25.299999999999997</v>
      </c>
      <c r="J3" s="25">
        <f>IF(AND((($F3-30000)&gt;=0),(($F3-30000)&lt;=10000)),($F3-30000)/1000*2.95,IF(($F3-30000)&gt;=10000,2.95*10,0))</f>
        <v>29.5</v>
      </c>
      <c r="K3" s="25">
        <f>IF((($F3-40000)&gt;=0),($F3-40000)/1000*3.42,0)</f>
        <v>116.28</v>
      </c>
      <c r="L3" s="25">
        <f t="shared" si="0"/>
        <v>232.97</v>
      </c>
    </row>
    <row r="4" spans="1:13">
      <c r="A4" t="s">
        <v>3</v>
      </c>
      <c r="B4" s="31"/>
      <c r="C4">
        <v>0</v>
      </c>
      <c r="D4">
        <v>0</v>
      </c>
      <c r="E4">
        <v>0</v>
      </c>
      <c r="F4">
        <f t="shared" si="1"/>
        <v>0</v>
      </c>
      <c r="G4" s="25">
        <f>IF(OR($F4&gt;0,$B4=""),40.09,11.79)</f>
        <v>40.090000000000003</v>
      </c>
      <c r="H4" s="25">
        <f>IF(AND((($F4-10000)&gt;=0),(($F4-10000)&lt;= 10000)),($F4-10000)/1000*2.18,IF(($F4-10000)&gt;=10000,2.18*10,0))</f>
        <v>0</v>
      </c>
      <c r="I4" s="25">
        <f>IF(AND((($F4-20000)&gt;=0),(($F4-20000)&lt;=10000)),($F4-20000)/1000*2.53,IF(($F4-20000)&gt;=10000,2.53*10,0))</f>
        <v>0</v>
      </c>
      <c r="J4" s="25">
        <f>IF(AND((($F4-30000)&gt;=0),(($F4-30000)&lt;=10000)),($F4-30000)/1000*2.95,IF(($F4-30000)&gt;=10000,2.95*10,0))</f>
        <v>0</v>
      </c>
      <c r="K4" s="25">
        <f>IF((($F4-40000)&gt;=0),($F4-40000)/1000*3.42,0)</f>
        <v>0</v>
      </c>
      <c r="L4" s="25">
        <f t="shared" si="0"/>
        <v>40.090000000000003</v>
      </c>
      <c r="M4" t="s">
        <v>134</v>
      </c>
    </row>
    <row r="5" spans="1:13">
      <c r="A5" t="s">
        <v>4</v>
      </c>
      <c r="B5" s="31"/>
      <c r="C5">
        <v>2488000</v>
      </c>
      <c r="D5">
        <v>2540000</v>
      </c>
      <c r="E5">
        <v>0</v>
      </c>
      <c r="F5">
        <f t="shared" si="1"/>
        <v>52000</v>
      </c>
      <c r="G5" s="25">
        <f>IF(OR($F5&gt;0,$B5=""),40.09,11.79)</f>
        <v>40.090000000000003</v>
      </c>
      <c r="H5" s="25">
        <f>IF(AND((($F5-10000)&gt;=0),(($F5-10000)&lt;= 10000)),($F5-10000)/1000*2.18,IF(($F5-10000)&gt;=10000,2.18*10,0))</f>
        <v>21.8</v>
      </c>
      <c r="I5" s="25">
        <f>IF(AND((($F5-20000)&gt;=0),(($F5-20000)&lt;=10000)),($F5-20000)/1000*2.53,IF(($F5-20000)&gt;=10000,2.53*10,0))</f>
        <v>25.299999999999997</v>
      </c>
      <c r="J5" s="25">
        <f>IF(AND((($F5-30000)&gt;=0),(($F5-30000)&lt;=10000)),($F5-30000)/1000*2.95,IF(($F5-30000)&gt;=10000,2.95*10,0))</f>
        <v>29.5</v>
      </c>
      <c r="K5" s="25">
        <f>IF((($F5-40000)&gt;=0),($F5-40000)/1000*3.42,0)</f>
        <v>41.04</v>
      </c>
      <c r="L5" s="25">
        <f t="shared" si="0"/>
        <v>157.72999999999999</v>
      </c>
    </row>
    <row r="6" spans="1:13">
      <c r="A6" t="s">
        <v>5</v>
      </c>
      <c r="B6" s="31"/>
      <c r="C6">
        <v>1687000</v>
      </c>
      <c r="D6">
        <v>1744000</v>
      </c>
      <c r="E6">
        <v>0</v>
      </c>
      <c r="F6">
        <f t="shared" si="1"/>
        <v>57000</v>
      </c>
      <c r="G6" s="25">
        <f>IF(OR($F6&gt;0,$B6=""),40.09,11.79)</f>
        <v>40.090000000000003</v>
      </c>
      <c r="H6" s="25">
        <f>IF(AND((($F6-10000)&gt;=0),(($F6-10000)&lt;= 10000)),($F6-10000)/1000*2.18,IF(($F6-10000)&gt;=10000,2.18*10,0))</f>
        <v>21.8</v>
      </c>
      <c r="I6" s="25">
        <f>IF(AND((($F6-20000)&gt;=0),(($F6-20000)&lt;=10000)),($F6-20000)/1000*2.53,IF(($F6-20000)&gt;=10000,2.53*10,0))</f>
        <v>25.299999999999997</v>
      </c>
      <c r="J6" s="25">
        <f>IF(AND((($F6-30000)&gt;=0),(($F6-30000)&lt;=10000)),($F6-30000)/1000*2.95,IF(($F6-30000)&gt;=10000,2.95*10,0))</f>
        <v>29.5</v>
      </c>
      <c r="K6" s="25">
        <f>IF((($F6-40000)&gt;=0),($F6-40000)/1000*3.42,0)</f>
        <v>58.14</v>
      </c>
      <c r="L6" s="25">
        <f t="shared" si="0"/>
        <v>174.82999999999998</v>
      </c>
    </row>
    <row r="7" spans="1:13">
      <c r="A7" t="s">
        <v>6</v>
      </c>
      <c r="B7" s="31"/>
      <c r="C7">
        <v>23762000</v>
      </c>
      <c r="D7">
        <v>23898000</v>
      </c>
      <c r="E7">
        <v>0</v>
      </c>
      <c r="F7">
        <f t="shared" si="1"/>
        <v>136000</v>
      </c>
      <c r="G7" s="25">
        <v>176</v>
      </c>
      <c r="H7" s="25">
        <f>IF(($F7-100000)&gt;=0,($F7-100000)/1000*1.89,0)</f>
        <v>68.039999999999992</v>
      </c>
      <c r="I7" s="25"/>
      <c r="J7" s="25"/>
      <c r="K7" s="25"/>
      <c r="L7" s="25">
        <f>SUM(G7:K7)</f>
        <v>244.04</v>
      </c>
      <c r="M7" t="s">
        <v>133</v>
      </c>
    </row>
    <row r="8" spans="1:13">
      <c r="A8" t="s">
        <v>7</v>
      </c>
      <c r="B8" s="31"/>
      <c r="C8">
        <v>442000</v>
      </c>
      <c r="D8">
        <v>452000</v>
      </c>
      <c r="E8">
        <v>0</v>
      </c>
      <c r="F8">
        <f t="shared" si="1"/>
        <v>10000</v>
      </c>
      <c r="G8" s="25">
        <f t="shared" ref="G8:G71" si="2">IF(OR($F8&gt;0,$B8=""),40.09,11.79)</f>
        <v>40.090000000000003</v>
      </c>
      <c r="H8" s="25">
        <f t="shared" ref="H8:H71" si="3">IF(AND((($F8-10000)&gt;=0),(($F8-10000)&lt;= 10000)),($F8-10000)/1000*2.18,IF(($F8-10000)&gt;=10000,2.18*10,0))</f>
        <v>0</v>
      </c>
      <c r="I8" s="25">
        <f t="shared" ref="I8:I71" si="4">IF(AND((($F8-20000)&gt;=0),(($F8-20000)&lt;=10000)),($F8-20000)/1000*2.53,IF(($F8-20000)&gt;=10000,2.53*10,0))</f>
        <v>0</v>
      </c>
      <c r="J8" s="25">
        <f t="shared" ref="J8:J71" si="5">IF(AND((($F8-30000)&gt;=0),(($F8-30000)&lt;=10000)),($F8-30000)/1000*2.95,IF(($F8-30000)&gt;=10000,2.95*10,0))</f>
        <v>0</v>
      </c>
      <c r="K8" s="25">
        <f t="shared" ref="K8:K71" si="6">IF((($F8-40000)&gt;=0),($F8-40000)/1000*3.42,0)</f>
        <v>0</v>
      </c>
      <c r="L8" s="25">
        <f t="shared" ref="L8:L66" si="7">SUM(G8:K8)</f>
        <v>40.090000000000003</v>
      </c>
    </row>
    <row r="9" spans="1:13">
      <c r="A9" t="s">
        <v>8</v>
      </c>
      <c r="B9" s="31"/>
      <c r="C9">
        <v>2097000</v>
      </c>
      <c r="D9">
        <v>2106000</v>
      </c>
      <c r="E9">
        <v>0</v>
      </c>
      <c r="F9">
        <f t="shared" si="1"/>
        <v>9000</v>
      </c>
      <c r="G9" s="25">
        <f t="shared" si="2"/>
        <v>40.090000000000003</v>
      </c>
      <c r="H9" s="25">
        <f t="shared" si="3"/>
        <v>0</v>
      </c>
      <c r="I9" s="25">
        <f t="shared" si="4"/>
        <v>0</v>
      </c>
      <c r="J9" s="25">
        <f t="shared" si="5"/>
        <v>0</v>
      </c>
      <c r="K9" s="25">
        <f t="shared" si="6"/>
        <v>0</v>
      </c>
      <c r="L9" s="25">
        <f t="shared" si="7"/>
        <v>40.090000000000003</v>
      </c>
    </row>
    <row r="10" spans="1:13">
      <c r="A10" t="s">
        <v>9</v>
      </c>
      <c r="B10" s="31"/>
      <c r="C10">
        <v>8000</v>
      </c>
      <c r="D10">
        <v>19000</v>
      </c>
      <c r="E10">
        <v>0</v>
      </c>
      <c r="F10">
        <f t="shared" si="1"/>
        <v>11000</v>
      </c>
      <c r="G10" s="25">
        <f t="shared" si="2"/>
        <v>40.090000000000003</v>
      </c>
      <c r="H10" s="25">
        <f t="shared" si="3"/>
        <v>2.1800000000000002</v>
      </c>
      <c r="I10" s="25">
        <f t="shared" si="4"/>
        <v>0</v>
      </c>
      <c r="J10" s="25">
        <f t="shared" si="5"/>
        <v>0</v>
      </c>
      <c r="K10" s="25">
        <f t="shared" si="6"/>
        <v>0</v>
      </c>
      <c r="L10" s="25">
        <f t="shared" si="7"/>
        <v>42.27</v>
      </c>
    </row>
    <row r="11" spans="1:13">
      <c r="A11" t="s">
        <v>10</v>
      </c>
      <c r="B11" s="31"/>
      <c r="C11">
        <v>1405000</v>
      </c>
      <c r="D11">
        <v>1415000</v>
      </c>
      <c r="E11">
        <v>0</v>
      </c>
      <c r="F11">
        <f t="shared" si="1"/>
        <v>10000</v>
      </c>
      <c r="G11" s="25">
        <f t="shared" si="2"/>
        <v>40.090000000000003</v>
      </c>
      <c r="H11" s="25">
        <f t="shared" si="3"/>
        <v>0</v>
      </c>
      <c r="I11" s="25">
        <f t="shared" si="4"/>
        <v>0</v>
      </c>
      <c r="J11" s="25">
        <f t="shared" si="5"/>
        <v>0</v>
      </c>
      <c r="K11" s="25">
        <f t="shared" si="6"/>
        <v>0</v>
      </c>
      <c r="L11" s="25">
        <f t="shared" si="7"/>
        <v>40.090000000000003</v>
      </c>
    </row>
    <row r="12" spans="1:13">
      <c r="A12" t="s">
        <v>11</v>
      </c>
      <c r="B12" s="31"/>
      <c r="C12">
        <v>1887000</v>
      </c>
      <c r="D12">
        <v>1899000</v>
      </c>
      <c r="E12">
        <v>0</v>
      </c>
      <c r="F12">
        <f t="shared" si="1"/>
        <v>12000</v>
      </c>
      <c r="G12" s="25">
        <f t="shared" si="2"/>
        <v>40.090000000000003</v>
      </c>
      <c r="H12" s="25">
        <f t="shared" si="3"/>
        <v>4.3600000000000003</v>
      </c>
      <c r="I12" s="25">
        <f t="shared" si="4"/>
        <v>0</v>
      </c>
      <c r="J12" s="25">
        <f t="shared" si="5"/>
        <v>0</v>
      </c>
      <c r="K12" s="25">
        <f t="shared" si="6"/>
        <v>0</v>
      </c>
      <c r="L12" s="25">
        <f t="shared" si="7"/>
        <v>44.45</v>
      </c>
    </row>
    <row r="13" spans="1:13">
      <c r="A13" t="s">
        <v>12</v>
      </c>
      <c r="B13" s="31"/>
      <c r="C13">
        <v>2027000</v>
      </c>
      <c r="D13">
        <v>2043000</v>
      </c>
      <c r="E13">
        <v>0</v>
      </c>
      <c r="F13">
        <f t="shared" si="1"/>
        <v>16000</v>
      </c>
      <c r="G13" s="25">
        <f t="shared" si="2"/>
        <v>40.090000000000003</v>
      </c>
      <c r="H13" s="25">
        <f t="shared" si="3"/>
        <v>13.080000000000002</v>
      </c>
      <c r="I13" s="25">
        <f t="shared" si="4"/>
        <v>0</v>
      </c>
      <c r="J13" s="25">
        <f t="shared" si="5"/>
        <v>0</v>
      </c>
      <c r="K13" s="25">
        <f t="shared" si="6"/>
        <v>0</v>
      </c>
      <c r="L13" s="25">
        <f t="shared" si="7"/>
        <v>53.17</v>
      </c>
    </row>
    <row r="14" spans="1:13">
      <c r="A14" t="s">
        <v>13</v>
      </c>
      <c r="B14" s="31" t="s">
        <v>138</v>
      </c>
      <c r="C14">
        <v>0</v>
      </c>
      <c r="D14">
        <v>0</v>
      </c>
      <c r="E14">
        <v>0</v>
      </c>
      <c r="F14">
        <f t="shared" si="1"/>
        <v>0</v>
      </c>
      <c r="G14" s="25">
        <f t="shared" si="2"/>
        <v>11.79</v>
      </c>
      <c r="H14" s="25">
        <f t="shared" si="3"/>
        <v>0</v>
      </c>
      <c r="I14" s="25">
        <f t="shared" si="4"/>
        <v>0</v>
      </c>
      <c r="J14" s="25">
        <f t="shared" si="5"/>
        <v>0</v>
      </c>
      <c r="K14" s="25">
        <f t="shared" si="6"/>
        <v>0</v>
      </c>
      <c r="L14" s="25">
        <f t="shared" si="7"/>
        <v>11.79</v>
      </c>
    </row>
    <row r="15" spans="1:13">
      <c r="A15" t="s">
        <v>14</v>
      </c>
      <c r="B15" s="31"/>
      <c r="C15">
        <v>6105000</v>
      </c>
      <c r="D15">
        <v>6109000</v>
      </c>
      <c r="E15">
        <v>0</v>
      </c>
      <c r="F15">
        <f t="shared" si="1"/>
        <v>4000</v>
      </c>
      <c r="G15" s="25">
        <f t="shared" si="2"/>
        <v>40.090000000000003</v>
      </c>
      <c r="H15" s="25">
        <f t="shared" si="3"/>
        <v>0</v>
      </c>
      <c r="I15" s="25">
        <f t="shared" si="4"/>
        <v>0</v>
      </c>
      <c r="J15" s="25">
        <f t="shared" si="5"/>
        <v>0</v>
      </c>
      <c r="K15" s="25">
        <f t="shared" si="6"/>
        <v>0</v>
      </c>
      <c r="L15" s="25">
        <f t="shared" si="7"/>
        <v>40.090000000000003</v>
      </c>
    </row>
    <row r="16" spans="1:13">
      <c r="A16" t="s">
        <v>15</v>
      </c>
      <c r="B16" s="31"/>
      <c r="C16">
        <v>2507000</v>
      </c>
      <c r="D16">
        <v>2510000</v>
      </c>
      <c r="E16">
        <v>0</v>
      </c>
      <c r="F16">
        <f t="shared" si="1"/>
        <v>3000</v>
      </c>
      <c r="G16" s="25">
        <f t="shared" si="2"/>
        <v>40.090000000000003</v>
      </c>
      <c r="H16" s="25">
        <f t="shared" si="3"/>
        <v>0</v>
      </c>
      <c r="I16" s="25">
        <f t="shared" si="4"/>
        <v>0</v>
      </c>
      <c r="J16" s="25">
        <f t="shared" si="5"/>
        <v>0</v>
      </c>
      <c r="K16" s="25">
        <f t="shared" si="6"/>
        <v>0</v>
      </c>
      <c r="L16" s="25">
        <f t="shared" si="7"/>
        <v>40.090000000000003</v>
      </c>
    </row>
    <row r="17" spans="1:12">
      <c r="A17" t="s">
        <v>16</v>
      </c>
      <c r="B17" s="31"/>
      <c r="C17">
        <v>1458000</v>
      </c>
      <c r="D17">
        <v>1461000</v>
      </c>
      <c r="E17">
        <v>0</v>
      </c>
      <c r="F17">
        <f t="shared" si="1"/>
        <v>3000</v>
      </c>
      <c r="G17" s="25">
        <f t="shared" si="2"/>
        <v>40.090000000000003</v>
      </c>
      <c r="H17" s="25">
        <f t="shared" si="3"/>
        <v>0</v>
      </c>
      <c r="I17" s="25">
        <f t="shared" si="4"/>
        <v>0</v>
      </c>
      <c r="J17" s="25">
        <f t="shared" si="5"/>
        <v>0</v>
      </c>
      <c r="K17" s="25">
        <f t="shared" si="6"/>
        <v>0</v>
      </c>
      <c r="L17" s="25">
        <f t="shared" si="7"/>
        <v>40.090000000000003</v>
      </c>
    </row>
    <row r="18" spans="1:12">
      <c r="A18" t="s">
        <v>17</v>
      </c>
      <c r="B18" s="31"/>
      <c r="C18">
        <v>1112000</v>
      </c>
      <c r="D18">
        <v>1116000</v>
      </c>
      <c r="E18">
        <v>0</v>
      </c>
      <c r="F18">
        <f t="shared" si="1"/>
        <v>4000</v>
      </c>
      <c r="G18" s="25">
        <f t="shared" si="2"/>
        <v>40.090000000000003</v>
      </c>
      <c r="H18" s="25">
        <f t="shared" si="3"/>
        <v>0</v>
      </c>
      <c r="I18" s="25">
        <f t="shared" si="4"/>
        <v>0</v>
      </c>
      <c r="J18" s="25">
        <f t="shared" si="5"/>
        <v>0</v>
      </c>
      <c r="K18" s="25">
        <f t="shared" si="6"/>
        <v>0</v>
      </c>
      <c r="L18" s="25">
        <f t="shared" si="7"/>
        <v>40.090000000000003</v>
      </c>
    </row>
    <row r="19" spans="1:12">
      <c r="A19" t="s">
        <v>18</v>
      </c>
      <c r="B19" s="31"/>
      <c r="C19">
        <v>3949000</v>
      </c>
      <c r="D19">
        <v>3957000</v>
      </c>
      <c r="E19">
        <v>0</v>
      </c>
      <c r="F19">
        <f t="shared" si="1"/>
        <v>8000</v>
      </c>
      <c r="G19" s="25">
        <f t="shared" si="2"/>
        <v>40.090000000000003</v>
      </c>
      <c r="H19" s="25">
        <f t="shared" si="3"/>
        <v>0</v>
      </c>
      <c r="I19" s="25">
        <f t="shared" si="4"/>
        <v>0</v>
      </c>
      <c r="J19" s="25">
        <f t="shared" si="5"/>
        <v>0</v>
      </c>
      <c r="K19" s="25">
        <f t="shared" si="6"/>
        <v>0</v>
      </c>
      <c r="L19" s="25">
        <f t="shared" si="7"/>
        <v>40.090000000000003</v>
      </c>
    </row>
    <row r="20" spans="1:12">
      <c r="A20" t="s">
        <v>19</v>
      </c>
      <c r="B20" s="31"/>
      <c r="C20">
        <v>980000</v>
      </c>
      <c r="D20">
        <v>988000</v>
      </c>
      <c r="E20">
        <v>0</v>
      </c>
      <c r="F20">
        <f t="shared" si="1"/>
        <v>8000</v>
      </c>
      <c r="G20" s="25">
        <f t="shared" si="2"/>
        <v>40.090000000000003</v>
      </c>
      <c r="H20" s="25">
        <f t="shared" si="3"/>
        <v>0</v>
      </c>
      <c r="I20" s="25">
        <f t="shared" si="4"/>
        <v>0</v>
      </c>
      <c r="J20" s="25">
        <f t="shared" si="5"/>
        <v>0</v>
      </c>
      <c r="K20" s="25">
        <f t="shared" si="6"/>
        <v>0</v>
      </c>
      <c r="L20" s="25">
        <f t="shared" si="7"/>
        <v>40.090000000000003</v>
      </c>
    </row>
    <row r="21" spans="1:12">
      <c r="A21" t="s">
        <v>20</v>
      </c>
      <c r="B21" s="31"/>
      <c r="C21">
        <v>2140000</v>
      </c>
      <c r="D21">
        <v>2142000</v>
      </c>
      <c r="E21">
        <v>0</v>
      </c>
      <c r="F21">
        <f t="shared" si="1"/>
        <v>2000</v>
      </c>
      <c r="G21" s="25">
        <f t="shared" si="2"/>
        <v>40.090000000000003</v>
      </c>
      <c r="H21" s="25">
        <f t="shared" si="3"/>
        <v>0</v>
      </c>
      <c r="I21" s="25">
        <f t="shared" si="4"/>
        <v>0</v>
      </c>
      <c r="J21" s="25">
        <f t="shared" si="5"/>
        <v>0</v>
      </c>
      <c r="K21" s="25">
        <f t="shared" si="6"/>
        <v>0</v>
      </c>
      <c r="L21" s="25">
        <f t="shared" si="7"/>
        <v>40.090000000000003</v>
      </c>
    </row>
    <row r="22" spans="1:12">
      <c r="A22" t="s">
        <v>21</v>
      </c>
      <c r="B22" s="31" t="s">
        <v>138</v>
      </c>
      <c r="C22">
        <v>0</v>
      </c>
      <c r="D22">
        <v>0</v>
      </c>
      <c r="E22">
        <v>0</v>
      </c>
      <c r="F22">
        <f t="shared" si="1"/>
        <v>0</v>
      </c>
      <c r="G22" s="25">
        <f t="shared" si="2"/>
        <v>11.79</v>
      </c>
      <c r="H22" s="25">
        <f t="shared" si="3"/>
        <v>0</v>
      </c>
      <c r="I22" s="25">
        <f t="shared" si="4"/>
        <v>0</v>
      </c>
      <c r="J22" s="25">
        <f t="shared" si="5"/>
        <v>0</v>
      </c>
      <c r="K22" s="25">
        <f t="shared" si="6"/>
        <v>0</v>
      </c>
      <c r="L22" s="25">
        <f t="shared" si="7"/>
        <v>11.79</v>
      </c>
    </row>
    <row r="23" spans="1:12">
      <c r="A23" t="s">
        <v>22</v>
      </c>
      <c r="B23" s="31"/>
      <c r="C23">
        <v>556000</v>
      </c>
      <c r="D23">
        <v>565000</v>
      </c>
      <c r="E23">
        <v>0</v>
      </c>
      <c r="F23">
        <f t="shared" si="1"/>
        <v>9000</v>
      </c>
      <c r="G23" s="25">
        <f t="shared" si="2"/>
        <v>40.090000000000003</v>
      </c>
      <c r="H23" s="25">
        <f t="shared" si="3"/>
        <v>0</v>
      </c>
      <c r="I23" s="25">
        <f t="shared" si="4"/>
        <v>0</v>
      </c>
      <c r="J23" s="25">
        <f t="shared" si="5"/>
        <v>0</v>
      </c>
      <c r="K23" s="25">
        <f t="shared" si="6"/>
        <v>0</v>
      </c>
      <c r="L23" s="25">
        <f t="shared" si="7"/>
        <v>40.090000000000003</v>
      </c>
    </row>
    <row r="24" spans="1:12">
      <c r="A24" t="s">
        <v>23</v>
      </c>
      <c r="B24" s="31" t="s">
        <v>138</v>
      </c>
      <c r="C24">
        <v>0</v>
      </c>
      <c r="D24">
        <v>0</v>
      </c>
      <c r="E24">
        <v>0</v>
      </c>
      <c r="F24">
        <f t="shared" si="1"/>
        <v>0</v>
      </c>
      <c r="G24" s="25">
        <f t="shared" si="2"/>
        <v>11.79</v>
      </c>
      <c r="H24" s="25">
        <f t="shared" si="3"/>
        <v>0</v>
      </c>
      <c r="I24" s="25">
        <f t="shared" si="4"/>
        <v>0</v>
      </c>
      <c r="J24" s="25">
        <f t="shared" si="5"/>
        <v>0</v>
      </c>
      <c r="K24" s="25">
        <f t="shared" si="6"/>
        <v>0</v>
      </c>
      <c r="L24" s="25">
        <f t="shared" si="7"/>
        <v>11.79</v>
      </c>
    </row>
    <row r="25" spans="1:12">
      <c r="A25" t="s">
        <v>24</v>
      </c>
      <c r="B25" s="31" t="s">
        <v>138</v>
      </c>
      <c r="C25">
        <v>0</v>
      </c>
      <c r="D25">
        <v>0</v>
      </c>
      <c r="E25">
        <v>0</v>
      </c>
      <c r="F25">
        <f t="shared" si="1"/>
        <v>0</v>
      </c>
      <c r="G25" s="25">
        <f t="shared" si="2"/>
        <v>11.79</v>
      </c>
      <c r="H25" s="25">
        <f t="shared" si="3"/>
        <v>0</v>
      </c>
      <c r="I25" s="25">
        <f t="shared" si="4"/>
        <v>0</v>
      </c>
      <c r="J25" s="25">
        <f t="shared" si="5"/>
        <v>0</v>
      </c>
      <c r="K25" s="25">
        <f t="shared" si="6"/>
        <v>0</v>
      </c>
      <c r="L25" s="25">
        <f t="shared" si="7"/>
        <v>11.79</v>
      </c>
    </row>
    <row r="26" spans="1:12">
      <c r="A26" t="s">
        <v>25</v>
      </c>
      <c r="B26" s="31"/>
      <c r="C26">
        <v>2161000</v>
      </c>
      <c r="D26">
        <v>2181000</v>
      </c>
      <c r="E26">
        <v>0</v>
      </c>
      <c r="F26">
        <f t="shared" si="1"/>
        <v>20000</v>
      </c>
      <c r="G26" s="25">
        <f t="shared" si="2"/>
        <v>40.090000000000003</v>
      </c>
      <c r="H26" s="25">
        <f t="shared" si="3"/>
        <v>21.8</v>
      </c>
      <c r="I26" s="25">
        <f t="shared" si="4"/>
        <v>0</v>
      </c>
      <c r="J26" s="25">
        <f t="shared" si="5"/>
        <v>0</v>
      </c>
      <c r="K26" s="25">
        <f t="shared" si="6"/>
        <v>0</v>
      </c>
      <c r="L26" s="25">
        <f t="shared" si="7"/>
        <v>61.89</v>
      </c>
    </row>
    <row r="27" spans="1:12">
      <c r="A27" t="s">
        <v>26</v>
      </c>
      <c r="B27" s="31"/>
      <c r="C27">
        <v>258000</v>
      </c>
      <c r="D27">
        <v>266000</v>
      </c>
      <c r="E27">
        <v>0</v>
      </c>
      <c r="F27">
        <f t="shared" si="1"/>
        <v>8000</v>
      </c>
      <c r="G27" s="25">
        <f t="shared" si="2"/>
        <v>40.090000000000003</v>
      </c>
      <c r="H27" s="25">
        <f t="shared" si="3"/>
        <v>0</v>
      </c>
      <c r="I27" s="25">
        <f t="shared" si="4"/>
        <v>0</v>
      </c>
      <c r="J27" s="25">
        <f t="shared" si="5"/>
        <v>0</v>
      </c>
      <c r="K27" s="25">
        <f t="shared" si="6"/>
        <v>0</v>
      </c>
      <c r="L27" s="25">
        <f t="shared" si="7"/>
        <v>40.090000000000003</v>
      </c>
    </row>
    <row r="28" spans="1:12">
      <c r="A28" t="s">
        <v>27</v>
      </c>
      <c r="B28" s="31"/>
      <c r="C28">
        <v>2107000</v>
      </c>
      <c r="D28">
        <v>2110000</v>
      </c>
      <c r="E28">
        <v>0</v>
      </c>
      <c r="F28">
        <f t="shared" si="1"/>
        <v>3000</v>
      </c>
      <c r="G28" s="25">
        <f t="shared" si="2"/>
        <v>40.090000000000003</v>
      </c>
      <c r="H28" s="25">
        <f t="shared" si="3"/>
        <v>0</v>
      </c>
      <c r="I28" s="25">
        <f t="shared" si="4"/>
        <v>0</v>
      </c>
      <c r="J28" s="25">
        <f t="shared" si="5"/>
        <v>0</v>
      </c>
      <c r="K28" s="25">
        <f t="shared" si="6"/>
        <v>0</v>
      </c>
      <c r="L28" s="25">
        <f t="shared" si="7"/>
        <v>40.090000000000003</v>
      </c>
    </row>
    <row r="29" spans="1:12">
      <c r="A29" t="s">
        <v>28</v>
      </c>
      <c r="B29" s="31"/>
      <c r="C29">
        <v>1275000</v>
      </c>
      <c r="D29">
        <v>1284000</v>
      </c>
      <c r="E29">
        <v>0</v>
      </c>
      <c r="F29">
        <f t="shared" si="1"/>
        <v>9000</v>
      </c>
      <c r="G29" s="25">
        <f t="shared" si="2"/>
        <v>40.090000000000003</v>
      </c>
      <c r="H29" s="25">
        <f t="shared" si="3"/>
        <v>0</v>
      </c>
      <c r="I29" s="25">
        <f t="shared" si="4"/>
        <v>0</v>
      </c>
      <c r="J29" s="25">
        <f t="shared" si="5"/>
        <v>0</v>
      </c>
      <c r="K29" s="25">
        <f t="shared" si="6"/>
        <v>0</v>
      </c>
      <c r="L29" s="25">
        <f t="shared" si="7"/>
        <v>40.090000000000003</v>
      </c>
    </row>
    <row r="30" spans="1:12">
      <c r="A30" t="s">
        <v>29</v>
      </c>
      <c r="B30" s="31" t="s">
        <v>138</v>
      </c>
      <c r="C30">
        <v>0</v>
      </c>
      <c r="D30">
        <v>0</v>
      </c>
      <c r="E30">
        <v>0</v>
      </c>
      <c r="F30">
        <f t="shared" si="1"/>
        <v>0</v>
      </c>
      <c r="G30" s="25">
        <f t="shared" si="2"/>
        <v>11.79</v>
      </c>
      <c r="H30" s="25">
        <f t="shared" si="3"/>
        <v>0</v>
      </c>
      <c r="I30" s="25">
        <f t="shared" si="4"/>
        <v>0</v>
      </c>
      <c r="J30" s="25">
        <f t="shared" si="5"/>
        <v>0</v>
      </c>
      <c r="K30" s="25">
        <f t="shared" si="6"/>
        <v>0</v>
      </c>
      <c r="L30" s="25">
        <f t="shared" si="7"/>
        <v>11.79</v>
      </c>
    </row>
    <row r="31" spans="1:12">
      <c r="A31" t="s">
        <v>30</v>
      </c>
      <c r="B31" s="31" t="s">
        <v>138</v>
      </c>
      <c r="C31">
        <v>0</v>
      </c>
      <c r="D31">
        <v>0</v>
      </c>
      <c r="E31">
        <v>0</v>
      </c>
      <c r="F31">
        <f t="shared" si="1"/>
        <v>0</v>
      </c>
      <c r="G31" s="25">
        <f t="shared" si="2"/>
        <v>11.79</v>
      </c>
      <c r="H31" s="25">
        <f t="shared" si="3"/>
        <v>0</v>
      </c>
      <c r="I31" s="25">
        <f t="shared" si="4"/>
        <v>0</v>
      </c>
      <c r="J31" s="25">
        <f t="shared" si="5"/>
        <v>0</v>
      </c>
      <c r="K31" s="25">
        <f t="shared" si="6"/>
        <v>0</v>
      </c>
      <c r="L31" s="25">
        <f t="shared" si="7"/>
        <v>11.79</v>
      </c>
    </row>
    <row r="32" spans="1:12">
      <c r="A32" t="s">
        <v>31</v>
      </c>
      <c r="B32" s="31"/>
      <c r="C32">
        <v>480000</v>
      </c>
      <c r="D32">
        <v>481000</v>
      </c>
      <c r="E32">
        <v>0</v>
      </c>
      <c r="F32">
        <f t="shared" si="1"/>
        <v>1000</v>
      </c>
      <c r="G32" s="25">
        <f t="shared" si="2"/>
        <v>40.090000000000003</v>
      </c>
      <c r="H32" s="25">
        <f t="shared" si="3"/>
        <v>0</v>
      </c>
      <c r="I32" s="25">
        <f t="shared" si="4"/>
        <v>0</v>
      </c>
      <c r="J32" s="25">
        <f t="shared" si="5"/>
        <v>0</v>
      </c>
      <c r="K32" s="25">
        <f t="shared" si="6"/>
        <v>0</v>
      </c>
      <c r="L32" s="25">
        <f t="shared" si="7"/>
        <v>40.090000000000003</v>
      </c>
    </row>
    <row r="33" spans="1:12">
      <c r="A33" t="s">
        <v>32</v>
      </c>
      <c r="B33" s="31"/>
      <c r="C33">
        <v>3800000</v>
      </c>
      <c r="D33">
        <v>3803000</v>
      </c>
      <c r="E33">
        <v>0</v>
      </c>
      <c r="F33">
        <f t="shared" si="1"/>
        <v>3000</v>
      </c>
      <c r="G33" s="25">
        <f t="shared" si="2"/>
        <v>40.090000000000003</v>
      </c>
      <c r="H33" s="25">
        <f t="shared" si="3"/>
        <v>0</v>
      </c>
      <c r="I33" s="25">
        <f t="shared" si="4"/>
        <v>0</v>
      </c>
      <c r="J33" s="25">
        <f t="shared" si="5"/>
        <v>0</v>
      </c>
      <c r="K33" s="25">
        <f t="shared" si="6"/>
        <v>0</v>
      </c>
      <c r="L33" s="25">
        <f t="shared" si="7"/>
        <v>40.090000000000003</v>
      </c>
    </row>
    <row r="34" spans="1:12">
      <c r="A34" t="s">
        <v>33</v>
      </c>
      <c r="B34" s="31"/>
      <c r="C34">
        <v>1117000</v>
      </c>
      <c r="D34">
        <v>1119000</v>
      </c>
      <c r="E34">
        <v>0</v>
      </c>
      <c r="F34">
        <f t="shared" si="1"/>
        <v>2000</v>
      </c>
      <c r="G34" s="25">
        <f t="shared" si="2"/>
        <v>40.090000000000003</v>
      </c>
      <c r="H34" s="25">
        <f t="shared" si="3"/>
        <v>0</v>
      </c>
      <c r="I34" s="25">
        <f t="shared" si="4"/>
        <v>0</v>
      </c>
      <c r="J34" s="25">
        <f t="shared" si="5"/>
        <v>0</v>
      </c>
      <c r="K34" s="25">
        <f t="shared" si="6"/>
        <v>0</v>
      </c>
      <c r="L34" s="25">
        <f t="shared" si="7"/>
        <v>40.090000000000003</v>
      </c>
    </row>
    <row r="35" spans="1:12">
      <c r="A35" t="s">
        <v>34</v>
      </c>
      <c r="B35" s="31"/>
      <c r="C35">
        <v>4074000</v>
      </c>
      <c r="D35">
        <v>4084000</v>
      </c>
      <c r="E35">
        <v>0</v>
      </c>
      <c r="F35">
        <f t="shared" si="1"/>
        <v>10000</v>
      </c>
      <c r="G35" s="25">
        <f t="shared" si="2"/>
        <v>40.090000000000003</v>
      </c>
      <c r="H35" s="25">
        <f t="shared" si="3"/>
        <v>0</v>
      </c>
      <c r="I35" s="25">
        <f t="shared" si="4"/>
        <v>0</v>
      </c>
      <c r="J35" s="25">
        <f t="shared" si="5"/>
        <v>0</v>
      </c>
      <c r="K35" s="25">
        <f t="shared" si="6"/>
        <v>0</v>
      </c>
      <c r="L35" s="25">
        <f t="shared" si="7"/>
        <v>40.090000000000003</v>
      </c>
    </row>
    <row r="36" spans="1:12">
      <c r="A36" t="s">
        <v>35</v>
      </c>
      <c r="B36" s="31"/>
      <c r="C36">
        <v>1261000</v>
      </c>
      <c r="D36">
        <v>1271000</v>
      </c>
      <c r="E36">
        <v>0</v>
      </c>
      <c r="F36">
        <f t="shared" si="1"/>
        <v>10000</v>
      </c>
      <c r="G36" s="25">
        <f t="shared" si="2"/>
        <v>40.090000000000003</v>
      </c>
      <c r="H36" s="25">
        <f t="shared" si="3"/>
        <v>0</v>
      </c>
      <c r="I36" s="25">
        <f t="shared" si="4"/>
        <v>0</v>
      </c>
      <c r="J36" s="25">
        <f t="shared" si="5"/>
        <v>0</v>
      </c>
      <c r="K36" s="25">
        <f t="shared" si="6"/>
        <v>0</v>
      </c>
      <c r="L36" s="25">
        <f t="shared" si="7"/>
        <v>40.090000000000003</v>
      </c>
    </row>
    <row r="37" spans="1:12">
      <c r="A37" t="s">
        <v>36</v>
      </c>
      <c r="B37" s="31"/>
      <c r="C37">
        <v>1576000</v>
      </c>
      <c r="D37">
        <v>1576000</v>
      </c>
      <c r="E37">
        <v>0</v>
      </c>
      <c r="F37">
        <f t="shared" si="1"/>
        <v>0</v>
      </c>
      <c r="G37" s="25">
        <f t="shared" si="2"/>
        <v>40.090000000000003</v>
      </c>
      <c r="H37" s="25">
        <f t="shared" si="3"/>
        <v>0</v>
      </c>
      <c r="I37" s="25">
        <f t="shared" si="4"/>
        <v>0</v>
      </c>
      <c r="J37" s="25">
        <f t="shared" si="5"/>
        <v>0</v>
      </c>
      <c r="K37" s="25">
        <f t="shared" si="6"/>
        <v>0</v>
      </c>
      <c r="L37" s="25">
        <f t="shared" si="7"/>
        <v>40.090000000000003</v>
      </c>
    </row>
    <row r="38" spans="1:12">
      <c r="A38" t="s">
        <v>37</v>
      </c>
      <c r="B38" s="31"/>
      <c r="C38">
        <v>1507000</v>
      </c>
      <c r="D38">
        <v>1520000</v>
      </c>
      <c r="E38">
        <v>0</v>
      </c>
      <c r="F38">
        <f t="shared" si="1"/>
        <v>13000</v>
      </c>
      <c r="G38" s="25">
        <f t="shared" si="2"/>
        <v>40.090000000000003</v>
      </c>
      <c r="H38" s="25">
        <f t="shared" si="3"/>
        <v>6.5400000000000009</v>
      </c>
      <c r="I38" s="25">
        <f t="shared" si="4"/>
        <v>0</v>
      </c>
      <c r="J38" s="25">
        <f t="shared" si="5"/>
        <v>0</v>
      </c>
      <c r="K38" s="25">
        <f t="shared" si="6"/>
        <v>0</v>
      </c>
      <c r="L38" s="25">
        <f t="shared" ref="L38" si="8">SUM(G38:K38)</f>
        <v>46.63</v>
      </c>
    </row>
    <row r="39" spans="1:12">
      <c r="A39" t="s">
        <v>38</v>
      </c>
      <c r="B39" s="31"/>
      <c r="C39">
        <v>1354000</v>
      </c>
      <c r="D39">
        <v>1364000</v>
      </c>
      <c r="E39">
        <v>0</v>
      </c>
      <c r="F39">
        <f t="shared" si="1"/>
        <v>10000</v>
      </c>
      <c r="G39" s="25">
        <f t="shared" si="2"/>
        <v>40.090000000000003</v>
      </c>
      <c r="H39" s="25">
        <f t="shared" si="3"/>
        <v>0</v>
      </c>
      <c r="I39" s="25">
        <f t="shared" si="4"/>
        <v>0</v>
      </c>
      <c r="J39" s="25">
        <f t="shared" si="5"/>
        <v>0</v>
      </c>
      <c r="K39" s="25">
        <f t="shared" si="6"/>
        <v>0</v>
      </c>
      <c r="L39" s="25">
        <f t="shared" si="7"/>
        <v>40.090000000000003</v>
      </c>
    </row>
    <row r="40" spans="1:12">
      <c r="A40" t="s">
        <v>39</v>
      </c>
      <c r="B40" s="31" t="s">
        <v>138</v>
      </c>
      <c r="C40">
        <v>0</v>
      </c>
      <c r="D40">
        <v>0</v>
      </c>
      <c r="E40">
        <v>0</v>
      </c>
      <c r="F40">
        <f t="shared" si="1"/>
        <v>0</v>
      </c>
      <c r="G40" s="25">
        <f t="shared" si="2"/>
        <v>11.79</v>
      </c>
      <c r="H40" s="25">
        <f t="shared" si="3"/>
        <v>0</v>
      </c>
      <c r="I40" s="25">
        <f t="shared" si="4"/>
        <v>0</v>
      </c>
      <c r="J40" s="25">
        <f t="shared" si="5"/>
        <v>0</v>
      </c>
      <c r="K40" s="25">
        <f t="shared" si="6"/>
        <v>0</v>
      </c>
      <c r="L40" s="25">
        <f t="shared" si="7"/>
        <v>11.79</v>
      </c>
    </row>
    <row r="41" spans="1:12">
      <c r="A41" t="s">
        <v>40</v>
      </c>
      <c r="B41" s="31" t="s">
        <v>138</v>
      </c>
      <c r="C41">
        <v>0</v>
      </c>
      <c r="D41">
        <v>0</v>
      </c>
      <c r="E41">
        <v>0</v>
      </c>
      <c r="F41">
        <f t="shared" si="1"/>
        <v>0</v>
      </c>
      <c r="G41" s="25">
        <f t="shared" si="2"/>
        <v>11.79</v>
      </c>
      <c r="H41" s="25">
        <f t="shared" si="3"/>
        <v>0</v>
      </c>
      <c r="I41" s="25">
        <f t="shared" si="4"/>
        <v>0</v>
      </c>
      <c r="J41" s="25">
        <f t="shared" si="5"/>
        <v>0</v>
      </c>
      <c r="K41" s="25">
        <f t="shared" si="6"/>
        <v>0</v>
      </c>
      <c r="L41" s="25">
        <f t="shared" si="7"/>
        <v>11.79</v>
      </c>
    </row>
    <row r="42" spans="1:12">
      <c r="A42" t="s">
        <v>41</v>
      </c>
      <c r="B42" s="31" t="s">
        <v>138</v>
      </c>
      <c r="C42">
        <v>0</v>
      </c>
      <c r="D42">
        <v>0</v>
      </c>
      <c r="E42">
        <v>0</v>
      </c>
      <c r="F42">
        <f t="shared" si="1"/>
        <v>0</v>
      </c>
      <c r="G42" s="25">
        <f t="shared" si="2"/>
        <v>11.79</v>
      </c>
      <c r="H42" s="25">
        <f t="shared" si="3"/>
        <v>0</v>
      </c>
      <c r="I42" s="25">
        <f t="shared" si="4"/>
        <v>0</v>
      </c>
      <c r="J42" s="25">
        <f t="shared" si="5"/>
        <v>0</v>
      </c>
      <c r="K42" s="25">
        <f t="shared" si="6"/>
        <v>0</v>
      </c>
      <c r="L42" s="25">
        <f t="shared" si="7"/>
        <v>11.79</v>
      </c>
    </row>
    <row r="43" spans="1:12">
      <c r="A43" t="s">
        <v>42</v>
      </c>
      <c r="B43" s="31"/>
      <c r="C43">
        <v>2969000</v>
      </c>
      <c r="D43">
        <v>2972000</v>
      </c>
      <c r="E43">
        <v>0</v>
      </c>
      <c r="F43">
        <f t="shared" si="1"/>
        <v>3000</v>
      </c>
      <c r="G43" s="25">
        <f t="shared" si="2"/>
        <v>40.090000000000003</v>
      </c>
      <c r="H43" s="25">
        <f t="shared" si="3"/>
        <v>0</v>
      </c>
      <c r="I43" s="25">
        <f t="shared" si="4"/>
        <v>0</v>
      </c>
      <c r="J43" s="25">
        <f t="shared" si="5"/>
        <v>0</v>
      </c>
      <c r="K43" s="25">
        <f t="shared" si="6"/>
        <v>0</v>
      </c>
      <c r="L43" s="25">
        <f t="shared" si="7"/>
        <v>40.090000000000003</v>
      </c>
    </row>
    <row r="44" spans="1:12">
      <c r="A44" t="s">
        <v>43</v>
      </c>
      <c r="B44" s="31"/>
      <c r="C44">
        <v>3121000</v>
      </c>
      <c r="D44">
        <v>3131000</v>
      </c>
      <c r="E44">
        <v>0</v>
      </c>
      <c r="F44">
        <f t="shared" si="1"/>
        <v>10000</v>
      </c>
      <c r="G44" s="25">
        <f t="shared" si="2"/>
        <v>40.090000000000003</v>
      </c>
      <c r="H44" s="25">
        <f t="shared" si="3"/>
        <v>0</v>
      </c>
      <c r="I44" s="25">
        <f t="shared" si="4"/>
        <v>0</v>
      </c>
      <c r="J44" s="25">
        <f t="shared" si="5"/>
        <v>0</v>
      </c>
      <c r="K44" s="25">
        <f t="shared" si="6"/>
        <v>0</v>
      </c>
      <c r="L44" s="25">
        <f t="shared" si="7"/>
        <v>40.090000000000003</v>
      </c>
    </row>
    <row r="45" spans="1:12">
      <c r="A45" t="s">
        <v>44</v>
      </c>
      <c r="B45" s="31"/>
      <c r="C45">
        <v>3907000</v>
      </c>
      <c r="D45">
        <v>3909000</v>
      </c>
      <c r="E45">
        <v>0</v>
      </c>
      <c r="F45">
        <f t="shared" si="1"/>
        <v>2000</v>
      </c>
      <c r="G45" s="25">
        <f t="shared" si="2"/>
        <v>40.090000000000003</v>
      </c>
      <c r="H45" s="25">
        <f t="shared" si="3"/>
        <v>0</v>
      </c>
      <c r="I45" s="25">
        <f t="shared" si="4"/>
        <v>0</v>
      </c>
      <c r="J45" s="25">
        <f t="shared" si="5"/>
        <v>0</v>
      </c>
      <c r="K45" s="25">
        <f t="shared" si="6"/>
        <v>0</v>
      </c>
      <c r="L45" s="25">
        <f t="shared" si="7"/>
        <v>40.090000000000003</v>
      </c>
    </row>
    <row r="46" spans="1:12">
      <c r="A46" t="s">
        <v>45</v>
      </c>
      <c r="B46" s="31" t="s">
        <v>138</v>
      </c>
      <c r="C46">
        <v>0</v>
      </c>
      <c r="D46">
        <v>0</v>
      </c>
      <c r="E46">
        <v>0</v>
      </c>
      <c r="F46">
        <f t="shared" si="1"/>
        <v>0</v>
      </c>
      <c r="G46" s="25">
        <f t="shared" si="2"/>
        <v>11.79</v>
      </c>
      <c r="H46" s="25">
        <f t="shared" si="3"/>
        <v>0</v>
      </c>
      <c r="I46" s="25">
        <f t="shared" si="4"/>
        <v>0</v>
      </c>
      <c r="J46" s="25">
        <f t="shared" si="5"/>
        <v>0</v>
      </c>
      <c r="K46" s="25">
        <f t="shared" si="6"/>
        <v>0</v>
      </c>
      <c r="L46" s="25">
        <f t="shared" si="7"/>
        <v>11.79</v>
      </c>
    </row>
    <row r="47" spans="1:12">
      <c r="A47" t="s">
        <v>46</v>
      </c>
      <c r="B47" s="31" t="s">
        <v>138</v>
      </c>
      <c r="C47">
        <v>0</v>
      </c>
      <c r="D47">
        <v>0</v>
      </c>
      <c r="E47">
        <v>0</v>
      </c>
      <c r="F47">
        <f t="shared" si="1"/>
        <v>0</v>
      </c>
      <c r="G47" s="25">
        <f t="shared" si="2"/>
        <v>11.79</v>
      </c>
      <c r="H47" s="25">
        <f t="shared" si="3"/>
        <v>0</v>
      </c>
      <c r="I47" s="25">
        <f t="shared" si="4"/>
        <v>0</v>
      </c>
      <c r="J47" s="25">
        <f t="shared" si="5"/>
        <v>0</v>
      </c>
      <c r="K47" s="25">
        <f t="shared" si="6"/>
        <v>0</v>
      </c>
      <c r="L47" s="25">
        <f t="shared" si="7"/>
        <v>11.79</v>
      </c>
    </row>
    <row r="48" spans="1:12">
      <c r="A48" t="s">
        <v>47</v>
      </c>
      <c r="B48" s="31" t="s">
        <v>138</v>
      </c>
      <c r="C48">
        <v>0</v>
      </c>
      <c r="D48">
        <v>0</v>
      </c>
      <c r="E48">
        <v>0</v>
      </c>
      <c r="F48">
        <f t="shared" si="1"/>
        <v>0</v>
      </c>
      <c r="G48" s="25">
        <f t="shared" si="2"/>
        <v>11.79</v>
      </c>
      <c r="H48" s="25">
        <f t="shared" si="3"/>
        <v>0</v>
      </c>
      <c r="I48" s="25">
        <f t="shared" si="4"/>
        <v>0</v>
      </c>
      <c r="J48" s="25">
        <f t="shared" si="5"/>
        <v>0</v>
      </c>
      <c r="K48" s="25">
        <f t="shared" si="6"/>
        <v>0</v>
      </c>
      <c r="L48" s="25">
        <f t="shared" si="7"/>
        <v>11.79</v>
      </c>
    </row>
    <row r="49" spans="1:12">
      <c r="A49" t="s">
        <v>48</v>
      </c>
      <c r="B49" s="31"/>
      <c r="C49">
        <v>1103000</v>
      </c>
      <c r="D49">
        <v>1106000</v>
      </c>
      <c r="E49">
        <v>0</v>
      </c>
      <c r="F49">
        <f t="shared" si="1"/>
        <v>3000</v>
      </c>
      <c r="G49" s="25">
        <f t="shared" si="2"/>
        <v>40.090000000000003</v>
      </c>
      <c r="H49" s="25">
        <f t="shared" si="3"/>
        <v>0</v>
      </c>
      <c r="I49" s="25">
        <f t="shared" si="4"/>
        <v>0</v>
      </c>
      <c r="J49" s="25">
        <f t="shared" si="5"/>
        <v>0</v>
      </c>
      <c r="K49" s="25">
        <f t="shared" si="6"/>
        <v>0</v>
      </c>
      <c r="L49" s="25">
        <f t="shared" si="7"/>
        <v>40.090000000000003</v>
      </c>
    </row>
    <row r="50" spans="1:12">
      <c r="A50" t="s">
        <v>49</v>
      </c>
      <c r="B50" s="31"/>
      <c r="C50">
        <v>829000</v>
      </c>
      <c r="D50">
        <v>837000</v>
      </c>
      <c r="E50">
        <v>0</v>
      </c>
      <c r="F50">
        <f t="shared" si="1"/>
        <v>8000</v>
      </c>
      <c r="G50" s="25">
        <f t="shared" si="2"/>
        <v>40.090000000000003</v>
      </c>
      <c r="H50" s="25">
        <f t="shared" si="3"/>
        <v>0</v>
      </c>
      <c r="I50" s="25">
        <f t="shared" si="4"/>
        <v>0</v>
      </c>
      <c r="J50" s="25">
        <f t="shared" si="5"/>
        <v>0</v>
      </c>
      <c r="K50" s="25">
        <f t="shared" si="6"/>
        <v>0</v>
      </c>
      <c r="L50" s="25">
        <f t="shared" si="7"/>
        <v>40.090000000000003</v>
      </c>
    </row>
    <row r="51" spans="1:12">
      <c r="A51" t="s">
        <v>50</v>
      </c>
      <c r="B51" s="31"/>
      <c r="C51">
        <v>3393000</v>
      </c>
      <c r="D51">
        <v>3395000</v>
      </c>
      <c r="E51">
        <v>0</v>
      </c>
      <c r="F51">
        <f t="shared" si="1"/>
        <v>2000</v>
      </c>
      <c r="G51" s="25">
        <f t="shared" si="2"/>
        <v>40.090000000000003</v>
      </c>
      <c r="H51" s="25">
        <f t="shared" si="3"/>
        <v>0</v>
      </c>
      <c r="I51" s="25">
        <f t="shared" si="4"/>
        <v>0</v>
      </c>
      <c r="J51" s="25">
        <f t="shared" si="5"/>
        <v>0</v>
      </c>
      <c r="K51" s="25">
        <f t="shared" si="6"/>
        <v>0</v>
      </c>
      <c r="L51" s="25">
        <f t="shared" si="7"/>
        <v>40.090000000000003</v>
      </c>
    </row>
    <row r="52" spans="1:12">
      <c r="A52" t="s">
        <v>51</v>
      </c>
      <c r="B52" s="31" t="s">
        <v>138</v>
      </c>
      <c r="C52">
        <v>0</v>
      </c>
      <c r="D52">
        <v>0</v>
      </c>
      <c r="E52">
        <v>0</v>
      </c>
      <c r="F52">
        <f t="shared" si="1"/>
        <v>0</v>
      </c>
      <c r="G52" s="25">
        <f t="shared" si="2"/>
        <v>11.79</v>
      </c>
      <c r="H52" s="25">
        <f t="shared" si="3"/>
        <v>0</v>
      </c>
      <c r="I52" s="25">
        <f t="shared" si="4"/>
        <v>0</v>
      </c>
      <c r="J52" s="25">
        <f t="shared" si="5"/>
        <v>0</v>
      </c>
      <c r="K52" s="25">
        <f t="shared" si="6"/>
        <v>0</v>
      </c>
      <c r="L52" s="25">
        <f t="shared" si="7"/>
        <v>11.79</v>
      </c>
    </row>
    <row r="53" spans="1:12">
      <c r="A53" t="s">
        <v>52</v>
      </c>
      <c r="B53" s="31"/>
      <c r="C53">
        <v>1666000</v>
      </c>
      <c r="D53">
        <v>1669000</v>
      </c>
      <c r="E53">
        <v>0</v>
      </c>
      <c r="F53">
        <f t="shared" si="1"/>
        <v>3000</v>
      </c>
      <c r="G53" s="25">
        <f t="shared" si="2"/>
        <v>40.090000000000003</v>
      </c>
      <c r="H53" s="25">
        <f t="shared" si="3"/>
        <v>0</v>
      </c>
      <c r="I53" s="25">
        <f t="shared" si="4"/>
        <v>0</v>
      </c>
      <c r="J53" s="25">
        <f t="shared" si="5"/>
        <v>0</v>
      </c>
      <c r="K53" s="25">
        <f t="shared" si="6"/>
        <v>0</v>
      </c>
      <c r="L53" s="25">
        <f t="shared" si="7"/>
        <v>40.090000000000003</v>
      </c>
    </row>
    <row r="54" spans="1:12">
      <c r="A54" t="s">
        <v>53</v>
      </c>
      <c r="B54" s="31"/>
      <c r="C54">
        <v>2202000</v>
      </c>
      <c r="D54">
        <v>2209000</v>
      </c>
      <c r="E54">
        <v>0</v>
      </c>
      <c r="F54">
        <f t="shared" si="1"/>
        <v>7000</v>
      </c>
      <c r="G54" s="25">
        <f t="shared" si="2"/>
        <v>40.090000000000003</v>
      </c>
      <c r="H54" s="25">
        <f t="shared" si="3"/>
        <v>0</v>
      </c>
      <c r="I54" s="25">
        <f t="shared" si="4"/>
        <v>0</v>
      </c>
      <c r="J54" s="25">
        <f t="shared" si="5"/>
        <v>0</v>
      </c>
      <c r="K54" s="25">
        <f t="shared" si="6"/>
        <v>0</v>
      </c>
      <c r="L54" s="25">
        <f t="shared" si="7"/>
        <v>40.090000000000003</v>
      </c>
    </row>
    <row r="55" spans="1:12">
      <c r="A55" t="s">
        <v>54</v>
      </c>
      <c r="B55" s="31"/>
      <c r="C55">
        <v>2672000</v>
      </c>
      <c r="D55">
        <v>2692000</v>
      </c>
      <c r="E55">
        <v>0</v>
      </c>
      <c r="F55">
        <f t="shared" si="1"/>
        <v>20000</v>
      </c>
      <c r="G55" s="25">
        <f t="shared" si="2"/>
        <v>40.090000000000003</v>
      </c>
      <c r="H55" s="25">
        <f t="shared" si="3"/>
        <v>21.8</v>
      </c>
      <c r="I55" s="25">
        <f t="shared" si="4"/>
        <v>0</v>
      </c>
      <c r="J55" s="25">
        <f t="shared" si="5"/>
        <v>0</v>
      </c>
      <c r="K55" s="25">
        <f t="shared" si="6"/>
        <v>0</v>
      </c>
      <c r="L55" s="25">
        <f t="shared" si="7"/>
        <v>61.89</v>
      </c>
    </row>
    <row r="56" spans="1:12">
      <c r="A56" t="s">
        <v>55</v>
      </c>
      <c r="B56" s="31" t="s">
        <v>138</v>
      </c>
      <c r="C56">
        <v>0</v>
      </c>
      <c r="D56">
        <v>0</v>
      </c>
      <c r="E56">
        <v>0</v>
      </c>
      <c r="F56">
        <f t="shared" si="1"/>
        <v>0</v>
      </c>
      <c r="G56" s="25">
        <f t="shared" si="2"/>
        <v>11.79</v>
      </c>
      <c r="H56" s="25">
        <f t="shared" si="3"/>
        <v>0</v>
      </c>
      <c r="I56" s="25">
        <f t="shared" si="4"/>
        <v>0</v>
      </c>
      <c r="J56" s="25">
        <f t="shared" si="5"/>
        <v>0</v>
      </c>
      <c r="K56" s="25">
        <f t="shared" si="6"/>
        <v>0</v>
      </c>
      <c r="L56" s="25">
        <f t="shared" si="7"/>
        <v>11.79</v>
      </c>
    </row>
    <row r="57" spans="1:12">
      <c r="A57" t="s">
        <v>56</v>
      </c>
      <c r="B57" s="31"/>
      <c r="C57">
        <v>1291000</v>
      </c>
      <c r="D57">
        <v>1297000</v>
      </c>
      <c r="E57">
        <v>0</v>
      </c>
      <c r="F57">
        <f t="shared" si="1"/>
        <v>6000</v>
      </c>
      <c r="G57" s="25">
        <f t="shared" si="2"/>
        <v>40.090000000000003</v>
      </c>
      <c r="H57" s="25">
        <f t="shared" si="3"/>
        <v>0</v>
      </c>
      <c r="I57" s="25">
        <f t="shared" si="4"/>
        <v>0</v>
      </c>
      <c r="J57" s="25">
        <f t="shared" si="5"/>
        <v>0</v>
      </c>
      <c r="K57" s="25">
        <f t="shared" si="6"/>
        <v>0</v>
      </c>
      <c r="L57" s="25">
        <f t="shared" si="7"/>
        <v>40.090000000000003</v>
      </c>
    </row>
    <row r="58" spans="1:12">
      <c r="A58" t="s">
        <v>57</v>
      </c>
      <c r="B58" s="31"/>
      <c r="C58">
        <v>1608000</v>
      </c>
      <c r="D58">
        <v>1609000</v>
      </c>
      <c r="E58">
        <v>0</v>
      </c>
      <c r="F58">
        <f t="shared" si="1"/>
        <v>1000</v>
      </c>
      <c r="G58" s="25">
        <f t="shared" si="2"/>
        <v>40.090000000000003</v>
      </c>
      <c r="H58" s="25">
        <f t="shared" si="3"/>
        <v>0</v>
      </c>
      <c r="I58" s="25">
        <f t="shared" si="4"/>
        <v>0</v>
      </c>
      <c r="J58" s="25">
        <f t="shared" si="5"/>
        <v>0</v>
      </c>
      <c r="K58" s="25">
        <f t="shared" si="6"/>
        <v>0</v>
      </c>
      <c r="L58" s="25">
        <f t="shared" si="7"/>
        <v>40.090000000000003</v>
      </c>
    </row>
    <row r="59" spans="1:12">
      <c r="A59" t="s">
        <v>58</v>
      </c>
      <c r="B59" s="31" t="s">
        <v>138</v>
      </c>
      <c r="C59">
        <v>0</v>
      </c>
      <c r="D59">
        <v>0</v>
      </c>
      <c r="E59">
        <v>0</v>
      </c>
      <c r="F59">
        <f t="shared" si="1"/>
        <v>0</v>
      </c>
      <c r="G59" s="25">
        <f t="shared" si="2"/>
        <v>11.79</v>
      </c>
      <c r="H59" s="25">
        <f t="shared" si="3"/>
        <v>0</v>
      </c>
      <c r="I59" s="25">
        <f t="shared" si="4"/>
        <v>0</v>
      </c>
      <c r="J59" s="25">
        <f t="shared" si="5"/>
        <v>0</v>
      </c>
      <c r="K59" s="25">
        <f t="shared" si="6"/>
        <v>0</v>
      </c>
      <c r="L59" s="25">
        <f t="shared" si="7"/>
        <v>11.79</v>
      </c>
    </row>
    <row r="60" spans="1:12">
      <c r="A60" t="s">
        <v>59</v>
      </c>
      <c r="B60" s="31" t="s">
        <v>138</v>
      </c>
      <c r="C60">
        <v>0</v>
      </c>
      <c r="D60">
        <v>0</v>
      </c>
      <c r="E60">
        <v>0</v>
      </c>
      <c r="F60">
        <f t="shared" si="1"/>
        <v>0</v>
      </c>
      <c r="G60" s="25">
        <f t="shared" si="2"/>
        <v>11.79</v>
      </c>
      <c r="H60" s="25">
        <f t="shared" si="3"/>
        <v>0</v>
      </c>
      <c r="I60" s="25">
        <f t="shared" si="4"/>
        <v>0</v>
      </c>
      <c r="J60" s="25">
        <f t="shared" si="5"/>
        <v>0</v>
      </c>
      <c r="K60" s="25">
        <f t="shared" si="6"/>
        <v>0</v>
      </c>
      <c r="L60" s="25">
        <f t="shared" si="7"/>
        <v>11.79</v>
      </c>
    </row>
    <row r="61" spans="1:12">
      <c r="A61" t="s">
        <v>60</v>
      </c>
      <c r="B61" s="31" t="s">
        <v>138</v>
      </c>
      <c r="C61">
        <v>0</v>
      </c>
      <c r="D61">
        <v>0</v>
      </c>
      <c r="E61">
        <v>0</v>
      </c>
      <c r="F61">
        <f t="shared" si="1"/>
        <v>0</v>
      </c>
      <c r="G61" s="25">
        <f t="shared" si="2"/>
        <v>11.79</v>
      </c>
      <c r="H61" s="25">
        <f t="shared" si="3"/>
        <v>0</v>
      </c>
      <c r="I61" s="25">
        <f t="shared" si="4"/>
        <v>0</v>
      </c>
      <c r="J61" s="25">
        <f t="shared" si="5"/>
        <v>0</v>
      </c>
      <c r="K61" s="25">
        <f t="shared" si="6"/>
        <v>0</v>
      </c>
      <c r="L61" s="25">
        <f t="shared" si="7"/>
        <v>11.79</v>
      </c>
    </row>
    <row r="62" spans="1:12">
      <c r="A62" t="s">
        <v>61</v>
      </c>
      <c r="B62" s="31"/>
      <c r="C62">
        <v>1294000</v>
      </c>
      <c r="D62">
        <v>1304000</v>
      </c>
      <c r="E62">
        <v>0</v>
      </c>
      <c r="F62">
        <f t="shared" si="1"/>
        <v>10000</v>
      </c>
      <c r="G62" s="25">
        <f t="shared" si="2"/>
        <v>40.090000000000003</v>
      </c>
      <c r="H62" s="25">
        <f t="shared" si="3"/>
        <v>0</v>
      </c>
      <c r="I62" s="25">
        <f t="shared" si="4"/>
        <v>0</v>
      </c>
      <c r="J62" s="25">
        <f t="shared" si="5"/>
        <v>0</v>
      </c>
      <c r="K62" s="25">
        <f t="shared" si="6"/>
        <v>0</v>
      </c>
      <c r="L62" s="25">
        <f t="shared" si="7"/>
        <v>40.090000000000003</v>
      </c>
    </row>
    <row r="63" spans="1:12">
      <c r="A63" t="s">
        <v>62</v>
      </c>
      <c r="B63" s="31"/>
      <c r="C63">
        <v>1854000</v>
      </c>
      <c r="D63">
        <v>1860000</v>
      </c>
      <c r="E63">
        <v>0</v>
      </c>
      <c r="F63">
        <f t="shared" si="1"/>
        <v>6000</v>
      </c>
      <c r="G63" s="25">
        <f t="shared" si="2"/>
        <v>40.090000000000003</v>
      </c>
      <c r="H63" s="25">
        <f t="shared" si="3"/>
        <v>0</v>
      </c>
      <c r="I63" s="25">
        <f t="shared" si="4"/>
        <v>0</v>
      </c>
      <c r="J63" s="25">
        <f t="shared" si="5"/>
        <v>0</v>
      </c>
      <c r="K63" s="25">
        <f t="shared" si="6"/>
        <v>0</v>
      </c>
      <c r="L63" s="25">
        <f t="shared" si="7"/>
        <v>40.090000000000003</v>
      </c>
    </row>
    <row r="64" spans="1:12">
      <c r="A64" t="s">
        <v>63</v>
      </c>
      <c r="B64" s="31" t="s">
        <v>138</v>
      </c>
      <c r="C64">
        <v>0</v>
      </c>
      <c r="D64">
        <v>0</v>
      </c>
      <c r="E64">
        <v>0</v>
      </c>
      <c r="F64">
        <f t="shared" si="1"/>
        <v>0</v>
      </c>
      <c r="G64" s="25">
        <f t="shared" si="2"/>
        <v>11.79</v>
      </c>
      <c r="H64" s="25">
        <f t="shared" si="3"/>
        <v>0</v>
      </c>
      <c r="I64" s="25">
        <f t="shared" si="4"/>
        <v>0</v>
      </c>
      <c r="J64" s="25">
        <f t="shared" si="5"/>
        <v>0</v>
      </c>
      <c r="K64" s="25">
        <f t="shared" si="6"/>
        <v>0</v>
      </c>
      <c r="L64" s="25">
        <f t="shared" si="7"/>
        <v>11.79</v>
      </c>
    </row>
    <row r="65" spans="1:13">
      <c r="A65" t="s">
        <v>64</v>
      </c>
      <c r="B65" s="31"/>
      <c r="C65">
        <v>4766000</v>
      </c>
      <c r="D65">
        <v>4771000</v>
      </c>
      <c r="E65">
        <v>0</v>
      </c>
      <c r="F65">
        <f t="shared" si="1"/>
        <v>5000</v>
      </c>
      <c r="G65" s="25">
        <f t="shared" si="2"/>
        <v>40.090000000000003</v>
      </c>
      <c r="H65" s="25">
        <f t="shared" si="3"/>
        <v>0</v>
      </c>
      <c r="I65" s="25">
        <f t="shared" si="4"/>
        <v>0</v>
      </c>
      <c r="J65" s="25">
        <f t="shared" si="5"/>
        <v>0</v>
      </c>
      <c r="K65" s="25">
        <f t="shared" si="6"/>
        <v>0</v>
      </c>
      <c r="L65" s="25">
        <f t="shared" si="7"/>
        <v>40.090000000000003</v>
      </c>
    </row>
    <row r="66" spans="1:13">
      <c r="A66" t="s">
        <v>65</v>
      </c>
      <c r="B66" s="31"/>
      <c r="C66">
        <v>6454000</v>
      </c>
      <c r="D66">
        <v>6456000</v>
      </c>
      <c r="E66">
        <v>0</v>
      </c>
      <c r="F66">
        <f t="shared" si="1"/>
        <v>2000</v>
      </c>
      <c r="G66" s="25">
        <f t="shared" si="2"/>
        <v>40.090000000000003</v>
      </c>
      <c r="H66" s="25">
        <f t="shared" si="3"/>
        <v>0</v>
      </c>
      <c r="I66" s="25">
        <f t="shared" si="4"/>
        <v>0</v>
      </c>
      <c r="J66" s="25">
        <f t="shared" si="5"/>
        <v>0</v>
      </c>
      <c r="K66" s="25">
        <f t="shared" si="6"/>
        <v>0</v>
      </c>
      <c r="L66" s="25">
        <f t="shared" si="7"/>
        <v>40.090000000000003</v>
      </c>
    </row>
    <row r="67" spans="1:13">
      <c r="A67" t="s">
        <v>66</v>
      </c>
      <c r="B67" s="31"/>
      <c r="C67">
        <v>9139000</v>
      </c>
      <c r="D67">
        <v>9142000</v>
      </c>
      <c r="E67">
        <v>0</v>
      </c>
      <c r="F67">
        <f t="shared" ref="F67:F127" si="9">($D67-$C67)+$E67</f>
        <v>3000</v>
      </c>
      <c r="G67" s="25">
        <f t="shared" si="2"/>
        <v>40.090000000000003</v>
      </c>
      <c r="H67" s="25">
        <f t="shared" si="3"/>
        <v>0</v>
      </c>
      <c r="I67" s="25">
        <f t="shared" si="4"/>
        <v>0</v>
      </c>
      <c r="J67" s="25">
        <f t="shared" si="5"/>
        <v>0</v>
      </c>
      <c r="K67" s="25">
        <f t="shared" si="6"/>
        <v>0</v>
      </c>
      <c r="L67" s="25">
        <f t="shared" ref="L67:L127" si="10">SUM(G67:K67)</f>
        <v>40.090000000000003</v>
      </c>
    </row>
    <row r="68" spans="1:13">
      <c r="A68" t="s">
        <v>67</v>
      </c>
      <c r="B68" s="31" t="s">
        <v>138</v>
      </c>
      <c r="C68">
        <v>0</v>
      </c>
      <c r="D68">
        <v>0</v>
      </c>
      <c r="E68">
        <v>0</v>
      </c>
      <c r="F68">
        <f t="shared" si="9"/>
        <v>0</v>
      </c>
      <c r="G68" s="25">
        <f t="shared" si="2"/>
        <v>11.79</v>
      </c>
      <c r="H68" s="25">
        <f t="shared" si="3"/>
        <v>0</v>
      </c>
      <c r="I68" s="25">
        <f t="shared" si="4"/>
        <v>0</v>
      </c>
      <c r="J68" s="25">
        <f t="shared" si="5"/>
        <v>0</v>
      </c>
      <c r="K68" s="25">
        <f t="shared" si="6"/>
        <v>0</v>
      </c>
      <c r="L68" s="25">
        <f t="shared" si="10"/>
        <v>11.79</v>
      </c>
    </row>
    <row r="69" spans="1:13">
      <c r="A69" t="s">
        <v>68</v>
      </c>
      <c r="B69" s="31"/>
      <c r="C69">
        <v>3436000</v>
      </c>
      <c r="D69">
        <v>3442000</v>
      </c>
      <c r="E69">
        <v>0</v>
      </c>
      <c r="F69">
        <f t="shared" si="9"/>
        <v>6000</v>
      </c>
      <c r="G69" s="25">
        <f t="shared" si="2"/>
        <v>40.090000000000003</v>
      </c>
      <c r="H69" s="25">
        <f t="shared" si="3"/>
        <v>0</v>
      </c>
      <c r="I69" s="25">
        <f t="shared" si="4"/>
        <v>0</v>
      </c>
      <c r="J69" s="25">
        <f t="shared" si="5"/>
        <v>0</v>
      </c>
      <c r="K69" s="25">
        <f t="shared" si="6"/>
        <v>0</v>
      </c>
      <c r="L69" s="25">
        <f t="shared" si="10"/>
        <v>40.090000000000003</v>
      </c>
    </row>
    <row r="70" spans="1:13">
      <c r="A70" t="s">
        <v>69</v>
      </c>
      <c r="B70" s="31"/>
      <c r="C70">
        <v>2187000</v>
      </c>
      <c r="D70">
        <v>2198000</v>
      </c>
      <c r="E70">
        <v>0</v>
      </c>
      <c r="F70">
        <f t="shared" si="9"/>
        <v>11000</v>
      </c>
      <c r="G70" s="25">
        <f t="shared" si="2"/>
        <v>40.090000000000003</v>
      </c>
      <c r="H70" s="25">
        <f t="shared" si="3"/>
        <v>2.1800000000000002</v>
      </c>
      <c r="I70" s="25">
        <f t="shared" si="4"/>
        <v>0</v>
      </c>
      <c r="J70" s="25">
        <f t="shared" si="5"/>
        <v>0</v>
      </c>
      <c r="K70" s="25">
        <f t="shared" si="6"/>
        <v>0</v>
      </c>
      <c r="L70" s="25">
        <f t="shared" si="10"/>
        <v>42.27</v>
      </c>
    </row>
    <row r="71" spans="1:13">
      <c r="A71" t="s">
        <v>70</v>
      </c>
      <c r="B71" s="31"/>
      <c r="C71">
        <v>1279000</v>
      </c>
      <c r="D71">
        <v>1287000</v>
      </c>
      <c r="E71">
        <v>0</v>
      </c>
      <c r="F71">
        <f t="shared" si="9"/>
        <v>8000</v>
      </c>
      <c r="G71" s="25">
        <f t="shared" si="2"/>
        <v>40.090000000000003</v>
      </c>
      <c r="H71" s="25">
        <f t="shared" si="3"/>
        <v>0</v>
      </c>
      <c r="I71" s="25">
        <f t="shared" si="4"/>
        <v>0</v>
      </c>
      <c r="J71" s="25">
        <f t="shared" si="5"/>
        <v>0</v>
      </c>
      <c r="K71" s="25">
        <f t="shared" si="6"/>
        <v>0</v>
      </c>
      <c r="L71" s="25">
        <f t="shared" si="10"/>
        <v>40.090000000000003</v>
      </c>
    </row>
    <row r="72" spans="1:13">
      <c r="A72" t="s">
        <v>71</v>
      </c>
      <c r="B72" s="31" t="s">
        <v>138</v>
      </c>
      <c r="C72">
        <v>0</v>
      </c>
      <c r="D72">
        <v>0</v>
      </c>
      <c r="E72">
        <v>0</v>
      </c>
      <c r="F72">
        <f t="shared" si="9"/>
        <v>0</v>
      </c>
      <c r="G72" s="25">
        <f t="shared" ref="G72:G127" si="11">IF(OR($F72&gt;0,$B72=""),40.09,11.79)</f>
        <v>11.79</v>
      </c>
      <c r="H72" s="25">
        <f t="shared" ref="H72:H127" si="12">IF(AND((($F72-10000)&gt;=0),(($F72-10000)&lt;= 10000)),($F72-10000)/1000*2.18,IF(($F72-10000)&gt;=10000,2.18*10,0))</f>
        <v>0</v>
      </c>
      <c r="I72" s="25">
        <f t="shared" ref="I72:I127" si="13">IF(AND((($F72-20000)&gt;=0),(($F72-20000)&lt;=10000)),($F72-20000)/1000*2.53,IF(($F72-20000)&gt;=10000,2.53*10,0))</f>
        <v>0</v>
      </c>
      <c r="J72" s="25">
        <f t="shared" ref="J72:J127" si="14">IF(AND((($F72-30000)&gt;=0),(($F72-30000)&lt;=10000)),($F72-30000)/1000*2.95,IF(($F72-30000)&gt;=10000,2.95*10,0))</f>
        <v>0</v>
      </c>
      <c r="K72" s="25">
        <f t="shared" ref="K72:K127" si="15">IF((($F72-40000)&gt;=0),($F72-40000)/1000*3.42,0)</f>
        <v>0</v>
      </c>
      <c r="L72" s="25">
        <f t="shared" si="10"/>
        <v>11.79</v>
      </c>
    </row>
    <row r="73" spans="1:13">
      <c r="A73" s="16" t="s">
        <v>72</v>
      </c>
      <c r="B73" s="32"/>
      <c r="C73" s="16">
        <v>3336000</v>
      </c>
      <c r="D73" s="16">
        <v>3340000</v>
      </c>
      <c r="E73" s="16">
        <v>0</v>
      </c>
      <c r="F73" s="16">
        <f t="shared" si="9"/>
        <v>4000</v>
      </c>
      <c r="G73" s="33">
        <f t="shared" si="11"/>
        <v>40.090000000000003</v>
      </c>
      <c r="H73" s="33">
        <f t="shared" si="12"/>
        <v>0</v>
      </c>
      <c r="I73" s="33">
        <f t="shared" si="13"/>
        <v>0</v>
      </c>
      <c r="J73" s="33">
        <f t="shared" si="14"/>
        <v>0</v>
      </c>
      <c r="K73" s="33">
        <f t="shared" si="15"/>
        <v>0</v>
      </c>
      <c r="L73" s="33">
        <f t="shared" si="10"/>
        <v>40.090000000000003</v>
      </c>
      <c r="M73" s="16" t="s">
        <v>139</v>
      </c>
    </row>
    <row r="74" spans="1:13">
      <c r="A74" t="s">
        <v>73</v>
      </c>
      <c r="B74" s="31"/>
      <c r="C74">
        <v>1872000</v>
      </c>
      <c r="D74">
        <v>1880000</v>
      </c>
      <c r="E74">
        <v>0</v>
      </c>
      <c r="F74">
        <f t="shared" si="9"/>
        <v>8000</v>
      </c>
      <c r="G74" s="25">
        <f t="shared" si="11"/>
        <v>40.090000000000003</v>
      </c>
      <c r="H74" s="25">
        <f t="shared" si="12"/>
        <v>0</v>
      </c>
      <c r="I74" s="25">
        <f t="shared" si="13"/>
        <v>0</v>
      </c>
      <c r="J74" s="25">
        <f t="shared" si="14"/>
        <v>0</v>
      </c>
      <c r="K74" s="25">
        <f t="shared" si="15"/>
        <v>0</v>
      </c>
      <c r="L74" s="25">
        <f t="shared" si="10"/>
        <v>40.090000000000003</v>
      </c>
    </row>
    <row r="75" spans="1:13">
      <c r="A75" t="s">
        <v>74</v>
      </c>
      <c r="B75" s="31" t="s">
        <v>138</v>
      </c>
      <c r="C75">
        <v>0</v>
      </c>
      <c r="D75">
        <v>0</v>
      </c>
      <c r="E75">
        <v>0</v>
      </c>
      <c r="F75">
        <f t="shared" si="9"/>
        <v>0</v>
      </c>
      <c r="G75" s="25">
        <f t="shared" si="11"/>
        <v>11.79</v>
      </c>
      <c r="H75" s="25">
        <f t="shared" si="12"/>
        <v>0</v>
      </c>
      <c r="I75" s="25">
        <f t="shared" si="13"/>
        <v>0</v>
      </c>
      <c r="J75" s="25">
        <f t="shared" si="14"/>
        <v>0</v>
      </c>
      <c r="K75" s="25">
        <f t="shared" si="15"/>
        <v>0</v>
      </c>
      <c r="L75" s="25">
        <f t="shared" si="10"/>
        <v>11.79</v>
      </c>
    </row>
    <row r="76" spans="1:13">
      <c r="A76" t="s">
        <v>75</v>
      </c>
      <c r="B76" s="31"/>
      <c r="C76">
        <v>707000</v>
      </c>
      <c r="D76">
        <v>709000</v>
      </c>
      <c r="E76">
        <v>0</v>
      </c>
      <c r="F76">
        <f t="shared" si="9"/>
        <v>2000</v>
      </c>
      <c r="G76" s="25">
        <f t="shared" si="11"/>
        <v>40.090000000000003</v>
      </c>
      <c r="H76" s="25">
        <f t="shared" si="12"/>
        <v>0</v>
      </c>
      <c r="I76" s="25">
        <f t="shared" si="13"/>
        <v>0</v>
      </c>
      <c r="J76" s="25">
        <f t="shared" si="14"/>
        <v>0</v>
      </c>
      <c r="K76" s="25">
        <f t="shared" si="15"/>
        <v>0</v>
      </c>
      <c r="L76" s="25">
        <f t="shared" si="10"/>
        <v>40.090000000000003</v>
      </c>
    </row>
    <row r="77" spans="1:13">
      <c r="A77" s="16" t="s">
        <v>76</v>
      </c>
      <c r="B77" s="32"/>
      <c r="C77" s="16">
        <v>4286000</v>
      </c>
      <c r="D77" s="16">
        <v>4292000</v>
      </c>
      <c r="E77" s="16">
        <v>0</v>
      </c>
      <c r="F77" s="16">
        <f t="shared" si="9"/>
        <v>6000</v>
      </c>
      <c r="G77" s="33">
        <f t="shared" si="11"/>
        <v>40.090000000000003</v>
      </c>
      <c r="H77" s="33">
        <f t="shared" si="12"/>
        <v>0</v>
      </c>
      <c r="I77" s="33">
        <f t="shared" si="13"/>
        <v>0</v>
      </c>
      <c r="J77" s="33">
        <f t="shared" si="14"/>
        <v>0</v>
      </c>
      <c r="K77" s="33">
        <f t="shared" si="15"/>
        <v>0</v>
      </c>
      <c r="L77" s="33">
        <f t="shared" si="10"/>
        <v>40.090000000000003</v>
      </c>
      <c r="M77" s="16" t="s">
        <v>139</v>
      </c>
    </row>
    <row r="78" spans="1:13">
      <c r="A78" t="s">
        <v>77</v>
      </c>
      <c r="B78" s="31"/>
      <c r="C78">
        <v>50000</v>
      </c>
      <c r="D78">
        <v>54000</v>
      </c>
      <c r="E78">
        <v>0</v>
      </c>
      <c r="F78">
        <f t="shared" si="9"/>
        <v>4000</v>
      </c>
      <c r="G78" s="25">
        <f t="shared" si="11"/>
        <v>40.090000000000003</v>
      </c>
      <c r="H78" s="25">
        <f t="shared" si="12"/>
        <v>0</v>
      </c>
      <c r="I78" s="25">
        <f t="shared" si="13"/>
        <v>0</v>
      </c>
      <c r="J78" s="25">
        <f t="shared" si="14"/>
        <v>0</v>
      </c>
      <c r="K78" s="25">
        <f t="shared" si="15"/>
        <v>0</v>
      </c>
      <c r="L78" s="25">
        <f t="shared" si="10"/>
        <v>40.090000000000003</v>
      </c>
    </row>
    <row r="79" spans="1:13">
      <c r="A79" t="s">
        <v>78</v>
      </c>
      <c r="B79" s="31"/>
      <c r="C79">
        <v>1043000</v>
      </c>
      <c r="D79">
        <v>1045000</v>
      </c>
      <c r="E79">
        <v>0</v>
      </c>
      <c r="F79">
        <f t="shared" si="9"/>
        <v>2000</v>
      </c>
      <c r="G79" s="25">
        <f t="shared" si="11"/>
        <v>40.090000000000003</v>
      </c>
      <c r="H79" s="25">
        <f t="shared" si="12"/>
        <v>0</v>
      </c>
      <c r="I79" s="25">
        <f t="shared" si="13"/>
        <v>0</v>
      </c>
      <c r="J79" s="25">
        <f t="shared" si="14"/>
        <v>0</v>
      </c>
      <c r="K79" s="25">
        <f t="shared" si="15"/>
        <v>0</v>
      </c>
      <c r="L79" s="25">
        <f t="shared" si="10"/>
        <v>40.090000000000003</v>
      </c>
    </row>
    <row r="80" spans="1:13">
      <c r="A80" t="s">
        <v>79</v>
      </c>
      <c r="B80" s="31"/>
      <c r="C80">
        <v>3374000</v>
      </c>
      <c r="D80">
        <v>3380000</v>
      </c>
      <c r="E80">
        <v>0</v>
      </c>
      <c r="F80">
        <f t="shared" si="9"/>
        <v>6000</v>
      </c>
      <c r="G80" s="25">
        <f t="shared" si="11"/>
        <v>40.090000000000003</v>
      </c>
      <c r="H80" s="25">
        <f t="shared" si="12"/>
        <v>0</v>
      </c>
      <c r="I80" s="25">
        <f t="shared" si="13"/>
        <v>0</v>
      </c>
      <c r="J80" s="25">
        <f t="shared" si="14"/>
        <v>0</v>
      </c>
      <c r="K80" s="25">
        <f t="shared" si="15"/>
        <v>0</v>
      </c>
      <c r="L80" s="25">
        <f t="shared" si="10"/>
        <v>40.090000000000003</v>
      </c>
    </row>
    <row r="81" spans="1:12">
      <c r="A81" t="s">
        <v>80</v>
      </c>
      <c r="B81" s="31"/>
      <c r="C81">
        <v>2980000</v>
      </c>
      <c r="D81">
        <v>2984000</v>
      </c>
      <c r="E81">
        <v>0</v>
      </c>
      <c r="F81">
        <f t="shared" si="9"/>
        <v>4000</v>
      </c>
      <c r="G81" s="25">
        <f t="shared" si="11"/>
        <v>40.090000000000003</v>
      </c>
      <c r="H81" s="25">
        <f t="shared" si="12"/>
        <v>0</v>
      </c>
      <c r="I81" s="25">
        <f t="shared" si="13"/>
        <v>0</v>
      </c>
      <c r="J81" s="25">
        <f t="shared" si="14"/>
        <v>0</v>
      </c>
      <c r="K81" s="25">
        <f t="shared" si="15"/>
        <v>0</v>
      </c>
      <c r="L81" s="25">
        <f t="shared" si="10"/>
        <v>40.090000000000003</v>
      </c>
    </row>
    <row r="82" spans="1:12">
      <c r="A82" t="s">
        <v>81</v>
      </c>
      <c r="B82" s="31" t="s">
        <v>138</v>
      </c>
      <c r="C82">
        <v>0</v>
      </c>
      <c r="D82">
        <v>0</v>
      </c>
      <c r="E82">
        <v>0</v>
      </c>
      <c r="F82">
        <f t="shared" si="9"/>
        <v>0</v>
      </c>
      <c r="G82" s="25">
        <f t="shared" si="11"/>
        <v>11.79</v>
      </c>
      <c r="H82" s="25">
        <f t="shared" si="12"/>
        <v>0</v>
      </c>
      <c r="I82" s="25">
        <f t="shared" si="13"/>
        <v>0</v>
      </c>
      <c r="J82" s="25">
        <f t="shared" si="14"/>
        <v>0</v>
      </c>
      <c r="K82" s="25">
        <f t="shared" si="15"/>
        <v>0</v>
      </c>
      <c r="L82" s="25">
        <f t="shared" si="10"/>
        <v>11.79</v>
      </c>
    </row>
    <row r="83" spans="1:12">
      <c r="A83" t="s">
        <v>82</v>
      </c>
      <c r="B83" s="31"/>
      <c r="C83">
        <v>2969000</v>
      </c>
      <c r="D83">
        <v>2975000</v>
      </c>
      <c r="E83">
        <v>0</v>
      </c>
      <c r="F83">
        <f t="shared" si="9"/>
        <v>6000</v>
      </c>
      <c r="G83" s="25">
        <f t="shared" si="11"/>
        <v>40.090000000000003</v>
      </c>
      <c r="H83" s="25">
        <f t="shared" si="12"/>
        <v>0</v>
      </c>
      <c r="I83" s="25">
        <f t="shared" si="13"/>
        <v>0</v>
      </c>
      <c r="J83" s="25">
        <f t="shared" si="14"/>
        <v>0</v>
      </c>
      <c r="K83" s="25">
        <f t="shared" si="15"/>
        <v>0</v>
      </c>
      <c r="L83" s="25">
        <f t="shared" si="10"/>
        <v>40.090000000000003</v>
      </c>
    </row>
    <row r="84" spans="1:12">
      <c r="A84" t="s">
        <v>83</v>
      </c>
      <c r="B84" s="31"/>
      <c r="C84">
        <v>7274000</v>
      </c>
      <c r="D84">
        <v>7285000</v>
      </c>
      <c r="E84">
        <v>0</v>
      </c>
      <c r="F84">
        <f t="shared" si="9"/>
        <v>11000</v>
      </c>
      <c r="G84" s="25">
        <f t="shared" si="11"/>
        <v>40.090000000000003</v>
      </c>
      <c r="H84" s="25">
        <f t="shared" si="12"/>
        <v>2.1800000000000002</v>
      </c>
      <c r="I84" s="25">
        <f t="shared" si="13"/>
        <v>0</v>
      </c>
      <c r="J84" s="25">
        <f t="shared" si="14"/>
        <v>0</v>
      </c>
      <c r="K84" s="25">
        <f t="shared" si="15"/>
        <v>0</v>
      </c>
      <c r="L84" s="25">
        <f t="shared" si="10"/>
        <v>42.27</v>
      </c>
    </row>
    <row r="85" spans="1:12">
      <c r="A85" t="s">
        <v>84</v>
      </c>
      <c r="B85" s="31"/>
      <c r="C85">
        <v>2853000</v>
      </c>
      <c r="D85">
        <v>2857000</v>
      </c>
      <c r="E85">
        <v>0</v>
      </c>
      <c r="F85">
        <f t="shared" si="9"/>
        <v>4000</v>
      </c>
      <c r="G85" s="25">
        <f t="shared" si="11"/>
        <v>40.090000000000003</v>
      </c>
      <c r="H85" s="25">
        <f t="shared" si="12"/>
        <v>0</v>
      </c>
      <c r="I85" s="25">
        <f t="shared" si="13"/>
        <v>0</v>
      </c>
      <c r="J85" s="25">
        <f t="shared" si="14"/>
        <v>0</v>
      </c>
      <c r="K85" s="25">
        <f t="shared" si="15"/>
        <v>0</v>
      </c>
      <c r="L85" s="25">
        <f t="shared" si="10"/>
        <v>40.090000000000003</v>
      </c>
    </row>
    <row r="86" spans="1:12">
      <c r="A86" t="s">
        <v>85</v>
      </c>
      <c r="B86" s="31"/>
      <c r="C86">
        <v>1905000</v>
      </c>
      <c r="D86">
        <v>1907000</v>
      </c>
      <c r="E86">
        <v>0</v>
      </c>
      <c r="F86">
        <f t="shared" si="9"/>
        <v>2000</v>
      </c>
      <c r="G86" s="25">
        <f t="shared" si="11"/>
        <v>40.090000000000003</v>
      </c>
      <c r="H86" s="25">
        <f t="shared" si="12"/>
        <v>0</v>
      </c>
      <c r="I86" s="25">
        <f t="shared" si="13"/>
        <v>0</v>
      </c>
      <c r="J86" s="25">
        <f t="shared" si="14"/>
        <v>0</v>
      </c>
      <c r="K86" s="25">
        <f t="shared" si="15"/>
        <v>0</v>
      </c>
      <c r="L86" s="25">
        <f t="shared" si="10"/>
        <v>40.090000000000003</v>
      </c>
    </row>
    <row r="87" spans="1:12">
      <c r="A87" t="s">
        <v>86</v>
      </c>
      <c r="B87" s="31"/>
      <c r="C87">
        <v>1801000</v>
      </c>
      <c r="D87">
        <v>1806000</v>
      </c>
      <c r="E87">
        <v>0</v>
      </c>
      <c r="F87">
        <f t="shared" si="9"/>
        <v>5000</v>
      </c>
      <c r="G87" s="25">
        <f t="shared" si="11"/>
        <v>40.090000000000003</v>
      </c>
      <c r="H87" s="25">
        <f t="shared" si="12"/>
        <v>0</v>
      </c>
      <c r="I87" s="25">
        <f t="shared" si="13"/>
        <v>0</v>
      </c>
      <c r="J87" s="25">
        <f t="shared" si="14"/>
        <v>0</v>
      </c>
      <c r="K87" s="25">
        <f t="shared" si="15"/>
        <v>0</v>
      </c>
      <c r="L87" s="25">
        <f t="shared" si="10"/>
        <v>40.090000000000003</v>
      </c>
    </row>
    <row r="88" spans="1:12">
      <c r="A88" t="s">
        <v>87</v>
      </c>
      <c r="B88" s="31" t="s">
        <v>138</v>
      </c>
      <c r="C88">
        <v>0</v>
      </c>
      <c r="D88">
        <v>0</v>
      </c>
      <c r="E88">
        <v>0</v>
      </c>
      <c r="F88">
        <f t="shared" si="9"/>
        <v>0</v>
      </c>
      <c r="G88" s="25">
        <f t="shared" si="11"/>
        <v>11.79</v>
      </c>
      <c r="H88" s="25">
        <f t="shared" si="12"/>
        <v>0</v>
      </c>
      <c r="I88" s="25">
        <f t="shared" si="13"/>
        <v>0</v>
      </c>
      <c r="J88" s="25">
        <f t="shared" si="14"/>
        <v>0</v>
      </c>
      <c r="K88" s="25">
        <f t="shared" si="15"/>
        <v>0</v>
      </c>
      <c r="L88" s="25">
        <f t="shared" si="10"/>
        <v>11.79</v>
      </c>
    </row>
    <row r="89" spans="1:12">
      <c r="A89" t="s">
        <v>88</v>
      </c>
      <c r="B89" s="31"/>
      <c r="C89">
        <v>1207000</v>
      </c>
      <c r="D89">
        <v>1208000</v>
      </c>
      <c r="E89">
        <v>0</v>
      </c>
      <c r="F89">
        <f t="shared" si="9"/>
        <v>1000</v>
      </c>
      <c r="G89" s="25">
        <f t="shared" si="11"/>
        <v>40.090000000000003</v>
      </c>
      <c r="H89" s="25">
        <f t="shared" si="12"/>
        <v>0</v>
      </c>
      <c r="I89" s="25">
        <f t="shared" si="13"/>
        <v>0</v>
      </c>
      <c r="J89" s="25">
        <f t="shared" si="14"/>
        <v>0</v>
      </c>
      <c r="K89" s="25">
        <f t="shared" si="15"/>
        <v>0</v>
      </c>
      <c r="L89" s="25">
        <f t="shared" si="10"/>
        <v>40.090000000000003</v>
      </c>
    </row>
    <row r="90" spans="1:12">
      <c r="A90" t="s">
        <v>89</v>
      </c>
      <c r="B90" s="31"/>
      <c r="C90">
        <v>2049000</v>
      </c>
      <c r="D90">
        <v>2063000</v>
      </c>
      <c r="E90">
        <v>0</v>
      </c>
      <c r="F90">
        <f t="shared" si="9"/>
        <v>14000</v>
      </c>
      <c r="G90" s="25">
        <f t="shared" si="11"/>
        <v>40.090000000000003</v>
      </c>
      <c r="H90" s="25">
        <f t="shared" si="12"/>
        <v>8.7200000000000006</v>
      </c>
      <c r="I90" s="25">
        <f t="shared" si="13"/>
        <v>0</v>
      </c>
      <c r="J90" s="25">
        <f t="shared" si="14"/>
        <v>0</v>
      </c>
      <c r="K90" s="25">
        <f t="shared" si="15"/>
        <v>0</v>
      </c>
      <c r="L90" s="25">
        <f t="shared" si="10"/>
        <v>48.81</v>
      </c>
    </row>
    <row r="91" spans="1:12">
      <c r="A91" t="s">
        <v>90</v>
      </c>
      <c r="B91" s="31"/>
      <c r="C91">
        <v>1200000</v>
      </c>
      <c r="D91">
        <v>1205000</v>
      </c>
      <c r="E91">
        <v>0</v>
      </c>
      <c r="F91">
        <f t="shared" si="9"/>
        <v>5000</v>
      </c>
      <c r="G91" s="25">
        <f t="shared" si="11"/>
        <v>40.090000000000003</v>
      </c>
      <c r="H91" s="25">
        <f t="shared" si="12"/>
        <v>0</v>
      </c>
      <c r="I91" s="25">
        <f t="shared" si="13"/>
        <v>0</v>
      </c>
      <c r="J91" s="25">
        <f t="shared" si="14"/>
        <v>0</v>
      </c>
      <c r="K91" s="25">
        <f t="shared" si="15"/>
        <v>0</v>
      </c>
      <c r="L91" s="25">
        <f t="shared" si="10"/>
        <v>40.090000000000003</v>
      </c>
    </row>
    <row r="92" spans="1:12">
      <c r="A92" t="s">
        <v>91</v>
      </c>
      <c r="B92" s="31"/>
      <c r="C92">
        <v>210100</v>
      </c>
      <c r="D92">
        <v>212600</v>
      </c>
      <c r="E92">
        <v>0</v>
      </c>
      <c r="F92">
        <f t="shared" si="9"/>
        <v>2500</v>
      </c>
      <c r="G92" s="25">
        <f t="shared" si="11"/>
        <v>40.090000000000003</v>
      </c>
      <c r="H92" s="25">
        <f t="shared" si="12"/>
        <v>0</v>
      </c>
      <c r="I92" s="25">
        <f t="shared" si="13"/>
        <v>0</v>
      </c>
      <c r="J92" s="25">
        <f t="shared" si="14"/>
        <v>0</v>
      </c>
      <c r="K92" s="25">
        <f t="shared" si="15"/>
        <v>0</v>
      </c>
      <c r="L92" s="25">
        <f t="shared" si="10"/>
        <v>40.090000000000003</v>
      </c>
    </row>
    <row r="93" spans="1:12">
      <c r="A93" t="s">
        <v>92</v>
      </c>
      <c r="B93" s="31"/>
      <c r="C93">
        <v>2444000</v>
      </c>
      <c r="D93">
        <v>2464000</v>
      </c>
      <c r="E93">
        <v>0</v>
      </c>
      <c r="F93">
        <f t="shared" si="9"/>
        <v>20000</v>
      </c>
      <c r="G93" s="25">
        <f t="shared" si="11"/>
        <v>40.090000000000003</v>
      </c>
      <c r="H93" s="25">
        <f t="shared" si="12"/>
        <v>21.8</v>
      </c>
      <c r="I93" s="25">
        <f t="shared" si="13"/>
        <v>0</v>
      </c>
      <c r="J93" s="25">
        <f t="shared" si="14"/>
        <v>0</v>
      </c>
      <c r="K93" s="25">
        <f t="shared" si="15"/>
        <v>0</v>
      </c>
      <c r="L93" s="25">
        <f t="shared" si="10"/>
        <v>61.89</v>
      </c>
    </row>
    <row r="94" spans="1:12">
      <c r="A94" t="s">
        <v>93</v>
      </c>
      <c r="B94" s="31" t="s">
        <v>138</v>
      </c>
      <c r="C94">
        <v>0</v>
      </c>
      <c r="D94">
        <v>0</v>
      </c>
      <c r="E94">
        <v>0</v>
      </c>
      <c r="F94">
        <f t="shared" si="9"/>
        <v>0</v>
      </c>
      <c r="G94" s="25">
        <f t="shared" si="11"/>
        <v>11.79</v>
      </c>
      <c r="H94" s="25">
        <f t="shared" si="12"/>
        <v>0</v>
      </c>
      <c r="I94" s="25">
        <f t="shared" si="13"/>
        <v>0</v>
      </c>
      <c r="J94" s="25">
        <f t="shared" si="14"/>
        <v>0</v>
      </c>
      <c r="K94" s="25">
        <f t="shared" si="15"/>
        <v>0</v>
      </c>
      <c r="L94" s="25">
        <f t="shared" si="10"/>
        <v>11.79</v>
      </c>
    </row>
    <row r="95" spans="1:12">
      <c r="A95" t="s">
        <v>94</v>
      </c>
      <c r="B95" s="31" t="s">
        <v>138</v>
      </c>
      <c r="C95">
        <v>0</v>
      </c>
      <c r="D95">
        <v>0</v>
      </c>
      <c r="E95">
        <v>0</v>
      </c>
      <c r="F95">
        <f t="shared" si="9"/>
        <v>0</v>
      </c>
      <c r="G95" s="25">
        <f t="shared" si="11"/>
        <v>11.79</v>
      </c>
      <c r="H95" s="25">
        <f t="shared" si="12"/>
        <v>0</v>
      </c>
      <c r="I95" s="25">
        <f t="shared" si="13"/>
        <v>0</v>
      </c>
      <c r="J95" s="25">
        <f t="shared" si="14"/>
        <v>0</v>
      </c>
      <c r="K95" s="25">
        <f t="shared" si="15"/>
        <v>0</v>
      </c>
      <c r="L95" s="25">
        <f t="shared" si="10"/>
        <v>11.79</v>
      </c>
    </row>
    <row r="96" spans="1:12">
      <c r="A96" t="s">
        <v>95</v>
      </c>
      <c r="B96" s="31" t="s">
        <v>138</v>
      </c>
      <c r="C96">
        <v>0</v>
      </c>
      <c r="D96">
        <v>0</v>
      </c>
      <c r="E96">
        <v>0</v>
      </c>
      <c r="F96">
        <f t="shared" si="9"/>
        <v>0</v>
      </c>
      <c r="G96" s="25">
        <f t="shared" si="11"/>
        <v>11.79</v>
      </c>
      <c r="H96" s="25">
        <f t="shared" si="12"/>
        <v>0</v>
      </c>
      <c r="I96" s="25">
        <f t="shared" si="13"/>
        <v>0</v>
      </c>
      <c r="J96" s="25">
        <f t="shared" si="14"/>
        <v>0</v>
      </c>
      <c r="K96" s="25">
        <f t="shared" si="15"/>
        <v>0</v>
      </c>
      <c r="L96" s="25">
        <f t="shared" si="10"/>
        <v>11.79</v>
      </c>
    </row>
    <row r="97" spans="1:12">
      <c r="A97" t="s">
        <v>96</v>
      </c>
      <c r="B97" s="31"/>
      <c r="C97">
        <v>1763000</v>
      </c>
      <c r="D97">
        <v>1768000</v>
      </c>
      <c r="E97">
        <v>0</v>
      </c>
      <c r="F97">
        <f t="shared" si="9"/>
        <v>5000</v>
      </c>
      <c r="G97" s="25">
        <f t="shared" si="11"/>
        <v>40.090000000000003</v>
      </c>
      <c r="H97" s="25">
        <f t="shared" si="12"/>
        <v>0</v>
      </c>
      <c r="I97" s="25">
        <f t="shared" si="13"/>
        <v>0</v>
      </c>
      <c r="J97" s="25">
        <f t="shared" si="14"/>
        <v>0</v>
      </c>
      <c r="K97" s="25">
        <f t="shared" si="15"/>
        <v>0</v>
      </c>
      <c r="L97" s="25">
        <f t="shared" si="10"/>
        <v>40.090000000000003</v>
      </c>
    </row>
    <row r="98" spans="1:12">
      <c r="A98" t="s">
        <v>97</v>
      </c>
      <c r="B98" s="31" t="s">
        <v>138</v>
      </c>
      <c r="C98">
        <v>0</v>
      </c>
      <c r="D98">
        <v>0</v>
      </c>
      <c r="E98">
        <v>0</v>
      </c>
      <c r="F98">
        <f t="shared" si="9"/>
        <v>0</v>
      </c>
      <c r="G98" s="25">
        <f t="shared" si="11"/>
        <v>11.79</v>
      </c>
      <c r="H98" s="25">
        <f t="shared" si="12"/>
        <v>0</v>
      </c>
      <c r="I98" s="25">
        <f t="shared" si="13"/>
        <v>0</v>
      </c>
      <c r="J98" s="25">
        <f t="shared" si="14"/>
        <v>0</v>
      </c>
      <c r="K98" s="25">
        <f t="shared" si="15"/>
        <v>0</v>
      </c>
      <c r="L98" s="25">
        <f t="shared" si="10"/>
        <v>11.79</v>
      </c>
    </row>
    <row r="99" spans="1:12">
      <c r="A99" t="s">
        <v>98</v>
      </c>
      <c r="B99" s="31" t="s">
        <v>138</v>
      </c>
      <c r="C99">
        <v>0</v>
      </c>
      <c r="D99">
        <v>0</v>
      </c>
      <c r="E99">
        <v>0</v>
      </c>
      <c r="F99">
        <f t="shared" si="9"/>
        <v>0</v>
      </c>
      <c r="G99" s="25">
        <f t="shared" si="11"/>
        <v>11.79</v>
      </c>
      <c r="H99" s="25">
        <f t="shared" si="12"/>
        <v>0</v>
      </c>
      <c r="I99" s="25">
        <f t="shared" si="13"/>
        <v>0</v>
      </c>
      <c r="J99" s="25">
        <f t="shared" si="14"/>
        <v>0</v>
      </c>
      <c r="K99" s="25">
        <f t="shared" si="15"/>
        <v>0</v>
      </c>
      <c r="L99" s="25">
        <f t="shared" si="10"/>
        <v>11.79</v>
      </c>
    </row>
    <row r="100" spans="1:12">
      <c r="A100" t="s">
        <v>99</v>
      </c>
      <c r="B100" s="31"/>
      <c r="C100">
        <v>1639000</v>
      </c>
      <c r="D100">
        <v>1639000</v>
      </c>
      <c r="E100">
        <v>0</v>
      </c>
      <c r="F100">
        <f t="shared" si="9"/>
        <v>0</v>
      </c>
      <c r="G100" s="25">
        <f t="shared" si="11"/>
        <v>40.090000000000003</v>
      </c>
      <c r="H100" s="25">
        <f t="shared" si="12"/>
        <v>0</v>
      </c>
      <c r="I100" s="25">
        <f t="shared" si="13"/>
        <v>0</v>
      </c>
      <c r="J100" s="25">
        <f t="shared" si="14"/>
        <v>0</v>
      </c>
      <c r="K100" s="25">
        <f t="shared" si="15"/>
        <v>0</v>
      </c>
      <c r="L100" s="25">
        <f t="shared" si="10"/>
        <v>40.090000000000003</v>
      </c>
    </row>
    <row r="101" spans="1:12">
      <c r="A101" t="s">
        <v>100</v>
      </c>
      <c r="B101" s="31"/>
      <c r="C101">
        <v>477000</v>
      </c>
      <c r="D101">
        <v>482000</v>
      </c>
      <c r="E101">
        <v>0</v>
      </c>
      <c r="F101">
        <f t="shared" si="9"/>
        <v>5000</v>
      </c>
      <c r="G101" s="25">
        <f t="shared" si="11"/>
        <v>40.090000000000003</v>
      </c>
      <c r="H101" s="25">
        <f t="shared" si="12"/>
        <v>0</v>
      </c>
      <c r="I101" s="25">
        <f t="shared" si="13"/>
        <v>0</v>
      </c>
      <c r="J101" s="25">
        <f t="shared" si="14"/>
        <v>0</v>
      </c>
      <c r="K101" s="25">
        <f t="shared" si="15"/>
        <v>0</v>
      </c>
      <c r="L101" s="25">
        <f t="shared" si="10"/>
        <v>40.090000000000003</v>
      </c>
    </row>
    <row r="102" spans="1:12">
      <c r="A102" t="s">
        <v>101</v>
      </c>
      <c r="B102" s="31"/>
      <c r="C102">
        <v>4425000</v>
      </c>
      <c r="D102">
        <v>4430000</v>
      </c>
      <c r="E102">
        <v>0</v>
      </c>
      <c r="F102">
        <f t="shared" si="9"/>
        <v>5000</v>
      </c>
      <c r="G102" s="25">
        <f t="shared" si="11"/>
        <v>40.090000000000003</v>
      </c>
      <c r="H102" s="25">
        <f t="shared" si="12"/>
        <v>0</v>
      </c>
      <c r="I102" s="25">
        <f t="shared" si="13"/>
        <v>0</v>
      </c>
      <c r="J102" s="25">
        <f t="shared" si="14"/>
        <v>0</v>
      </c>
      <c r="K102" s="25">
        <f t="shared" si="15"/>
        <v>0</v>
      </c>
      <c r="L102" s="25">
        <f t="shared" si="10"/>
        <v>40.090000000000003</v>
      </c>
    </row>
    <row r="103" spans="1:12">
      <c r="A103" t="s">
        <v>102</v>
      </c>
      <c r="B103" s="31" t="s">
        <v>138</v>
      </c>
      <c r="C103">
        <v>0</v>
      </c>
      <c r="D103">
        <v>0</v>
      </c>
      <c r="E103">
        <v>0</v>
      </c>
      <c r="F103">
        <f t="shared" si="9"/>
        <v>0</v>
      </c>
      <c r="G103" s="25">
        <f t="shared" si="11"/>
        <v>11.79</v>
      </c>
      <c r="H103" s="25">
        <f t="shared" si="12"/>
        <v>0</v>
      </c>
      <c r="I103" s="25">
        <f t="shared" si="13"/>
        <v>0</v>
      </c>
      <c r="J103" s="25">
        <f t="shared" si="14"/>
        <v>0</v>
      </c>
      <c r="K103" s="25">
        <f t="shared" si="15"/>
        <v>0</v>
      </c>
      <c r="L103" s="25">
        <f t="shared" si="10"/>
        <v>11.79</v>
      </c>
    </row>
    <row r="104" spans="1:12">
      <c r="A104" t="s">
        <v>103</v>
      </c>
      <c r="B104" s="31"/>
      <c r="C104">
        <v>1024000</v>
      </c>
      <c r="D104">
        <v>1036000</v>
      </c>
      <c r="E104">
        <v>0</v>
      </c>
      <c r="F104">
        <f t="shared" si="9"/>
        <v>12000</v>
      </c>
      <c r="G104" s="25">
        <f t="shared" si="11"/>
        <v>40.090000000000003</v>
      </c>
      <c r="H104" s="25">
        <f t="shared" si="12"/>
        <v>4.3600000000000003</v>
      </c>
      <c r="I104" s="25">
        <f t="shared" si="13"/>
        <v>0</v>
      </c>
      <c r="J104" s="25">
        <f t="shared" si="14"/>
        <v>0</v>
      </c>
      <c r="K104" s="25">
        <f t="shared" si="15"/>
        <v>0</v>
      </c>
      <c r="L104" s="25">
        <f t="shared" si="10"/>
        <v>44.45</v>
      </c>
    </row>
    <row r="105" spans="1:12">
      <c r="A105" t="s">
        <v>104</v>
      </c>
      <c r="B105" s="31" t="s">
        <v>138</v>
      </c>
      <c r="C105">
        <v>0</v>
      </c>
      <c r="D105">
        <v>0</v>
      </c>
      <c r="E105">
        <v>0</v>
      </c>
      <c r="F105">
        <f t="shared" si="9"/>
        <v>0</v>
      </c>
      <c r="G105" s="25">
        <f t="shared" si="11"/>
        <v>11.79</v>
      </c>
      <c r="H105" s="25">
        <f t="shared" si="12"/>
        <v>0</v>
      </c>
      <c r="I105" s="25">
        <f t="shared" si="13"/>
        <v>0</v>
      </c>
      <c r="J105" s="25">
        <f t="shared" si="14"/>
        <v>0</v>
      </c>
      <c r="K105" s="25">
        <f t="shared" si="15"/>
        <v>0</v>
      </c>
      <c r="L105" s="25">
        <f t="shared" si="10"/>
        <v>11.79</v>
      </c>
    </row>
    <row r="106" spans="1:12">
      <c r="A106" t="s">
        <v>105</v>
      </c>
      <c r="B106" s="31"/>
      <c r="C106">
        <v>1260000</v>
      </c>
      <c r="D106">
        <v>1268000</v>
      </c>
      <c r="E106">
        <v>0</v>
      </c>
      <c r="F106">
        <f t="shared" si="9"/>
        <v>8000</v>
      </c>
      <c r="G106" s="25">
        <f t="shared" si="11"/>
        <v>40.090000000000003</v>
      </c>
      <c r="H106" s="25">
        <f t="shared" si="12"/>
        <v>0</v>
      </c>
      <c r="I106" s="25">
        <f t="shared" si="13"/>
        <v>0</v>
      </c>
      <c r="J106" s="25">
        <f t="shared" si="14"/>
        <v>0</v>
      </c>
      <c r="K106" s="25">
        <f t="shared" si="15"/>
        <v>0</v>
      </c>
      <c r="L106" s="25">
        <f t="shared" si="10"/>
        <v>40.090000000000003</v>
      </c>
    </row>
    <row r="107" spans="1:12">
      <c r="A107" t="s">
        <v>106</v>
      </c>
      <c r="B107" s="31"/>
      <c r="C107">
        <v>1779000</v>
      </c>
      <c r="D107">
        <v>1780000</v>
      </c>
      <c r="E107">
        <v>0</v>
      </c>
      <c r="F107">
        <f t="shared" si="9"/>
        <v>1000</v>
      </c>
      <c r="G107" s="25">
        <f t="shared" si="11"/>
        <v>40.090000000000003</v>
      </c>
      <c r="H107" s="25">
        <f t="shared" si="12"/>
        <v>0</v>
      </c>
      <c r="I107" s="25">
        <f t="shared" si="13"/>
        <v>0</v>
      </c>
      <c r="J107" s="25">
        <f t="shared" si="14"/>
        <v>0</v>
      </c>
      <c r="K107" s="25">
        <f t="shared" si="15"/>
        <v>0</v>
      </c>
      <c r="L107" s="25">
        <f t="shared" si="10"/>
        <v>40.090000000000003</v>
      </c>
    </row>
    <row r="108" spans="1:12">
      <c r="A108" t="s">
        <v>107</v>
      </c>
      <c r="B108" s="31"/>
      <c r="C108">
        <v>305000</v>
      </c>
      <c r="D108">
        <v>307000</v>
      </c>
      <c r="E108">
        <v>0</v>
      </c>
      <c r="F108">
        <f t="shared" si="9"/>
        <v>2000</v>
      </c>
      <c r="G108" s="25">
        <f t="shared" si="11"/>
        <v>40.090000000000003</v>
      </c>
      <c r="H108" s="25">
        <f t="shared" si="12"/>
        <v>0</v>
      </c>
      <c r="I108" s="25">
        <f t="shared" si="13"/>
        <v>0</v>
      </c>
      <c r="J108" s="25">
        <f t="shared" si="14"/>
        <v>0</v>
      </c>
      <c r="K108" s="25">
        <f t="shared" si="15"/>
        <v>0</v>
      </c>
      <c r="L108" s="25">
        <f t="shared" si="10"/>
        <v>40.090000000000003</v>
      </c>
    </row>
    <row r="109" spans="1:12">
      <c r="A109" t="s">
        <v>108</v>
      </c>
      <c r="B109" s="31"/>
      <c r="C109">
        <v>2455000</v>
      </c>
      <c r="D109">
        <v>2463000</v>
      </c>
      <c r="E109">
        <v>0</v>
      </c>
      <c r="F109">
        <f t="shared" si="9"/>
        <v>8000</v>
      </c>
      <c r="G109" s="25">
        <f t="shared" si="11"/>
        <v>40.090000000000003</v>
      </c>
      <c r="H109" s="25">
        <f t="shared" si="12"/>
        <v>0</v>
      </c>
      <c r="I109" s="25">
        <f t="shared" si="13"/>
        <v>0</v>
      </c>
      <c r="J109" s="25">
        <f t="shared" si="14"/>
        <v>0</v>
      </c>
      <c r="K109" s="25">
        <f t="shared" si="15"/>
        <v>0</v>
      </c>
      <c r="L109" s="25">
        <f t="shared" si="10"/>
        <v>40.090000000000003</v>
      </c>
    </row>
    <row r="110" spans="1:12">
      <c r="A110" t="s">
        <v>109</v>
      </c>
      <c r="B110" s="31" t="s">
        <v>138</v>
      </c>
      <c r="C110">
        <v>0</v>
      </c>
      <c r="D110">
        <v>0</v>
      </c>
      <c r="E110">
        <v>0</v>
      </c>
      <c r="F110">
        <f t="shared" si="9"/>
        <v>0</v>
      </c>
      <c r="G110" s="25">
        <f t="shared" si="11"/>
        <v>11.79</v>
      </c>
      <c r="H110" s="25">
        <f t="shared" si="12"/>
        <v>0</v>
      </c>
      <c r="I110" s="25">
        <f t="shared" si="13"/>
        <v>0</v>
      </c>
      <c r="J110" s="25">
        <f t="shared" si="14"/>
        <v>0</v>
      </c>
      <c r="K110" s="25">
        <f t="shared" si="15"/>
        <v>0</v>
      </c>
      <c r="L110" s="25">
        <f t="shared" si="10"/>
        <v>11.79</v>
      </c>
    </row>
    <row r="111" spans="1:12">
      <c r="A111" t="s">
        <v>110</v>
      </c>
      <c r="B111" s="31"/>
      <c r="C111">
        <v>3719000</v>
      </c>
      <c r="D111">
        <v>3733000</v>
      </c>
      <c r="E111">
        <v>0</v>
      </c>
      <c r="F111">
        <f t="shared" si="9"/>
        <v>14000</v>
      </c>
      <c r="G111" s="25">
        <f t="shared" si="11"/>
        <v>40.090000000000003</v>
      </c>
      <c r="H111" s="25">
        <f t="shared" si="12"/>
        <v>8.7200000000000006</v>
      </c>
      <c r="I111" s="25">
        <f t="shared" si="13"/>
        <v>0</v>
      </c>
      <c r="J111" s="25">
        <f t="shared" si="14"/>
        <v>0</v>
      </c>
      <c r="K111" s="25">
        <f t="shared" si="15"/>
        <v>0</v>
      </c>
      <c r="L111" s="25">
        <f t="shared" si="10"/>
        <v>48.81</v>
      </c>
    </row>
    <row r="112" spans="1:12">
      <c r="A112" t="s">
        <v>111</v>
      </c>
      <c r="B112" s="31"/>
      <c r="C112">
        <v>3314000</v>
      </c>
      <c r="D112">
        <v>3318000</v>
      </c>
      <c r="E112">
        <v>0</v>
      </c>
      <c r="F112">
        <f t="shared" si="9"/>
        <v>4000</v>
      </c>
      <c r="G112" s="25">
        <f t="shared" si="11"/>
        <v>40.090000000000003</v>
      </c>
      <c r="H112" s="25">
        <f t="shared" si="12"/>
        <v>0</v>
      </c>
      <c r="I112" s="25">
        <f t="shared" si="13"/>
        <v>0</v>
      </c>
      <c r="J112" s="25">
        <f t="shared" si="14"/>
        <v>0</v>
      </c>
      <c r="K112" s="25">
        <f t="shared" si="15"/>
        <v>0</v>
      </c>
      <c r="L112" s="25">
        <f t="shared" si="10"/>
        <v>40.090000000000003</v>
      </c>
    </row>
    <row r="113" spans="1:12">
      <c r="A113" t="s">
        <v>112</v>
      </c>
      <c r="B113" s="31"/>
      <c r="C113">
        <v>328000</v>
      </c>
      <c r="D113">
        <v>330000</v>
      </c>
      <c r="E113">
        <v>0</v>
      </c>
      <c r="F113">
        <f t="shared" si="9"/>
        <v>2000</v>
      </c>
      <c r="G113" s="25">
        <f t="shared" si="11"/>
        <v>40.090000000000003</v>
      </c>
      <c r="H113" s="25">
        <f t="shared" si="12"/>
        <v>0</v>
      </c>
      <c r="I113" s="25">
        <f t="shared" si="13"/>
        <v>0</v>
      </c>
      <c r="J113" s="25">
        <f t="shared" si="14"/>
        <v>0</v>
      </c>
      <c r="K113" s="25">
        <f t="shared" si="15"/>
        <v>0</v>
      </c>
      <c r="L113" s="25">
        <f t="shared" si="10"/>
        <v>40.090000000000003</v>
      </c>
    </row>
    <row r="114" spans="1:12">
      <c r="A114" t="s">
        <v>113</v>
      </c>
      <c r="B114" s="31"/>
      <c r="C114">
        <v>1256000</v>
      </c>
      <c r="D114">
        <v>1264000</v>
      </c>
      <c r="E114">
        <v>0</v>
      </c>
      <c r="F114">
        <f t="shared" si="9"/>
        <v>8000</v>
      </c>
      <c r="G114" s="25">
        <f t="shared" si="11"/>
        <v>40.090000000000003</v>
      </c>
      <c r="H114" s="25">
        <f t="shared" si="12"/>
        <v>0</v>
      </c>
      <c r="I114" s="25">
        <f t="shared" si="13"/>
        <v>0</v>
      </c>
      <c r="J114" s="25">
        <f t="shared" si="14"/>
        <v>0</v>
      </c>
      <c r="K114" s="25">
        <f t="shared" si="15"/>
        <v>0</v>
      </c>
      <c r="L114" s="25">
        <f t="shared" si="10"/>
        <v>40.090000000000003</v>
      </c>
    </row>
    <row r="115" spans="1:12">
      <c r="A115" t="s">
        <v>114</v>
      </c>
      <c r="B115" s="31"/>
      <c r="C115">
        <v>2533000</v>
      </c>
      <c r="D115">
        <v>2535000</v>
      </c>
      <c r="E115">
        <v>0</v>
      </c>
      <c r="F115">
        <f t="shared" si="9"/>
        <v>2000</v>
      </c>
      <c r="G115" s="25">
        <f t="shared" si="11"/>
        <v>40.090000000000003</v>
      </c>
      <c r="H115" s="25">
        <f t="shared" si="12"/>
        <v>0</v>
      </c>
      <c r="I115" s="25">
        <f t="shared" si="13"/>
        <v>0</v>
      </c>
      <c r="J115" s="25">
        <f t="shared" si="14"/>
        <v>0</v>
      </c>
      <c r="K115" s="25">
        <f t="shared" si="15"/>
        <v>0</v>
      </c>
      <c r="L115" s="25">
        <f t="shared" si="10"/>
        <v>40.090000000000003</v>
      </c>
    </row>
    <row r="116" spans="1:12">
      <c r="A116" t="s">
        <v>115</v>
      </c>
      <c r="B116" s="31"/>
      <c r="C116">
        <v>2353000</v>
      </c>
      <c r="D116">
        <v>2364000</v>
      </c>
      <c r="E116">
        <v>0</v>
      </c>
      <c r="F116">
        <f t="shared" si="9"/>
        <v>11000</v>
      </c>
      <c r="G116" s="25">
        <f t="shared" si="11"/>
        <v>40.090000000000003</v>
      </c>
      <c r="H116" s="25">
        <f t="shared" si="12"/>
        <v>2.1800000000000002</v>
      </c>
      <c r="I116" s="25">
        <f t="shared" si="13"/>
        <v>0</v>
      </c>
      <c r="J116" s="25">
        <f t="shared" si="14"/>
        <v>0</v>
      </c>
      <c r="K116" s="25">
        <f t="shared" si="15"/>
        <v>0</v>
      </c>
      <c r="L116" s="25">
        <f t="shared" si="10"/>
        <v>42.27</v>
      </c>
    </row>
    <row r="117" spans="1:12">
      <c r="A117" t="s">
        <v>116</v>
      </c>
      <c r="B117" s="31"/>
      <c r="C117">
        <v>4222000</v>
      </c>
      <c r="D117">
        <v>4225000</v>
      </c>
      <c r="E117">
        <v>0</v>
      </c>
      <c r="F117">
        <f t="shared" si="9"/>
        <v>3000</v>
      </c>
      <c r="G117" s="25">
        <f t="shared" si="11"/>
        <v>40.090000000000003</v>
      </c>
      <c r="H117" s="25">
        <f t="shared" si="12"/>
        <v>0</v>
      </c>
      <c r="I117" s="25">
        <f t="shared" si="13"/>
        <v>0</v>
      </c>
      <c r="J117" s="25">
        <f t="shared" si="14"/>
        <v>0</v>
      </c>
      <c r="K117" s="25">
        <f t="shared" si="15"/>
        <v>0</v>
      </c>
      <c r="L117" s="25">
        <f t="shared" si="10"/>
        <v>40.090000000000003</v>
      </c>
    </row>
    <row r="118" spans="1:12">
      <c r="A118" t="s">
        <v>117</v>
      </c>
      <c r="B118" s="31"/>
      <c r="C118">
        <v>1847000</v>
      </c>
      <c r="D118">
        <v>1850000</v>
      </c>
      <c r="E118">
        <v>0</v>
      </c>
      <c r="F118">
        <f t="shared" si="9"/>
        <v>3000</v>
      </c>
      <c r="G118" s="25">
        <f t="shared" si="11"/>
        <v>40.090000000000003</v>
      </c>
      <c r="H118" s="25">
        <f t="shared" si="12"/>
        <v>0</v>
      </c>
      <c r="I118" s="25">
        <f t="shared" si="13"/>
        <v>0</v>
      </c>
      <c r="J118" s="25">
        <f t="shared" si="14"/>
        <v>0</v>
      </c>
      <c r="K118" s="25">
        <f t="shared" si="15"/>
        <v>0</v>
      </c>
      <c r="L118" s="25">
        <f t="shared" si="10"/>
        <v>40.090000000000003</v>
      </c>
    </row>
    <row r="119" spans="1:12">
      <c r="A119" t="s">
        <v>118</v>
      </c>
      <c r="B119" s="31"/>
      <c r="C119">
        <v>1128000</v>
      </c>
      <c r="D119">
        <v>1133000</v>
      </c>
      <c r="E119">
        <v>0</v>
      </c>
      <c r="F119">
        <f t="shared" si="9"/>
        <v>5000</v>
      </c>
      <c r="G119" s="25">
        <f t="shared" si="11"/>
        <v>40.090000000000003</v>
      </c>
      <c r="H119" s="25">
        <f t="shared" si="12"/>
        <v>0</v>
      </c>
      <c r="I119" s="25">
        <f t="shared" si="13"/>
        <v>0</v>
      </c>
      <c r="J119" s="25">
        <f t="shared" si="14"/>
        <v>0</v>
      </c>
      <c r="K119" s="25">
        <f t="shared" si="15"/>
        <v>0</v>
      </c>
      <c r="L119" s="25">
        <f t="shared" si="10"/>
        <v>40.090000000000003</v>
      </c>
    </row>
    <row r="120" spans="1:12">
      <c r="A120" t="s">
        <v>119</v>
      </c>
      <c r="B120" s="31"/>
      <c r="C120">
        <v>6301000</v>
      </c>
      <c r="D120">
        <v>6331000</v>
      </c>
      <c r="E120">
        <v>0</v>
      </c>
      <c r="F120">
        <f t="shared" si="9"/>
        <v>30000</v>
      </c>
      <c r="G120" s="25">
        <f t="shared" si="11"/>
        <v>40.090000000000003</v>
      </c>
      <c r="H120" s="25">
        <f t="shared" si="12"/>
        <v>21.8</v>
      </c>
      <c r="I120" s="25">
        <f t="shared" si="13"/>
        <v>25.299999999999997</v>
      </c>
      <c r="J120" s="25">
        <f t="shared" si="14"/>
        <v>0</v>
      </c>
      <c r="K120" s="25">
        <f t="shared" si="15"/>
        <v>0</v>
      </c>
      <c r="L120" s="25">
        <f t="shared" si="10"/>
        <v>87.19</v>
      </c>
    </row>
    <row r="121" spans="1:12">
      <c r="A121" t="s">
        <v>120</v>
      </c>
      <c r="B121" s="31"/>
      <c r="C121">
        <v>3619000</v>
      </c>
      <c r="D121">
        <v>3622000</v>
      </c>
      <c r="E121">
        <v>0</v>
      </c>
      <c r="F121">
        <f t="shared" si="9"/>
        <v>3000</v>
      </c>
      <c r="G121" s="25">
        <f t="shared" si="11"/>
        <v>40.090000000000003</v>
      </c>
      <c r="H121" s="25">
        <f t="shared" si="12"/>
        <v>0</v>
      </c>
      <c r="I121" s="25">
        <f t="shared" si="13"/>
        <v>0</v>
      </c>
      <c r="J121" s="25">
        <f t="shared" si="14"/>
        <v>0</v>
      </c>
      <c r="K121" s="25">
        <f t="shared" si="15"/>
        <v>0</v>
      </c>
      <c r="L121" s="25">
        <f t="shared" si="10"/>
        <v>40.090000000000003</v>
      </c>
    </row>
    <row r="122" spans="1:12">
      <c r="A122" t="s">
        <v>121</v>
      </c>
      <c r="B122" s="31" t="s">
        <v>138</v>
      </c>
      <c r="C122">
        <v>0</v>
      </c>
      <c r="D122">
        <v>0</v>
      </c>
      <c r="E122">
        <v>0</v>
      </c>
      <c r="F122">
        <f t="shared" si="9"/>
        <v>0</v>
      </c>
      <c r="G122" s="25">
        <f t="shared" si="11"/>
        <v>11.79</v>
      </c>
      <c r="H122" s="25">
        <f t="shared" si="12"/>
        <v>0</v>
      </c>
      <c r="I122" s="25">
        <f t="shared" si="13"/>
        <v>0</v>
      </c>
      <c r="J122" s="25">
        <f t="shared" si="14"/>
        <v>0</v>
      </c>
      <c r="K122" s="25">
        <f t="shared" si="15"/>
        <v>0</v>
      </c>
      <c r="L122" s="25">
        <f t="shared" si="10"/>
        <v>11.79</v>
      </c>
    </row>
    <row r="123" spans="1:12">
      <c r="A123" t="s">
        <v>122</v>
      </c>
      <c r="B123" s="31"/>
      <c r="C123">
        <v>1199000</v>
      </c>
      <c r="D123">
        <v>1210000</v>
      </c>
      <c r="E123">
        <v>0</v>
      </c>
      <c r="F123">
        <f t="shared" si="9"/>
        <v>11000</v>
      </c>
      <c r="G123" s="25">
        <f t="shared" si="11"/>
        <v>40.090000000000003</v>
      </c>
      <c r="H123" s="25">
        <f t="shared" si="12"/>
        <v>2.1800000000000002</v>
      </c>
      <c r="I123" s="25">
        <f t="shared" si="13"/>
        <v>0</v>
      </c>
      <c r="J123" s="25">
        <f t="shared" si="14"/>
        <v>0</v>
      </c>
      <c r="K123" s="25">
        <f t="shared" si="15"/>
        <v>0</v>
      </c>
      <c r="L123" s="25">
        <f t="shared" si="10"/>
        <v>42.27</v>
      </c>
    </row>
    <row r="124" spans="1:12">
      <c r="A124" t="s">
        <v>123</v>
      </c>
      <c r="B124" s="31" t="s">
        <v>138</v>
      </c>
      <c r="C124">
        <v>0</v>
      </c>
      <c r="D124">
        <v>0</v>
      </c>
      <c r="E124">
        <v>0</v>
      </c>
      <c r="F124">
        <f t="shared" si="9"/>
        <v>0</v>
      </c>
      <c r="G124" s="25">
        <f t="shared" si="11"/>
        <v>11.79</v>
      </c>
      <c r="H124" s="25">
        <f t="shared" si="12"/>
        <v>0</v>
      </c>
      <c r="I124" s="25">
        <f t="shared" si="13"/>
        <v>0</v>
      </c>
      <c r="J124" s="25">
        <f t="shared" si="14"/>
        <v>0</v>
      </c>
      <c r="K124" s="25">
        <f t="shared" si="15"/>
        <v>0</v>
      </c>
      <c r="L124" s="25">
        <f t="shared" si="10"/>
        <v>11.79</v>
      </c>
    </row>
    <row r="125" spans="1:12">
      <c r="A125" t="s">
        <v>124</v>
      </c>
      <c r="B125" s="31" t="s">
        <v>138</v>
      </c>
      <c r="C125">
        <v>0</v>
      </c>
      <c r="D125">
        <v>0</v>
      </c>
      <c r="E125">
        <v>0</v>
      </c>
      <c r="F125">
        <f t="shared" si="9"/>
        <v>0</v>
      </c>
      <c r="G125" s="25">
        <f t="shared" si="11"/>
        <v>11.79</v>
      </c>
      <c r="H125" s="25">
        <f t="shared" si="12"/>
        <v>0</v>
      </c>
      <c r="I125" s="25">
        <f t="shared" si="13"/>
        <v>0</v>
      </c>
      <c r="J125" s="25">
        <f t="shared" si="14"/>
        <v>0</v>
      </c>
      <c r="K125" s="25">
        <f t="shared" si="15"/>
        <v>0</v>
      </c>
      <c r="L125" s="25">
        <f t="shared" si="10"/>
        <v>11.79</v>
      </c>
    </row>
    <row r="126" spans="1:12">
      <c r="A126" t="s">
        <v>125</v>
      </c>
      <c r="B126" s="31" t="s">
        <v>138</v>
      </c>
      <c r="C126">
        <v>0</v>
      </c>
      <c r="D126">
        <v>0</v>
      </c>
      <c r="E126">
        <v>0</v>
      </c>
      <c r="F126">
        <f t="shared" si="9"/>
        <v>0</v>
      </c>
      <c r="G126" s="25">
        <f t="shared" si="11"/>
        <v>11.79</v>
      </c>
      <c r="H126" s="25">
        <f t="shared" si="12"/>
        <v>0</v>
      </c>
      <c r="I126" s="25">
        <f t="shared" si="13"/>
        <v>0</v>
      </c>
      <c r="J126" s="25">
        <f t="shared" si="14"/>
        <v>0</v>
      </c>
      <c r="K126" s="25">
        <f t="shared" si="15"/>
        <v>0</v>
      </c>
      <c r="L126" s="25">
        <f t="shared" si="10"/>
        <v>11.79</v>
      </c>
    </row>
    <row r="127" spans="1:12">
      <c r="A127" t="s">
        <v>126</v>
      </c>
      <c r="B127" s="31"/>
      <c r="C127">
        <v>815000</v>
      </c>
      <c r="D127">
        <v>842000</v>
      </c>
      <c r="E127">
        <v>0</v>
      </c>
      <c r="F127">
        <f t="shared" si="9"/>
        <v>27000</v>
      </c>
      <c r="G127" s="25">
        <f t="shared" si="11"/>
        <v>40.090000000000003</v>
      </c>
      <c r="H127" s="25">
        <f t="shared" si="12"/>
        <v>21.8</v>
      </c>
      <c r="I127" s="25">
        <f t="shared" si="13"/>
        <v>17.709999999999997</v>
      </c>
      <c r="J127" s="25">
        <f t="shared" si="14"/>
        <v>0</v>
      </c>
      <c r="K127" s="25">
        <f t="shared" si="15"/>
        <v>0</v>
      </c>
      <c r="L127" s="25">
        <f t="shared" si="10"/>
        <v>79.599999999999994</v>
      </c>
    </row>
    <row r="129" spans="1:13">
      <c r="J129" t="s">
        <v>136</v>
      </c>
      <c r="L129" s="34">
        <f>SUM(L2:L128)</f>
        <v>5115.0400000000054</v>
      </c>
    </row>
    <row r="130" spans="1:13" ht="6.75" customHeight="1">
      <c r="A130" s="44"/>
      <c r="B130" s="44"/>
      <c r="C130" s="44"/>
      <c r="D130" s="44"/>
      <c r="E130" s="44"/>
      <c r="F130" s="44"/>
      <c r="G130" s="44"/>
      <c r="H130" s="44"/>
      <c r="I130" s="44"/>
      <c r="J130" s="44"/>
      <c r="K130" s="44"/>
      <c r="L130" s="44"/>
      <c r="M130" s="44"/>
    </row>
    <row r="131" spans="1:13">
      <c r="A131" t="s">
        <v>249</v>
      </c>
      <c r="D131" s="76" t="s">
        <v>256</v>
      </c>
      <c r="E131" s="76"/>
      <c r="F131" s="81">
        <f>SUM(Table28[May Usage])</f>
        <v>983500</v>
      </c>
      <c r="G131" s="25">
        <f>SUM(Table28[[Base Rate ]])</f>
        <v>4196.7500000000045</v>
      </c>
      <c r="H131" s="25">
        <f>SUM(Table28[Tier1])</f>
        <v>320.92000000000013</v>
      </c>
      <c r="I131" s="25">
        <f>SUM(Table28[Tier2])</f>
        <v>144.20999999999998</v>
      </c>
      <c r="J131" s="25">
        <f>SUM(Table28[Tier3])</f>
        <v>118</v>
      </c>
      <c r="K131" s="25">
        <f>SUM(Table28[Tier4])</f>
        <v>335.16</v>
      </c>
      <c r="L131" s="25">
        <f>SUM(G131:K131)</f>
        <v>5115.0400000000045</v>
      </c>
    </row>
    <row r="132" spans="1:13">
      <c r="A132" t="s">
        <v>250</v>
      </c>
    </row>
    <row r="133" spans="1:13">
      <c r="D133" t="s">
        <v>248</v>
      </c>
      <c r="E133" t="s">
        <v>148</v>
      </c>
      <c r="G133" t="s">
        <v>258</v>
      </c>
      <c r="H133" t="s">
        <v>166</v>
      </c>
      <c r="I133" t="s">
        <v>167</v>
      </c>
      <c r="J133" t="s">
        <v>169</v>
      </c>
      <c r="K133" t="s">
        <v>252</v>
      </c>
      <c r="L133" t="s">
        <v>251</v>
      </c>
    </row>
    <row r="134" spans="1:13">
      <c r="A134" t="s">
        <v>254</v>
      </c>
      <c r="D134">
        <v>82</v>
      </c>
      <c r="E134" s="25">
        <v>0</v>
      </c>
      <c r="G134" s="25">
        <f>SUM(G9:G121)-G136</f>
        <v>3287.3800000000028</v>
      </c>
      <c r="H134" s="80">
        <f>SUM(H9:H121)-H136</f>
        <v>141.70000000000002</v>
      </c>
      <c r="I134" s="25">
        <f>SUM(I9:I121)-I136</f>
        <v>25.299999999999997</v>
      </c>
      <c r="J134" s="25">
        <f>SUM(J9:J121)-J136</f>
        <v>0</v>
      </c>
      <c r="K134" s="25">
        <f>SUM(K9:K121)-K136</f>
        <v>0</v>
      </c>
      <c r="L134" s="25">
        <f>SUM(F134:K134)</f>
        <v>3454.3800000000028</v>
      </c>
    </row>
    <row r="135" spans="1:13">
      <c r="A135" t="s">
        <v>255</v>
      </c>
      <c r="D135">
        <v>8</v>
      </c>
      <c r="E135" s="25">
        <v>0</v>
      </c>
      <c r="G135" s="34">
        <f>SUM(G2:G6)+G8+G123+G127</f>
        <v>320.72000000000003</v>
      </c>
      <c r="H135" s="34">
        <f>SUM(H2:H6)+H8+H123+H127</f>
        <v>111.18</v>
      </c>
      <c r="I135" s="34">
        <f>SUM(I2:I6)+I8+I123+I127</f>
        <v>118.90999999999998</v>
      </c>
      <c r="J135" s="34">
        <f>SUM(J2:J6)+J8+J123+J127</f>
        <v>118</v>
      </c>
      <c r="K135" s="34">
        <f>SUM(K2:K6)+K8+K123+K127</f>
        <v>335.16</v>
      </c>
      <c r="L135" s="25">
        <f t="shared" ref="L135:L138" si="16">SUM(F135:K135)</f>
        <v>1003.97</v>
      </c>
    </row>
    <row r="136" spans="1:13">
      <c r="A136" t="s">
        <v>260</v>
      </c>
      <c r="D136">
        <v>31</v>
      </c>
      <c r="E136" s="25">
        <v>0</v>
      </c>
      <c r="G136" s="25">
        <f>G110+G105+G103+G99+G98+G96+G95+G94+G88+G82+G75+G72+G68+G64+G61+G60+G59+G56+G52+G48+G47+G46+G42+G41+G40+G31+G30+G25+G24+G22+G14</f>
        <v>365.49000000000007</v>
      </c>
      <c r="H136" s="25">
        <f>H110+H105+H103+H99+H98+H96+H95+H94+H88+H82+H75+H72+H68+H64+H61+H60+H59+H56+H52+H48+H47+H46+H42+H41+H40+H31+H30+H25+H24+H22+H14</f>
        <v>0</v>
      </c>
      <c r="I136" s="25">
        <f>I110+I105+I103+I99+I98+I96+I95+I94+I88+I82+I75+I72+I68+I64+I61+I60+I59+I56+I52+I48+I47+I46+I42+I41+I40+I31+I30+I25+I24+I22+I14</f>
        <v>0</v>
      </c>
      <c r="J136" s="25">
        <f>J110+J105+J103+J99+J98+J96+J95+J94+J88+J82+J75+J72+J68+J64+J61+J60+J59+J56+J52+J48+J47+J46+J42+J41+J40+J31+J30+J25+J24+J22+J14</f>
        <v>0</v>
      </c>
      <c r="K136" s="25">
        <f>K110+K105+K103+K99+K98+K96+K95+K94+K88+K82+K75+K72+K68+K64+K61+K60+K59+K56+K52+K48+K47+K46+K42+K41+K40+K31+K30+K25+K24+K22+K14</f>
        <v>0</v>
      </c>
      <c r="L136" s="25">
        <f t="shared" si="16"/>
        <v>365.49000000000007</v>
      </c>
    </row>
    <row r="137" spans="1:13">
      <c r="A137" t="s">
        <v>261</v>
      </c>
      <c r="D137">
        <v>4</v>
      </c>
      <c r="E137" s="25">
        <v>0</v>
      </c>
      <c r="G137" s="25">
        <f>G126+G125+G124+G122</f>
        <v>47.16</v>
      </c>
      <c r="H137" s="25">
        <f>H126+H125+H124+H122</f>
        <v>0</v>
      </c>
      <c r="I137" s="25">
        <f>I126+I125+I124+I122</f>
        <v>0</v>
      </c>
      <c r="J137" s="25">
        <f>J126+J125+J124+J122</f>
        <v>0</v>
      </c>
      <c r="K137" s="25">
        <f>K126+K125+K124+K122</f>
        <v>0</v>
      </c>
      <c r="L137" s="25">
        <f t="shared" si="16"/>
        <v>47.16</v>
      </c>
    </row>
    <row r="138" spans="1:13">
      <c r="A138" t="s">
        <v>253</v>
      </c>
      <c r="D138">
        <v>1</v>
      </c>
      <c r="E138" s="25">
        <v>0</v>
      </c>
      <c r="G138" s="25">
        <f>G7</f>
        <v>176</v>
      </c>
      <c r="H138" s="25">
        <f>H7</f>
        <v>68.039999999999992</v>
      </c>
      <c r="I138" s="25">
        <f>I7</f>
        <v>0</v>
      </c>
      <c r="J138" s="25">
        <f>J7</f>
        <v>0</v>
      </c>
      <c r="K138" s="25">
        <f>K7</f>
        <v>0</v>
      </c>
      <c r="L138" s="25">
        <f t="shared" si="16"/>
        <v>244.04</v>
      </c>
    </row>
    <row r="139" spans="1:13" ht="15.75" thickBot="1">
      <c r="B139" t="s">
        <v>257</v>
      </c>
      <c r="D139" s="73">
        <f>SUM(D134:D138)</f>
        <v>126</v>
      </c>
      <c r="E139" s="73"/>
      <c r="F139" s="73"/>
      <c r="G139" s="74">
        <f t="shared" ref="G139:L139" si="17">SUM(G134:G138)</f>
        <v>4196.7500000000036</v>
      </c>
      <c r="H139" s="74">
        <f t="shared" si="17"/>
        <v>320.92</v>
      </c>
      <c r="I139" s="74">
        <f t="shared" si="17"/>
        <v>144.20999999999998</v>
      </c>
      <c r="J139" s="74">
        <f t="shared" si="17"/>
        <v>118</v>
      </c>
      <c r="K139" s="74">
        <f t="shared" si="17"/>
        <v>335.16</v>
      </c>
      <c r="L139" s="74">
        <f t="shared" si="17"/>
        <v>5115.0400000000027</v>
      </c>
    </row>
    <row r="140" spans="1:13" ht="15.75" thickTop="1">
      <c r="D140" s="78"/>
      <c r="E140" s="78"/>
      <c r="F140" s="78"/>
      <c r="G140" s="79"/>
      <c r="H140" s="79"/>
      <c r="I140" s="79"/>
      <c r="J140" s="79"/>
      <c r="K140" s="79"/>
      <c r="L140" s="79"/>
    </row>
    <row r="141" spans="1:13">
      <c r="A141" t="s">
        <v>262</v>
      </c>
      <c r="D141" s="75"/>
      <c r="E141" s="25">
        <v>0</v>
      </c>
      <c r="F141" s="75"/>
      <c r="G141" s="81">
        <f>F131-G142-G143-(SUM(H144:K144))</f>
        <v>466500</v>
      </c>
      <c r="H141" s="81">
        <f>H134/2.18*1000</f>
        <v>65000</v>
      </c>
      <c r="I141" s="81">
        <f>I134/2.53*1000</f>
        <v>10000</v>
      </c>
      <c r="J141" s="81">
        <f>J134/2.95*1000</f>
        <v>0</v>
      </c>
      <c r="K141" s="81">
        <f>K134/3.42*1000</f>
        <v>0</v>
      </c>
      <c r="L141" s="81">
        <f>SUM(G141:K141)</f>
        <v>541500</v>
      </c>
    </row>
    <row r="142" spans="1:13">
      <c r="A142" t="s">
        <v>263</v>
      </c>
      <c r="D142" s="75"/>
      <c r="E142" s="25">
        <v>0</v>
      </c>
      <c r="F142" s="75"/>
      <c r="G142" s="81">
        <f>(SUM(F2:F6)+F8+SUM(F122:F127)-H142-I142-J142-K142)</f>
        <v>69999.999999999985</v>
      </c>
      <c r="H142" s="81">
        <f>H135/2.18*1000</f>
        <v>51000</v>
      </c>
      <c r="I142" s="81">
        <f>I135/2.53*1000</f>
        <v>47000</v>
      </c>
      <c r="J142" s="81">
        <f>J135/2.95*1000</f>
        <v>40000</v>
      </c>
      <c r="K142" s="81">
        <f>K135/3.42*1000</f>
        <v>98000.000000000015</v>
      </c>
      <c r="L142" s="81">
        <f>SUM(G142:K142)</f>
        <v>306000</v>
      </c>
    </row>
    <row r="143" spans="1:13">
      <c r="A143" t="s">
        <v>264</v>
      </c>
      <c r="D143" s="75"/>
      <c r="E143" s="25">
        <v>0</v>
      </c>
      <c r="F143" s="75"/>
      <c r="G143" s="81">
        <f>IF(F7&gt;100000,100000,F7)</f>
        <v>100000</v>
      </c>
      <c r="H143" s="81">
        <f>H138/1.89*1000</f>
        <v>36000</v>
      </c>
      <c r="I143" s="81" t="s">
        <v>259</v>
      </c>
      <c r="J143" s="81" t="s">
        <v>259</v>
      </c>
      <c r="K143" s="81" t="s">
        <v>259</v>
      </c>
      <c r="L143" s="81">
        <f>SUM(G143:K143)</f>
        <v>136000</v>
      </c>
    </row>
    <row r="144" spans="1:13" ht="15.75" thickBot="1">
      <c r="B144" t="s">
        <v>265</v>
      </c>
      <c r="D144" s="77"/>
      <c r="E144" s="77"/>
      <c r="F144" s="77"/>
      <c r="G144" s="82">
        <f>G141+G142+G143</f>
        <v>636500</v>
      </c>
      <c r="H144" s="82">
        <f>SUM(H141:H143)</f>
        <v>152000</v>
      </c>
      <c r="I144" s="82">
        <f>SUM(I141:I143)</f>
        <v>57000</v>
      </c>
      <c r="J144" s="82">
        <f>SUM(J141:J143)</f>
        <v>40000</v>
      </c>
      <c r="K144" s="82">
        <f>SUM(K141:K143)</f>
        <v>98000.000000000015</v>
      </c>
      <c r="L144" s="82">
        <f>SUM(L141:L143)</f>
        <v>983500</v>
      </c>
    </row>
    <row r="145" ht="15.75" thickTop="1"/>
  </sheetData>
  <pageMargins left="0.7" right="0.7" top="0.83" bottom="0.89" header="0.3" footer="0.2"/>
  <pageSetup paperSize="3" scale="52" orientation="portrait" r:id="rId1"/>
  <headerFooter>
    <oddHeader>&amp;LHi-Country
Customer Usage Summary</oddHeader>
    <oddFooter>&amp;L&amp;A
&amp;F&amp;Rpage &amp;P of &amp;N</oddFooter>
  </headerFooter>
  <tableParts count="1">
    <tablePart r:id="rId2"/>
  </tableParts>
</worksheet>
</file>

<file path=xl/worksheets/sheet31.xml><?xml version="1.0" encoding="utf-8"?>
<worksheet xmlns="http://schemas.openxmlformats.org/spreadsheetml/2006/main" xmlns:r="http://schemas.openxmlformats.org/officeDocument/2006/relationships">
  <sheetPr>
    <pageSetUpPr fitToPage="1"/>
  </sheetPr>
  <dimension ref="A1:L145"/>
  <sheetViews>
    <sheetView zoomScaleNormal="100" zoomScaleSheetLayoutView="25" zoomScalePageLayoutView="70" workbookViewId="0"/>
  </sheetViews>
  <sheetFormatPr defaultRowHeight="15"/>
  <cols>
    <col min="1" max="1" width="13.140625" customWidth="1"/>
    <col min="2" max="2" width="10.7109375" customWidth="1"/>
    <col min="3" max="3" width="15.42578125" customWidth="1"/>
    <col min="4" max="4" width="14.85546875" customWidth="1"/>
    <col min="5" max="5" width="14.28515625" customWidth="1"/>
    <col min="6" max="6" width="13.5703125" customWidth="1"/>
    <col min="7" max="7" width="11.5703125" customWidth="1"/>
    <col min="8" max="8" width="11.28515625" customWidth="1"/>
    <col min="9" max="9" width="11.85546875" customWidth="1"/>
    <col min="10" max="10" width="11.42578125" customWidth="1"/>
    <col min="11" max="11" width="13.28515625" bestFit="1" customWidth="1"/>
    <col min="12" max="12" width="26.85546875" customWidth="1"/>
  </cols>
  <sheetData>
    <row r="1" spans="1:12">
      <c r="A1" s="28" t="s">
        <v>0</v>
      </c>
      <c r="B1" s="29" t="s">
        <v>137</v>
      </c>
      <c r="C1" s="30" t="s">
        <v>192</v>
      </c>
      <c r="D1" s="30" t="s">
        <v>187</v>
      </c>
      <c r="E1" s="28" t="s">
        <v>193</v>
      </c>
      <c r="F1" s="28" t="s">
        <v>132</v>
      </c>
      <c r="G1" s="28" t="s">
        <v>128</v>
      </c>
      <c r="H1" s="28" t="s">
        <v>129</v>
      </c>
      <c r="I1" s="28" t="s">
        <v>130</v>
      </c>
      <c r="J1" s="28" t="s">
        <v>131</v>
      </c>
      <c r="K1" s="28" t="s">
        <v>135</v>
      </c>
      <c r="L1" s="28" t="s">
        <v>127</v>
      </c>
    </row>
    <row r="2" spans="1:12">
      <c r="A2" t="s">
        <v>1</v>
      </c>
      <c r="B2" s="31"/>
      <c r="C2">
        <v>6342000</v>
      </c>
      <c r="D2">
        <v>6425000</v>
      </c>
      <c r="E2">
        <f>D2-C2</f>
        <v>83000</v>
      </c>
      <c r="F2" s="25">
        <f t="shared" ref="F2:F3" si="0">IF(OR($E2&gt;0,$B2=""),40.09,11.79)</f>
        <v>40.090000000000003</v>
      </c>
      <c r="G2" s="25">
        <f>IF(AND((($E2-10000)&gt;0),(($E2-10000)&lt; 10000)),($E2-10000)/1000*2.18,IF(($E2-10000)&gt;10000,2.18*10,0))</f>
        <v>21.8</v>
      </c>
      <c r="H2" s="25">
        <f>IF(AND((($E2-20000)&gt;0),(($E2-20000)&lt;10000)),($E2-20000)/1000*2.53,IF(($E2-20000)&gt;10000,2.53*10,0))</f>
        <v>25.299999999999997</v>
      </c>
      <c r="I2" s="25">
        <f>IF(AND((($E2-30000)&gt;0),(($E2-30000)&lt; 10000)),($E2-30000)/1000*2.95,IF(($E2-30000)&gt;10000,2.95*10,0))</f>
        <v>29.5</v>
      </c>
      <c r="J2" s="25">
        <f>IF((($E2-40000)&gt;0),($E2-40000)/1000*3.42,0)</f>
        <v>147.06</v>
      </c>
      <c r="K2" s="25">
        <f>SUM(F2:J2)</f>
        <v>263.75</v>
      </c>
    </row>
    <row r="3" spans="1:12">
      <c r="A3" t="s">
        <v>2</v>
      </c>
      <c r="B3" s="31"/>
      <c r="C3">
        <v>5823000</v>
      </c>
      <c r="D3">
        <v>5906000</v>
      </c>
      <c r="E3">
        <f t="shared" ref="E3:E66" si="1">D3-C3</f>
        <v>83000</v>
      </c>
      <c r="F3" s="25">
        <f t="shared" si="0"/>
        <v>40.090000000000003</v>
      </c>
      <c r="G3" s="25">
        <f>IF(AND((($E3-10000)&gt;0),(($E3-10000)&lt; 10000)),($E3-10000)/1000*2.18,IF(($E3-10000)&gt;10000,2.18*10,0))</f>
        <v>21.8</v>
      </c>
      <c r="H3" s="25">
        <f>IF(AND((($E3-20000)&gt;0),(($E3-20000)&lt;10000)),($E3-20000)/1000*2.53,IF(($E3-20000)&gt;10000,2.53*10,0))</f>
        <v>25.299999999999997</v>
      </c>
      <c r="I3" s="25">
        <f>IF(AND((($E3-30000)&gt;0),(($E3-30000)&lt; 10000)),($E3-30000)/1000*2.95,IF(($E3-30000)&gt;10000,2.95*10,0))</f>
        <v>29.5</v>
      </c>
      <c r="J3" s="25">
        <f>IF((($E3-40000)&gt;0),($E3-40000)/1000*3.42,0)</f>
        <v>147.06</v>
      </c>
      <c r="K3" s="25">
        <f t="shared" ref="K3:K66" si="2">SUM(F3:J3)</f>
        <v>263.75</v>
      </c>
    </row>
    <row r="4" spans="1:12">
      <c r="A4" t="s">
        <v>3</v>
      </c>
      <c r="B4" s="31"/>
      <c r="C4">
        <v>0</v>
      </c>
      <c r="D4">
        <v>0</v>
      </c>
      <c r="E4">
        <v>0</v>
      </c>
      <c r="F4" s="25">
        <f>IF(OR($E4&gt;0,$B4=""),40.09,11.79)</f>
        <v>40.090000000000003</v>
      </c>
      <c r="G4" s="25">
        <f>IF(AND((($E4-10000)&gt;0),(($E4-10000)&lt; 10000)),($E4-10000)/1000*2.18,IF(($E4-10000)&gt;10000,2.18*10,0))</f>
        <v>0</v>
      </c>
      <c r="H4" s="25">
        <f>IF(AND((($E4-20000)&gt;0),(($E4-20000)&lt;10000)),($E4-20000)/1000*2.53,IF(($E4-20000)&gt;10000,2.53*10,0))</f>
        <v>0</v>
      </c>
      <c r="I4" s="25">
        <f>IF(AND((($E4-30000)&gt;0),(($E4-30000)&lt; 10000)),($E4-30000)/1000*2.95,IF(($E4-30000)&gt;10000,2.95*10,0))</f>
        <v>0</v>
      </c>
      <c r="J4" s="25">
        <f>IF((($E4-40000)&gt;0),($E4-40000)/1000*3.42,0)</f>
        <v>0</v>
      </c>
      <c r="K4" s="25">
        <f t="shared" si="2"/>
        <v>40.090000000000003</v>
      </c>
      <c r="L4" t="s">
        <v>134</v>
      </c>
    </row>
    <row r="5" spans="1:12">
      <c r="A5" t="s">
        <v>4</v>
      </c>
      <c r="B5" s="31"/>
      <c r="C5">
        <v>2428000</v>
      </c>
      <c r="D5">
        <v>2488000</v>
      </c>
      <c r="E5">
        <f t="shared" si="1"/>
        <v>60000</v>
      </c>
      <c r="F5" s="25">
        <f t="shared" ref="F5:F68" si="3">IF(OR($E5&gt;0,$B5=""),40.09,11.79)</f>
        <v>40.090000000000003</v>
      </c>
      <c r="G5" s="25">
        <f>IF(AND((($E5-10000)&gt;0),(($E5-10000)&lt; 10000)),($E5-10000)/1000*2.18,IF(($E5-10000)&gt;10000,2.18*10,0))</f>
        <v>21.8</v>
      </c>
      <c r="H5" s="25">
        <f>IF(AND((($E5-20000)&gt;0),(($E5-20000)&lt;10000)),($E5-20000)/1000*2.53,IF(($E5-20000)&gt;10000,2.53*10,0))</f>
        <v>25.299999999999997</v>
      </c>
      <c r="I5" s="25">
        <f>IF(AND((($E5-30000)&gt;0),(($E5-30000)&lt; 10000)),($E5-30000)/1000*2.95,IF(($E5-30000)&gt;10000,2.95*10,0))</f>
        <v>29.5</v>
      </c>
      <c r="J5" s="25">
        <f>IF((($E5-40000)&gt;0),($E5-40000)/1000*3.42,0)</f>
        <v>68.400000000000006</v>
      </c>
      <c r="K5" s="25">
        <f t="shared" si="2"/>
        <v>185.09</v>
      </c>
    </row>
    <row r="6" spans="1:12">
      <c r="A6" t="s">
        <v>5</v>
      </c>
      <c r="B6" s="31"/>
      <c r="C6">
        <v>1627000</v>
      </c>
      <c r="D6">
        <v>1687000</v>
      </c>
      <c r="E6">
        <f t="shared" si="1"/>
        <v>60000</v>
      </c>
      <c r="F6" s="25">
        <f t="shared" si="3"/>
        <v>40.090000000000003</v>
      </c>
      <c r="G6" s="25">
        <f>IF(AND((($E6-10000)&gt;0),(($E6-10000)&lt; 10000)),($E6-10000)/1000*2.18,IF(($E6-10000)&gt;10000,2.18*10,0))</f>
        <v>21.8</v>
      </c>
      <c r="H6" s="25">
        <f>IF(AND((($E6-20000)&gt;0),(($E6-20000)&lt;10000)),($E6-20000)/1000*2.53,IF(($E6-20000)&gt;10000,2.53*10,0))</f>
        <v>25.299999999999997</v>
      </c>
      <c r="I6" s="25">
        <f>IF(AND((($E6-30000)&gt;0),(($E6-30000)&lt; 10000)),($E6-30000)/1000*2.95,IF(($E6-30000)&gt;10000,2.95*10,0))</f>
        <v>29.5</v>
      </c>
      <c r="J6" s="25">
        <f>IF((($E6-40000)&gt;0),($E6-40000)/1000*3.42,0)</f>
        <v>68.400000000000006</v>
      </c>
      <c r="K6" s="25">
        <f t="shared" si="2"/>
        <v>185.09</v>
      </c>
    </row>
    <row r="7" spans="1:12">
      <c r="A7" t="s">
        <v>6</v>
      </c>
      <c r="B7" s="31"/>
      <c r="C7">
        <v>23526000</v>
      </c>
      <c r="D7">
        <v>23762000</v>
      </c>
      <c r="E7">
        <f t="shared" si="1"/>
        <v>236000</v>
      </c>
      <c r="F7" s="25">
        <v>176</v>
      </c>
      <c r="G7" s="25">
        <f>IF(($E7-100000)&gt;0,($E7-100000)/1000*1.89,0)</f>
        <v>257.03999999999996</v>
      </c>
      <c r="H7" s="25"/>
      <c r="I7" s="25"/>
      <c r="J7" s="25"/>
      <c r="K7" s="25">
        <f>SUM(F7:J7)</f>
        <v>433.03999999999996</v>
      </c>
      <c r="L7" t="s">
        <v>133</v>
      </c>
    </row>
    <row r="8" spans="1:12">
      <c r="A8" t="s">
        <v>7</v>
      </c>
      <c r="B8" s="31"/>
      <c r="C8">
        <v>428000</v>
      </c>
      <c r="D8">
        <v>442000</v>
      </c>
      <c r="E8">
        <f t="shared" si="1"/>
        <v>14000</v>
      </c>
      <c r="F8" s="25">
        <f t="shared" si="3"/>
        <v>40.090000000000003</v>
      </c>
      <c r="G8" s="25">
        <f t="shared" ref="G8:G71" si="4">IF(AND((($E8-10000)&gt;0),(($E8-10000)&lt; 10000)),($E8-10000)/1000*2.18,IF(($E8-10000)&gt;10000,2.18*10,0))</f>
        <v>8.7200000000000006</v>
      </c>
      <c r="H8" s="25">
        <f t="shared" ref="H8:H71" si="5">IF(AND((($E8-20000)&gt;0),(($E8-20000)&lt;10000)),($E8-20000)/1000*2.53,IF(($E8-20000)&gt;10000,2.53*10,0))</f>
        <v>0</v>
      </c>
      <c r="I8" s="25">
        <f t="shared" ref="I8:I71" si="6">IF(AND((($E8-30000)&gt;0),(($E8-30000)&lt; 10000)),($E8-30000)/1000*2.95,IF(($E8-30000)&gt;10000,2.95*10,0))</f>
        <v>0</v>
      </c>
      <c r="J8" s="25">
        <f t="shared" ref="J8:J71" si="7">IF((($E8-40000)&gt;0),($E8-40000)/1000*3.42,0)</f>
        <v>0</v>
      </c>
      <c r="K8" s="25">
        <f t="shared" si="2"/>
        <v>48.81</v>
      </c>
    </row>
    <row r="9" spans="1:12">
      <c r="A9" t="s">
        <v>8</v>
      </c>
      <c r="B9" s="31"/>
      <c r="C9">
        <v>2088000</v>
      </c>
      <c r="D9">
        <v>2097000</v>
      </c>
      <c r="E9">
        <f t="shared" si="1"/>
        <v>9000</v>
      </c>
      <c r="F9" s="25">
        <f t="shared" si="3"/>
        <v>40.090000000000003</v>
      </c>
      <c r="G9" s="25">
        <f t="shared" si="4"/>
        <v>0</v>
      </c>
      <c r="H9" s="25">
        <f t="shared" si="5"/>
        <v>0</v>
      </c>
      <c r="I9" s="25">
        <f t="shared" si="6"/>
        <v>0</v>
      </c>
      <c r="J9" s="25">
        <f t="shared" si="7"/>
        <v>0</v>
      </c>
      <c r="K9" s="25">
        <f t="shared" si="2"/>
        <v>40.090000000000003</v>
      </c>
    </row>
    <row r="10" spans="1:12">
      <c r="A10" t="s">
        <v>9</v>
      </c>
      <c r="B10" s="31"/>
      <c r="C10">
        <v>1997000</v>
      </c>
      <c r="D10">
        <v>8000</v>
      </c>
      <c r="E10">
        <v>8000</v>
      </c>
      <c r="F10" s="25">
        <f t="shared" si="3"/>
        <v>40.090000000000003</v>
      </c>
      <c r="G10" s="25">
        <f t="shared" si="4"/>
        <v>0</v>
      </c>
      <c r="H10" s="25">
        <f t="shared" si="5"/>
        <v>0</v>
      </c>
      <c r="I10" s="25">
        <f t="shared" si="6"/>
        <v>0</v>
      </c>
      <c r="J10" s="25">
        <f t="shared" si="7"/>
        <v>0</v>
      </c>
      <c r="K10" s="25">
        <f t="shared" si="2"/>
        <v>40.090000000000003</v>
      </c>
      <c r="L10" t="s">
        <v>194</v>
      </c>
    </row>
    <row r="11" spans="1:12">
      <c r="A11" t="s">
        <v>10</v>
      </c>
      <c r="B11" s="31"/>
      <c r="C11">
        <v>1398000</v>
      </c>
      <c r="D11">
        <v>1405000</v>
      </c>
      <c r="E11">
        <f t="shared" si="1"/>
        <v>7000</v>
      </c>
      <c r="F11" s="25">
        <f t="shared" si="3"/>
        <v>40.090000000000003</v>
      </c>
      <c r="G11" s="25">
        <f t="shared" si="4"/>
        <v>0</v>
      </c>
      <c r="H11" s="25">
        <f t="shared" si="5"/>
        <v>0</v>
      </c>
      <c r="I11" s="25">
        <f t="shared" si="6"/>
        <v>0</v>
      </c>
      <c r="J11" s="25">
        <f t="shared" si="7"/>
        <v>0</v>
      </c>
      <c r="K11" s="25">
        <f t="shared" si="2"/>
        <v>40.090000000000003</v>
      </c>
    </row>
    <row r="12" spans="1:12">
      <c r="A12" t="s">
        <v>11</v>
      </c>
      <c r="B12" s="31"/>
      <c r="C12">
        <v>1876000</v>
      </c>
      <c r="D12">
        <v>1887000</v>
      </c>
      <c r="E12">
        <f t="shared" si="1"/>
        <v>11000</v>
      </c>
      <c r="F12" s="25">
        <f t="shared" si="3"/>
        <v>40.090000000000003</v>
      </c>
      <c r="G12" s="25">
        <f t="shared" si="4"/>
        <v>2.1800000000000002</v>
      </c>
      <c r="H12" s="25">
        <f t="shared" si="5"/>
        <v>0</v>
      </c>
      <c r="I12" s="25">
        <f t="shared" si="6"/>
        <v>0</v>
      </c>
      <c r="J12" s="25">
        <f t="shared" si="7"/>
        <v>0</v>
      </c>
      <c r="K12" s="25">
        <f t="shared" si="2"/>
        <v>42.27</v>
      </c>
    </row>
    <row r="13" spans="1:12">
      <c r="A13" t="s">
        <v>12</v>
      </c>
      <c r="B13" s="31"/>
      <c r="C13">
        <v>2008000</v>
      </c>
      <c r="D13">
        <v>2027000</v>
      </c>
      <c r="E13">
        <f t="shared" si="1"/>
        <v>19000</v>
      </c>
      <c r="F13" s="25">
        <f t="shared" si="3"/>
        <v>40.090000000000003</v>
      </c>
      <c r="G13" s="25">
        <f t="shared" si="4"/>
        <v>19.62</v>
      </c>
      <c r="H13" s="25">
        <f t="shared" si="5"/>
        <v>0</v>
      </c>
      <c r="I13" s="25">
        <f t="shared" si="6"/>
        <v>0</v>
      </c>
      <c r="J13" s="25">
        <f t="shared" si="7"/>
        <v>0</v>
      </c>
      <c r="K13" s="25">
        <f t="shared" si="2"/>
        <v>59.710000000000008</v>
      </c>
    </row>
    <row r="14" spans="1:12">
      <c r="A14" t="s">
        <v>13</v>
      </c>
      <c r="B14" s="31" t="s">
        <v>138</v>
      </c>
      <c r="C14">
        <v>0</v>
      </c>
      <c r="D14">
        <v>0</v>
      </c>
      <c r="E14">
        <f t="shared" si="1"/>
        <v>0</v>
      </c>
      <c r="F14" s="25">
        <f t="shared" si="3"/>
        <v>11.79</v>
      </c>
      <c r="G14" s="25">
        <f t="shared" si="4"/>
        <v>0</v>
      </c>
      <c r="H14" s="25">
        <f t="shared" si="5"/>
        <v>0</v>
      </c>
      <c r="I14" s="25">
        <f t="shared" si="6"/>
        <v>0</v>
      </c>
      <c r="J14" s="25">
        <f t="shared" si="7"/>
        <v>0</v>
      </c>
      <c r="K14" s="25">
        <f t="shared" si="2"/>
        <v>11.79</v>
      </c>
    </row>
    <row r="15" spans="1:12">
      <c r="A15" t="s">
        <v>14</v>
      </c>
      <c r="B15" s="31"/>
      <c r="C15">
        <v>6101000</v>
      </c>
      <c r="D15">
        <v>6105000</v>
      </c>
      <c r="E15">
        <f t="shared" si="1"/>
        <v>4000</v>
      </c>
      <c r="F15" s="25">
        <f t="shared" si="3"/>
        <v>40.090000000000003</v>
      </c>
      <c r="G15" s="25">
        <f t="shared" si="4"/>
        <v>0</v>
      </c>
      <c r="H15" s="25">
        <f t="shared" si="5"/>
        <v>0</v>
      </c>
      <c r="I15" s="25">
        <f t="shared" si="6"/>
        <v>0</v>
      </c>
      <c r="J15" s="25">
        <f t="shared" si="7"/>
        <v>0</v>
      </c>
      <c r="K15" s="25">
        <f t="shared" si="2"/>
        <v>40.090000000000003</v>
      </c>
    </row>
    <row r="16" spans="1:12">
      <c r="A16" t="s">
        <v>15</v>
      </c>
      <c r="B16" s="31"/>
      <c r="C16">
        <v>2505000</v>
      </c>
      <c r="D16">
        <v>2507000</v>
      </c>
      <c r="E16">
        <f t="shared" si="1"/>
        <v>2000</v>
      </c>
      <c r="F16" s="25">
        <f t="shared" si="3"/>
        <v>40.090000000000003</v>
      </c>
      <c r="G16" s="25">
        <f t="shared" si="4"/>
        <v>0</v>
      </c>
      <c r="H16" s="25">
        <f t="shared" si="5"/>
        <v>0</v>
      </c>
      <c r="I16" s="25">
        <f t="shared" si="6"/>
        <v>0</v>
      </c>
      <c r="J16" s="25">
        <f t="shared" si="7"/>
        <v>0</v>
      </c>
      <c r="K16" s="25">
        <f t="shared" si="2"/>
        <v>40.090000000000003</v>
      </c>
    </row>
    <row r="17" spans="1:11">
      <c r="A17" t="s">
        <v>16</v>
      </c>
      <c r="B17" s="31"/>
      <c r="C17">
        <v>1455000</v>
      </c>
      <c r="D17">
        <v>1458000</v>
      </c>
      <c r="E17">
        <f t="shared" si="1"/>
        <v>3000</v>
      </c>
      <c r="F17" s="25">
        <f t="shared" si="3"/>
        <v>40.090000000000003</v>
      </c>
      <c r="G17" s="25">
        <f t="shared" si="4"/>
        <v>0</v>
      </c>
      <c r="H17" s="25">
        <f t="shared" si="5"/>
        <v>0</v>
      </c>
      <c r="I17" s="25">
        <f t="shared" si="6"/>
        <v>0</v>
      </c>
      <c r="J17" s="25">
        <f t="shared" si="7"/>
        <v>0</v>
      </c>
      <c r="K17" s="25">
        <f t="shared" si="2"/>
        <v>40.090000000000003</v>
      </c>
    </row>
    <row r="18" spans="1:11">
      <c r="A18" t="s">
        <v>17</v>
      </c>
      <c r="B18" s="31"/>
      <c r="C18">
        <v>1106000</v>
      </c>
      <c r="D18">
        <v>1112000</v>
      </c>
      <c r="E18">
        <f t="shared" si="1"/>
        <v>6000</v>
      </c>
      <c r="F18" s="25">
        <f t="shared" si="3"/>
        <v>40.090000000000003</v>
      </c>
      <c r="G18" s="25">
        <f t="shared" si="4"/>
        <v>0</v>
      </c>
      <c r="H18" s="25">
        <f t="shared" si="5"/>
        <v>0</v>
      </c>
      <c r="I18" s="25">
        <f t="shared" si="6"/>
        <v>0</v>
      </c>
      <c r="J18" s="25">
        <f t="shared" si="7"/>
        <v>0</v>
      </c>
      <c r="K18" s="25">
        <f t="shared" si="2"/>
        <v>40.090000000000003</v>
      </c>
    </row>
    <row r="19" spans="1:11">
      <c r="A19" t="s">
        <v>18</v>
      </c>
      <c r="B19" s="31"/>
      <c r="C19">
        <v>3940000</v>
      </c>
      <c r="D19">
        <v>3949000</v>
      </c>
      <c r="E19">
        <f t="shared" si="1"/>
        <v>9000</v>
      </c>
      <c r="F19" s="25">
        <f t="shared" si="3"/>
        <v>40.090000000000003</v>
      </c>
      <c r="G19" s="25">
        <f t="shared" si="4"/>
        <v>0</v>
      </c>
      <c r="H19" s="25">
        <f t="shared" si="5"/>
        <v>0</v>
      </c>
      <c r="I19" s="25">
        <f t="shared" si="6"/>
        <v>0</v>
      </c>
      <c r="J19" s="25">
        <f t="shared" si="7"/>
        <v>0</v>
      </c>
      <c r="K19" s="25">
        <f t="shared" si="2"/>
        <v>40.090000000000003</v>
      </c>
    </row>
    <row r="20" spans="1:11">
      <c r="A20" t="s">
        <v>19</v>
      </c>
      <c r="B20" s="31"/>
      <c r="C20">
        <v>976000</v>
      </c>
      <c r="D20">
        <v>980000</v>
      </c>
      <c r="E20">
        <f t="shared" si="1"/>
        <v>4000</v>
      </c>
      <c r="F20" s="25">
        <f t="shared" si="3"/>
        <v>40.090000000000003</v>
      </c>
      <c r="G20" s="25">
        <f t="shared" si="4"/>
        <v>0</v>
      </c>
      <c r="H20" s="25">
        <f t="shared" si="5"/>
        <v>0</v>
      </c>
      <c r="I20" s="25">
        <f t="shared" si="6"/>
        <v>0</v>
      </c>
      <c r="J20" s="25">
        <f t="shared" si="7"/>
        <v>0</v>
      </c>
      <c r="K20" s="25">
        <f t="shared" si="2"/>
        <v>40.090000000000003</v>
      </c>
    </row>
    <row r="21" spans="1:11">
      <c r="A21" t="s">
        <v>20</v>
      </c>
      <c r="B21" s="31"/>
      <c r="C21">
        <v>2137000</v>
      </c>
      <c r="D21">
        <v>2140000</v>
      </c>
      <c r="E21">
        <f t="shared" si="1"/>
        <v>3000</v>
      </c>
      <c r="F21" s="25">
        <f t="shared" si="3"/>
        <v>40.090000000000003</v>
      </c>
      <c r="G21" s="25">
        <f t="shared" si="4"/>
        <v>0</v>
      </c>
      <c r="H21" s="25">
        <f t="shared" si="5"/>
        <v>0</v>
      </c>
      <c r="I21" s="25">
        <f t="shared" si="6"/>
        <v>0</v>
      </c>
      <c r="J21" s="25">
        <f t="shared" si="7"/>
        <v>0</v>
      </c>
      <c r="K21" s="25">
        <f t="shared" si="2"/>
        <v>40.090000000000003</v>
      </c>
    </row>
    <row r="22" spans="1:11">
      <c r="A22" t="s">
        <v>21</v>
      </c>
      <c r="B22" s="31" t="s">
        <v>138</v>
      </c>
      <c r="C22">
        <v>0</v>
      </c>
      <c r="D22">
        <v>0</v>
      </c>
      <c r="E22">
        <f t="shared" si="1"/>
        <v>0</v>
      </c>
      <c r="F22" s="25">
        <f t="shared" si="3"/>
        <v>11.79</v>
      </c>
      <c r="G22" s="25">
        <f t="shared" si="4"/>
        <v>0</v>
      </c>
      <c r="H22" s="25">
        <f t="shared" si="5"/>
        <v>0</v>
      </c>
      <c r="I22" s="25">
        <f t="shared" si="6"/>
        <v>0</v>
      </c>
      <c r="J22" s="25">
        <f t="shared" si="7"/>
        <v>0</v>
      </c>
      <c r="K22" s="25">
        <f t="shared" si="2"/>
        <v>11.79</v>
      </c>
    </row>
    <row r="23" spans="1:11">
      <c r="A23" t="s">
        <v>22</v>
      </c>
      <c r="B23" s="31"/>
      <c r="C23">
        <v>544000</v>
      </c>
      <c r="D23">
        <v>556000</v>
      </c>
      <c r="E23">
        <f t="shared" si="1"/>
        <v>12000</v>
      </c>
      <c r="F23" s="25">
        <f t="shared" si="3"/>
        <v>40.090000000000003</v>
      </c>
      <c r="G23" s="25">
        <f t="shared" si="4"/>
        <v>4.3600000000000003</v>
      </c>
      <c r="H23" s="25">
        <f t="shared" si="5"/>
        <v>0</v>
      </c>
      <c r="I23" s="25">
        <f t="shared" si="6"/>
        <v>0</v>
      </c>
      <c r="J23" s="25">
        <f t="shared" si="7"/>
        <v>0</v>
      </c>
      <c r="K23" s="25">
        <f t="shared" si="2"/>
        <v>44.45</v>
      </c>
    </row>
    <row r="24" spans="1:11">
      <c r="A24" t="s">
        <v>23</v>
      </c>
      <c r="B24" s="31" t="s">
        <v>138</v>
      </c>
      <c r="C24">
        <v>0</v>
      </c>
      <c r="D24">
        <v>0</v>
      </c>
      <c r="E24">
        <f t="shared" si="1"/>
        <v>0</v>
      </c>
      <c r="F24" s="25">
        <f t="shared" si="3"/>
        <v>11.79</v>
      </c>
      <c r="G24" s="25">
        <f t="shared" si="4"/>
        <v>0</v>
      </c>
      <c r="H24" s="25">
        <f t="shared" si="5"/>
        <v>0</v>
      </c>
      <c r="I24" s="25">
        <f t="shared" si="6"/>
        <v>0</v>
      </c>
      <c r="J24" s="25">
        <f t="shared" si="7"/>
        <v>0</v>
      </c>
      <c r="K24" s="25">
        <f t="shared" si="2"/>
        <v>11.79</v>
      </c>
    </row>
    <row r="25" spans="1:11">
      <c r="A25" t="s">
        <v>24</v>
      </c>
      <c r="B25" s="31" t="s">
        <v>138</v>
      </c>
      <c r="C25">
        <v>0</v>
      </c>
      <c r="D25">
        <v>0</v>
      </c>
      <c r="E25">
        <f t="shared" si="1"/>
        <v>0</v>
      </c>
      <c r="F25" s="25">
        <f t="shared" si="3"/>
        <v>11.79</v>
      </c>
      <c r="G25" s="25">
        <f t="shared" si="4"/>
        <v>0</v>
      </c>
      <c r="H25" s="25">
        <f t="shared" si="5"/>
        <v>0</v>
      </c>
      <c r="I25" s="25">
        <f t="shared" si="6"/>
        <v>0</v>
      </c>
      <c r="J25" s="25">
        <f t="shared" si="7"/>
        <v>0</v>
      </c>
      <c r="K25" s="25">
        <f t="shared" si="2"/>
        <v>11.79</v>
      </c>
    </row>
    <row r="26" spans="1:11">
      <c r="A26" t="s">
        <v>25</v>
      </c>
      <c r="B26" s="31"/>
      <c r="C26">
        <v>2147000</v>
      </c>
      <c r="D26">
        <v>2161000</v>
      </c>
      <c r="E26">
        <f t="shared" si="1"/>
        <v>14000</v>
      </c>
      <c r="F26" s="25">
        <f t="shared" si="3"/>
        <v>40.090000000000003</v>
      </c>
      <c r="G26" s="25">
        <f t="shared" si="4"/>
        <v>8.7200000000000006</v>
      </c>
      <c r="H26" s="25">
        <f t="shared" si="5"/>
        <v>0</v>
      </c>
      <c r="I26" s="25">
        <f t="shared" si="6"/>
        <v>0</v>
      </c>
      <c r="J26" s="25">
        <f t="shared" si="7"/>
        <v>0</v>
      </c>
      <c r="K26" s="25">
        <f t="shared" si="2"/>
        <v>48.81</v>
      </c>
    </row>
    <row r="27" spans="1:11">
      <c r="A27" t="s">
        <v>26</v>
      </c>
      <c r="B27" s="31"/>
      <c r="C27">
        <v>251000</v>
      </c>
      <c r="D27">
        <v>258000</v>
      </c>
      <c r="E27">
        <f t="shared" si="1"/>
        <v>7000</v>
      </c>
      <c r="F27" s="25">
        <f t="shared" si="3"/>
        <v>40.090000000000003</v>
      </c>
      <c r="G27" s="25">
        <f t="shared" si="4"/>
        <v>0</v>
      </c>
      <c r="H27" s="25">
        <f t="shared" si="5"/>
        <v>0</v>
      </c>
      <c r="I27" s="25">
        <f t="shared" si="6"/>
        <v>0</v>
      </c>
      <c r="J27" s="25">
        <f t="shared" si="7"/>
        <v>0</v>
      </c>
      <c r="K27" s="25">
        <f t="shared" si="2"/>
        <v>40.090000000000003</v>
      </c>
    </row>
    <row r="28" spans="1:11">
      <c r="A28" t="s">
        <v>27</v>
      </c>
      <c r="B28" s="31"/>
      <c r="C28">
        <v>2103000</v>
      </c>
      <c r="D28">
        <v>2107000</v>
      </c>
      <c r="E28">
        <f t="shared" si="1"/>
        <v>4000</v>
      </c>
      <c r="F28" s="25">
        <f t="shared" si="3"/>
        <v>40.090000000000003</v>
      </c>
      <c r="G28" s="25">
        <f t="shared" si="4"/>
        <v>0</v>
      </c>
      <c r="H28" s="25">
        <f t="shared" si="5"/>
        <v>0</v>
      </c>
      <c r="I28" s="25">
        <f t="shared" si="6"/>
        <v>0</v>
      </c>
      <c r="J28" s="25">
        <f t="shared" si="7"/>
        <v>0</v>
      </c>
      <c r="K28" s="25">
        <f t="shared" si="2"/>
        <v>40.090000000000003</v>
      </c>
    </row>
    <row r="29" spans="1:11">
      <c r="A29" t="s">
        <v>28</v>
      </c>
      <c r="B29" s="31"/>
      <c r="C29">
        <v>1266000</v>
      </c>
      <c r="D29">
        <v>1275000</v>
      </c>
      <c r="E29">
        <f t="shared" si="1"/>
        <v>9000</v>
      </c>
      <c r="F29" s="25">
        <f t="shared" si="3"/>
        <v>40.090000000000003</v>
      </c>
      <c r="G29" s="25">
        <f t="shared" si="4"/>
        <v>0</v>
      </c>
      <c r="H29" s="25">
        <f t="shared" si="5"/>
        <v>0</v>
      </c>
      <c r="I29" s="25">
        <f t="shared" si="6"/>
        <v>0</v>
      </c>
      <c r="J29" s="25">
        <f t="shared" si="7"/>
        <v>0</v>
      </c>
      <c r="K29" s="25">
        <f t="shared" si="2"/>
        <v>40.090000000000003</v>
      </c>
    </row>
    <row r="30" spans="1:11">
      <c r="A30" t="s">
        <v>29</v>
      </c>
      <c r="B30" s="31" t="s">
        <v>138</v>
      </c>
      <c r="C30">
        <v>0</v>
      </c>
      <c r="D30">
        <v>0</v>
      </c>
      <c r="E30">
        <f t="shared" si="1"/>
        <v>0</v>
      </c>
      <c r="F30" s="25">
        <f t="shared" si="3"/>
        <v>11.79</v>
      </c>
      <c r="G30" s="25">
        <f t="shared" si="4"/>
        <v>0</v>
      </c>
      <c r="H30" s="25">
        <f t="shared" si="5"/>
        <v>0</v>
      </c>
      <c r="I30" s="25">
        <f t="shared" si="6"/>
        <v>0</v>
      </c>
      <c r="J30" s="25">
        <f t="shared" si="7"/>
        <v>0</v>
      </c>
      <c r="K30" s="25">
        <f t="shared" si="2"/>
        <v>11.79</v>
      </c>
    </row>
    <row r="31" spans="1:11">
      <c r="A31" t="s">
        <v>30</v>
      </c>
      <c r="B31" s="31" t="s">
        <v>138</v>
      </c>
      <c r="C31">
        <v>0</v>
      </c>
      <c r="D31">
        <v>0</v>
      </c>
      <c r="E31">
        <f t="shared" si="1"/>
        <v>0</v>
      </c>
      <c r="F31" s="25">
        <f t="shared" si="3"/>
        <v>11.79</v>
      </c>
      <c r="G31" s="25">
        <f t="shared" si="4"/>
        <v>0</v>
      </c>
      <c r="H31" s="25">
        <f t="shared" si="5"/>
        <v>0</v>
      </c>
      <c r="I31" s="25">
        <f t="shared" si="6"/>
        <v>0</v>
      </c>
      <c r="J31" s="25">
        <f t="shared" si="7"/>
        <v>0</v>
      </c>
      <c r="K31" s="25">
        <f t="shared" si="2"/>
        <v>11.79</v>
      </c>
    </row>
    <row r="32" spans="1:11">
      <c r="A32" t="s">
        <v>31</v>
      </c>
      <c r="B32" s="31"/>
      <c r="C32">
        <v>478000</v>
      </c>
      <c r="D32">
        <v>480000</v>
      </c>
      <c r="E32">
        <f t="shared" si="1"/>
        <v>2000</v>
      </c>
      <c r="F32" s="25">
        <f t="shared" si="3"/>
        <v>40.090000000000003</v>
      </c>
      <c r="G32" s="25">
        <f t="shared" si="4"/>
        <v>0</v>
      </c>
      <c r="H32" s="25">
        <f t="shared" si="5"/>
        <v>0</v>
      </c>
      <c r="I32" s="25">
        <f t="shared" si="6"/>
        <v>0</v>
      </c>
      <c r="J32" s="25">
        <f t="shared" si="7"/>
        <v>0</v>
      </c>
      <c r="K32" s="25">
        <f t="shared" si="2"/>
        <v>40.090000000000003</v>
      </c>
    </row>
    <row r="33" spans="1:11">
      <c r="A33" t="s">
        <v>32</v>
      </c>
      <c r="B33" s="31"/>
      <c r="C33">
        <v>3796000</v>
      </c>
      <c r="D33">
        <v>3800000</v>
      </c>
      <c r="E33">
        <f t="shared" si="1"/>
        <v>4000</v>
      </c>
      <c r="F33" s="25">
        <f t="shared" si="3"/>
        <v>40.090000000000003</v>
      </c>
      <c r="G33" s="25">
        <f t="shared" si="4"/>
        <v>0</v>
      </c>
      <c r="H33" s="25">
        <f t="shared" si="5"/>
        <v>0</v>
      </c>
      <c r="I33" s="25">
        <f t="shared" si="6"/>
        <v>0</v>
      </c>
      <c r="J33" s="25">
        <f t="shared" si="7"/>
        <v>0</v>
      </c>
      <c r="K33" s="25">
        <f t="shared" si="2"/>
        <v>40.090000000000003</v>
      </c>
    </row>
    <row r="34" spans="1:11">
      <c r="A34" t="s">
        <v>33</v>
      </c>
      <c r="B34" s="31"/>
      <c r="C34">
        <v>1113000</v>
      </c>
      <c r="D34">
        <v>1117000</v>
      </c>
      <c r="E34">
        <f t="shared" si="1"/>
        <v>4000</v>
      </c>
      <c r="F34" s="25">
        <f t="shared" si="3"/>
        <v>40.090000000000003</v>
      </c>
      <c r="G34" s="25">
        <f t="shared" si="4"/>
        <v>0</v>
      </c>
      <c r="H34" s="25">
        <f t="shared" si="5"/>
        <v>0</v>
      </c>
      <c r="I34" s="25">
        <f t="shared" si="6"/>
        <v>0</v>
      </c>
      <c r="J34" s="25">
        <f t="shared" si="7"/>
        <v>0</v>
      </c>
      <c r="K34" s="25">
        <f t="shared" si="2"/>
        <v>40.090000000000003</v>
      </c>
    </row>
    <row r="35" spans="1:11">
      <c r="A35" t="s">
        <v>34</v>
      </c>
      <c r="B35" s="31"/>
      <c r="C35">
        <v>4063000</v>
      </c>
      <c r="D35">
        <v>4074000</v>
      </c>
      <c r="E35">
        <f t="shared" si="1"/>
        <v>11000</v>
      </c>
      <c r="F35" s="25">
        <f t="shared" si="3"/>
        <v>40.090000000000003</v>
      </c>
      <c r="G35" s="25">
        <f t="shared" si="4"/>
        <v>2.1800000000000002</v>
      </c>
      <c r="H35" s="25">
        <f t="shared" si="5"/>
        <v>0</v>
      </c>
      <c r="I35" s="25">
        <f t="shared" si="6"/>
        <v>0</v>
      </c>
      <c r="J35" s="25">
        <f t="shared" si="7"/>
        <v>0</v>
      </c>
      <c r="K35" s="25">
        <f t="shared" si="2"/>
        <v>42.27</v>
      </c>
    </row>
    <row r="36" spans="1:11">
      <c r="A36" t="s">
        <v>35</v>
      </c>
      <c r="B36" s="31"/>
      <c r="C36">
        <v>1247000</v>
      </c>
      <c r="D36">
        <v>1261000</v>
      </c>
      <c r="E36">
        <f t="shared" si="1"/>
        <v>14000</v>
      </c>
      <c r="F36" s="25">
        <f t="shared" si="3"/>
        <v>40.090000000000003</v>
      </c>
      <c r="G36" s="25">
        <f t="shared" si="4"/>
        <v>8.7200000000000006</v>
      </c>
      <c r="H36" s="25">
        <f t="shared" si="5"/>
        <v>0</v>
      </c>
      <c r="I36" s="25">
        <f t="shared" si="6"/>
        <v>0</v>
      </c>
      <c r="J36" s="25">
        <f t="shared" si="7"/>
        <v>0</v>
      </c>
      <c r="K36" s="25">
        <f t="shared" si="2"/>
        <v>48.81</v>
      </c>
    </row>
    <row r="37" spans="1:11">
      <c r="A37" t="s">
        <v>36</v>
      </c>
      <c r="B37" s="31"/>
      <c r="C37">
        <v>1575000</v>
      </c>
      <c r="D37">
        <v>1576000</v>
      </c>
      <c r="E37">
        <f t="shared" si="1"/>
        <v>1000</v>
      </c>
      <c r="F37" s="25">
        <f t="shared" si="3"/>
        <v>40.090000000000003</v>
      </c>
      <c r="G37" s="25">
        <f t="shared" si="4"/>
        <v>0</v>
      </c>
      <c r="H37" s="25">
        <f t="shared" si="5"/>
        <v>0</v>
      </c>
      <c r="I37" s="25">
        <f t="shared" si="6"/>
        <v>0</v>
      </c>
      <c r="J37" s="25">
        <f t="shared" si="7"/>
        <v>0</v>
      </c>
      <c r="K37" s="25">
        <f t="shared" si="2"/>
        <v>40.090000000000003</v>
      </c>
    </row>
    <row r="38" spans="1:11">
      <c r="A38" t="s">
        <v>37</v>
      </c>
      <c r="B38" s="31"/>
      <c r="C38">
        <v>1496000</v>
      </c>
      <c r="D38">
        <v>1507000</v>
      </c>
      <c r="E38">
        <f t="shared" si="1"/>
        <v>11000</v>
      </c>
      <c r="F38" s="25">
        <f t="shared" si="3"/>
        <v>40.090000000000003</v>
      </c>
      <c r="G38" s="25">
        <f t="shared" si="4"/>
        <v>2.1800000000000002</v>
      </c>
      <c r="H38" s="25">
        <f t="shared" si="5"/>
        <v>0</v>
      </c>
      <c r="I38" s="25">
        <f t="shared" si="6"/>
        <v>0</v>
      </c>
      <c r="J38" s="25">
        <f t="shared" si="7"/>
        <v>0</v>
      </c>
      <c r="K38" s="25">
        <f t="shared" si="2"/>
        <v>42.27</v>
      </c>
    </row>
    <row r="39" spans="1:11">
      <c r="A39" t="s">
        <v>38</v>
      </c>
      <c r="B39" s="31"/>
      <c r="C39">
        <v>1348000</v>
      </c>
      <c r="D39">
        <v>1354000</v>
      </c>
      <c r="E39">
        <f t="shared" si="1"/>
        <v>6000</v>
      </c>
      <c r="F39" s="25">
        <f t="shared" si="3"/>
        <v>40.090000000000003</v>
      </c>
      <c r="G39" s="25">
        <f t="shared" si="4"/>
        <v>0</v>
      </c>
      <c r="H39" s="25">
        <f t="shared" si="5"/>
        <v>0</v>
      </c>
      <c r="I39" s="25">
        <f t="shared" si="6"/>
        <v>0</v>
      </c>
      <c r="J39" s="25">
        <f t="shared" si="7"/>
        <v>0</v>
      </c>
      <c r="K39" s="25">
        <f t="shared" si="2"/>
        <v>40.090000000000003</v>
      </c>
    </row>
    <row r="40" spans="1:11">
      <c r="A40" t="s">
        <v>39</v>
      </c>
      <c r="B40" s="31" t="s">
        <v>138</v>
      </c>
      <c r="C40">
        <v>0</v>
      </c>
      <c r="D40">
        <v>0</v>
      </c>
      <c r="E40">
        <f t="shared" si="1"/>
        <v>0</v>
      </c>
      <c r="F40" s="25">
        <f t="shared" si="3"/>
        <v>11.79</v>
      </c>
      <c r="G40" s="25">
        <f t="shared" si="4"/>
        <v>0</v>
      </c>
      <c r="H40" s="25">
        <f t="shared" si="5"/>
        <v>0</v>
      </c>
      <c r="I40" s="25">
        <f t="shared" si="6"/>
        <v>0</v>
      </c>
      <c r="J40" s="25">
        <f t="shared" si="7"/>
        <v>0</v>
      </c>
      <c r="K40" s="25">
        <f t="shared" si="2"/>
        <v>11.79</v>
      </c>
    </row>
    <row r="41" spans="1:11">
      <c r="A41" t="s">
        <v>40</v>
      </c>
      <c r="B41" s="31" t="s">
        <v>138</v>
      </c>
      <c r="C41">
        <v>0</v>
      </c>
      <c r="D41">
        <v>0</v>
      </c>
      <c r="E41">
        <f t="shared" si="1"/>
        <v>0</v>
      </c>
      <c r="F41" s="25">
        <f t="shared" si="3"/>
        <v>11.79</v>
      </c>
      <c r="G41" s="25">
        <f t="shared" si="4"/>
        <v>0</v>
      </c>
      <c r="H41" s="25">
        <f t="shared" si="5"/>
        <v>0</v>
      </c>
      <c r="I41" s="25">
        <f t="shared" si="6"/>
        <v>0</v>
      </c>
      <c r="J41" s="25">
        <f t="shared" si="7"/>
        <v>0</v>
      </c>
      <c r="K41" s="25">
        <f t="shared" si="2"/>
        <v>11.79</v>
      </c>
    </row>
    <row r="42" spans="1:11">
      <c r="A42" t="s">
        <v>41</v>
      </c>
      <c r="B42" s="31" t="s">
        <v>138</v>
      </c>
      <c r="C42">
        <v>0</v>
      </c>
      <c r="D42">
        <v>0</v>
      </c>
      <c r="E42">
        <f t="shared" si="1"/>
        <v>0</v>
      </c>
      <c r="F42" s="25">
        <f t="shared" si="3"/>
        <v>11.79</v>
      </c>
      <c r="G42" s="25">
        <f t="shared" si="4"/>
        <v>0</v>
      </c>
      <c r="H42" s="25">
        <f t="shared" si="5"/>
        <v>0</v>
      </c>
      <c r="I42" s="25">
        <f t="shared" si="6"/>
        <v>0</v>
      </c>
      <c r="J42" s="25">
        <f t="shared" si="7"/>
        <v>0</v>
      </c>
      <c r="K42" s="25">
        <f t="shared" si="2"/>
        <v>11.79</v>
      </c>
    </row>
    <row r="43" spans="1:11">
      <c r="A43" t="s">
        <v>42</v>
      </c>
      <c r="B43" s="31"/>
      <c r="C43">
        <v>2964000</v>
      </c>
      <c r="D43">
        <v>2969000</v>
      </c>
      <c r="E43">
        <f t="shared" si="1"/>
        <v>5000</v>
      </c>
      <c r="F43" s="25">
        <f t="shared" si="3"/>
        <v>40.090000000000003</v>
      </c>
      <c r="G43" s="25">
        <f t="shared" si="4"/>
        <v>0</v>
      </c>
      <c r="H43" s="25">
        <f t="shared" si="5"/>
        <v>0</v>
      </c>
      <c r="I43" s="25">
        <f t="shared" si="6"/>
        <v>0</v>
      </c>
      <c r="J43" s="25">
        <f t="shared" si="7"/>
        <v>0</v>
      </c>
      <c r="K43" s="25">
        <f t="shared" si="2"/>
        <v>40.090000000000003</v>
      </c>
    </row>
    <row r="44" spans="1:11">
      <c r="A44" t="s">
        <v>43</v>
      </c>
      <c r="B44" s="31"/>
      <c r="C44">
        <v>3108000</v>
      </c>
      <c r="D44">
        <v>3121000</v>
      </c>
      <c r="E44">
        <f t="shared" si="1"/>
        <v>13000</v>
      </c>
      <c r="F44" s="25">
        <f t="shared" si="3"/>
        <v>40.090000000000003</v>
      </c>
      <c r="G44" s="25">
        <f t="shared" si="4"/>
        <v>6.5400000000000009</v>
      </c>
      <c r="H44" s="25">
        <f t="shared" si="5"/>
        <v>0</v>
      </c>
      <c r="I44" s="25">
        <f t="shared" si="6"/>
        <v>0</v>
      </c>
      <c r="J44" s="25">
        <f t="shared" si="7"/>
        <v>0</v>
      </c>
      <c r="K44" s="25">
        <f t="shared" si="2"/>
        <v>46.63</v>
      </c>
    </row>
    <row r="45" spans="1:11">
      <c r="A45" t="s">
        <v>44</v>
      </c>
      <c r="B45" s="31"/>
      <c r="C45">
        <v>3903000</v>
      </c>
      <c r="D45">
        <v>3907000</v>
      </c>
      <c r="E45">
        <f t="shared" si="1"/>
        <v>4000</v>
      </c>
      <c r="F45" s="25">
        <f t="shared" si="3"/>
        <v>40.090000000000003</v>
      </c>
      <c r="G45" s="25">
        <f t="shared" si="4"/>
        <v>0</v>
      </c>
      <c r="H45" s="25">
        <f t="shared" si="5"/>
        <v>0</v>
      </c>
      <c r="I45" s="25">
        <f t="shared" si="6"/>
        <v>0</v>
      </c>
      <c r="J45" s="25">
        <f t="shared" si="7"/>
        <v>0</v>
      </c>
      <c r="K45" s="25">
        <f t="shared" si="2"/>
        <v>40.090000000000003</v>
      </c>
    </row>
    <row r="46" spans="1:11">
      <c r="A46" t="s">
        <v>45</v>
      </c>
      <c r="B46" s="31" t="s">
        <v>138</v>
      </c>
      <c r="C46">
        <v>0</v>
      </c>
      <c r="D46">
        <v>0</v>
      </c>
      <c r="E46">
        <f t="shared" si="1"/>
        <v>0</v>
      </c>
      <c r="F46" s="25">
        <f t="shared" si="3"/>
        <v>11.79</v>
      </c>
      <c r="G46" s="25">
        <f t="shared" si="4"/>
        <v>0</v>
      </c>
      <c r="H46" s="25">
        <f t="shared" si="5"/>
        <v>0</v>
      </c>
      <c r="I46" s="25">
        <f t="shared" si="6"/>
        <v>0</v>
      </c>
      <c r="J46" s="25">
        <f t="shared" si="7"/>
        <v>0</v>
      </c>
      <c r="K46" s="25">
        <f t="shared" si="2"/>
        <v>11.79</v>
      </c>
    </row>
    <row r="47" spans="1:11">
      <c r="A47" t="s">
        <v>46</v>
      </c>
      <c r="B47" s="31" t="s">
        <v>138</v>
      </c>
      <c r="C47">
        <v>0</v>
      </c>
      <c r="D47">
        <v>0</v>
      </c>
      <c r="E47">
        <f t="shared" si="1"/>
        <v>0</v>
      </c>
      <c r="F47" s="25">
        <f t="shared" si="3"/>
        <v>11.79</v>
      </c>
      <c r="G47" s="25">
        <f t="shared" si="4"/>
        <v>0</v>
      </c>
      <c r="H47" s="25">
        <f t="shared" si="5"/>
        <v>0</v>
      </c>
      <c r="I47" s="25">
        <f t="shared" si="6"/>
        <v>0</v>
      </c>
      <c r="J47" s="25">
        <f t="shared" si="7"/>
        <v>0</v>
      </c>
      <c r="K47" s="25">
        <f t="shared" si="2"/>
        <v>11.79</v>
      </c>
    </row>
    <row r="48" spans="1:11">
      <c r="A48" t="s">
        <v>47</v>
      </c>
      <c r="B48" s="31" t="s">
        <v>138</v>
      </c>
      <c r="C48">
        <v>0</v>
      </c>
      <c r="D48">
        <v>0</v>
      </c>
      <c r="E48">
        <f t="shared" si="1"/>
        <v>0</v>
      </c>
      <c r="F48" s="25">
        <f t="shared" si="3"/>
        <v>11.79</v>
      </c>
      <c r="G48" s="25">
        <f t="shared" si="4"/>
        <v>0</v>
      </c>
      <c r="H48" s="25">
        <f t="shared" si="5"/>
        <v>0</v>
      </c>
      <c r="I48" s="25">
        <f t="shared" si="6"/>
        <v>0</v>
      </c>
      <c r="J48" s="25">
        <f t="shared" si="7"/>
        <v>0</v>
      </c>
      <c r="K48" s="25">
        <f t="shared" si="2"/>
        <v>11.79</v>
      </c>
    </row>
    <row r="49" spans="1:11">
      <c r="A49" t="s">
        <v>48</v>
      </c>
      <c r="B49" s="31"/>
      <c r="C49">
        <v>1101000</v>
      </c>
      <c r="D49">
        <v>1103000</v>
      </c>
      <c r="E49">
        <f t="shared" si="1"/>
        <v>2000</v>
      </c>
      <c r="F49" s="25">
        <f t="shared" si="3"/>
        <v>40.090000000000003</v>
      </c>
      <c r="G49" s="25">
        <f t="shared" si="4"/>
        <v>0</v>
      </c>
      <c r="H49" s="25">
        <f t="shared" si="5"/>
        <v>0</v>
      </c>
      <c r="I49" s="25">
        <f t="shared" si="6"/>
        <v>0</v>
      </c>
      <c r="J49" s="25">
        <f t="shared" si="7"/>
        <v>0</v>
      </c>
      <c r="K49" s="25">
        <f t="shared" si="2"/>
        <v>40.090000000000003</v>
      </c>
    </row>
    <row r="50" spans="1:11">
      <c r="A50" t="s">
        <v>49</v>
      </c>
      <c r="B50" s="31"/>
      <c r="C50">
        <v>820000</v>
      </c>
      <c r="D50">
        <v>829000</v>
      </c>
      <c r="E50">
        <f t="shared" si="1"/>
        <v>9000</v>
      </c>
      <c r="F50" s="25">
        <f t="shared" si="3"/>
        <v>40.090000000000003</v>
      </c>
      <c r="G50" s="25">
        <f t="shared" si="4"/>
        <v>0</v>
      </c>
      <c r="H50" s="25">
        <f t="shared" si="5"/>
        <v>0</v>
      </c>
      <c r="I50" s="25">
        <f t="shared" si="6"/>
        <v>0</v>
      </c>
      <c r="J50" s="25">
        <f t="shared" si="7"/>
        <v>0</v>
      </c>
      <c r="K50" s="25">
        <f t="shared" si="2"/>
        <v>40.090000000000003</v>
      </c>
    </row>
    <row r="51" spans="1:11">
      <c r="A51" t="s">
        <v>50</v>
      </c>
      <c r="B51" s="31"/>
      <c r="C51">
        <v>3391000</v>
      </c>
      <c r="D51">
        <v>3393000</v>
      </c>
      <c r="E51">
        <f t="shared" si="1"/>
        <v>2000</v>
      </c>
      <c r="F51" s="25">
        <f t="shared" si="3"/>
        <v>40.090000000000003</v>
      </c>
      <c r="G51" s="25">
        <f t="shared" si="4"/>
        <v>0</v>
      </c>
      <c r="H51" s="25">
        <f t="shared" si="5"/>
        <v>0</v>
      </c>
      <c r="I51" s="25">
        <f t="shared" si="6"/>
        <v>0</v>
      </c>
      <c r="J51" s="25">
        <f t="shared" si="7"/>
        <v>0</v>
      </c>
      <c r="K51" s="25">
        <f t="shared" si="2"/>
        <v>40.090000000000003</v>
      </c>
    </row>
    <row r="52" spans="1:11">
      <c r="A52" t="s">
        <v>51</v>
      </c>
      <c r="B52" s="31" t="s">
        <v>138</v>
      </c>
      <c r="C52">
        <v>0</v>
      </c>
      <c r="D52">
        <v>0</v>
      </c>
      <c r="E52">
        <f t="shared" si="1"/>
        <v>0</v>
      </c>
      <c r="F52" s="25">
        <f t="shared" si="3"/>
        <v>11.79</v>
      </c>
      <c r="G52" s="25">
        <f t="shared" si="4"/>
        <v>0</v>
      </c>
      <c r="H52" s="25">
        <f t="shared" si="5"/>
        <v>0</v>
      </c>
      <c r="I52" s="25">
        <f t="shared" si="6"/>
        <v>0</v>
      </c>
      <c r="J52" s="25">
        <f t="shared" si="7"/>
        <v>0</v>
      </c>
      <c r="K52" s="25">
        <f t="shared" si="2"/>
        <v>11.79</v>
      </c>
    </row>
    <row r="53" spans="1:11">
      <c r="A53" t="s">
        <v>52</v>
      </c>
      <c r="B53" s="31"/>
      <c r="C53">
        <v>1663000</v>
      </c>
      <c r="D53">
        <v>1666000</v>
      </c>
      <c r="E53">
        <f t="shared" si="1"/>
        <v>3000</v>
      </c>
      <c r="F53" s="25">
        <f t="shared" si="3"/>
        <v>40.090000000000003</v>
      </c>
      <c r="G53" s="25">
        <f t="shared" si="4"/>
        <v>0</v>
      </c>
      <c r="H53" s="25">
        <f t="shared" si="5"/>
        <v>0</v>
      </c>
      <c r="I53" s="25">
        <f t="shared" si="6"/>
        <v>0</v>
      </c>
      <c r="J53" s="25">
        <f t="shared" si="7"/>
        <v>0</v>
      </c>
      <c r="K53" s="25">
        <f t="shared" si="2"/>
        <v>40.090000000000003</v>
      </c>
    </row>
    <row r="54" spans="1:11">
      <c r="A54" t="s">
        <v>53</v>
      </c>
      <c r="B54" s="31"/>
      <c r="C54">
        <v>2194000</v>
      </c>
      <c r="D54">
        <v>2202000</v>
      </c>
      <c r="E54">
        <f t="shared" si="1"/>
        <v>8000</v>
      </c>
      <c r="F54" s="25">
        <f t="shared" si="3"/>
        <v>40.090000000000003</v>
      </c>
      <c r="G54" s="25">
        <f t="shared" si="4"/>
        <v>0</v>
      </c>
      <c r="H54" s="25">
        <f t="shared" si="5"/>
        <v>0</v>
      </c>
      <c r="I54" s="25">
        <f t="shared" si="6"/>
        <v>0</v>
      </c>
      <c r="J54" s="25">
        <f t="shared" si="7"/>
        <v>0</v>
      </c>
      <c r="K54" s="25">
        <f t="shared" si="2"/>
        <v>40.090000000000003</v>
      </c>
    </row>
    <row r="55" spans="1:11">
      <c r="A55" t="s">
        <v>54</v>
      </c>
      <c r="B55" s="31"/>
      <c r="C55">
        <v>2665000</v>
      </c>
      <c r="D55">
        <v>2672000</v>
      </c>
      <c r="E55">
        <f t="shared" si="1"/>
        <v>7000</v>
      </c>
      <c r="F55" s="25">
        <f t="shared" si="3"/>
        <v>40.090000000000003</v>
      </c>
      <c r="G55" s="25">
        <f t="shared" si="4"/>
        <v>0</v>
      </c>
      <c r="H55" s="25">
        <f t="shared" si="5"/>
        <v>0</v>
      </c>
      <c r="I55" s="25">
        <f t="shared" si="6"/>
        <v>0</v>
      </c>
      <c r="J55" s="25">
        <f t="shared" si="7"/>
        <v>0</v>
      </c>
      <c r="K55" s="25">
        <f t="shared" si="2"/>
        <v>40.090000000000003</v>
      </c>
    </row>
    <row r="56" spans="1:11">
      <c r="A56" t="s">
        <v>55</v>
      </c>
      <c r="B56" s="31" t="s">
        <v>138</v>
      </c>
      <c r="C56">
        <v>0</v>
      </c>
      <c r="D56">
        <v>0</v>
      </c>
      <c r="E56">
        <f t="shared" si="1"/>
        <v>0</v>
      </c>
      <c r="F56" s="25">
        <f t="shared" si="3"/>
        <v>11.79</v>
      </c>
      <c r="G56" s="25">
        <f t="shared" si="4"/>
        <v>0</v>
      </c>
      <c r="H56" s="25">
        <f t="shared" si="5"/>
        <v>0</v>
      </c>
      <c r="I56" s="25">
        <f t="shared" si="6"/>
        <v>0</v>
      </c>
      <c r="J56" s="25">
        <f t="shared" si="7"/>
        <v>0</v>
      </c>
      <c r="K56" s="25">
        <f t="shared" si="2"/>
        <v>11.79</v>
      </c>
    </row>
    <row r="57" spans="1:11">
      <c r="A57" t="s">
        <v>56</v>
      </c>
      <c r="B57" s="31"/>
      <c r="C57">
        <v>1284000</v>
      </c>
      <c r="D57">
        <v>1291000</v>
      </c>
      <c r="E57">
        <f t="shared" si="1"/>
        <v>7000</v>
      </c>
      <c r="F57" s="25">
        <f t="shared" si="3"/>
        <v>40.090000000000003</v>
      </c>
      <c r="G57" s="25">
        <f t="shared" si="4"/>
        <v>0</v>
      </c>
      <c r="H57" s="25">
        <f t="shared" si="5"/>
        <v>0</v>
      </c>
      <c r="I57" s="25">
        <f t="shared" si="6"/>
        <v>0</v>
      </c>
      <c r="J57" s="25">
        <f t="shared" si="7"/>
        <v>0</v>
      </c>
      <c r="K57" s="25">
        <f t="shared" si="2"/>
        <v>40.090000000000003</v>
      </c>
    </row>
    <row r="58" spans="1:11">
      <c r="A58" t="s">
        <v>57</v>
      </c>
      <c r="B58" s="31"/>
      <c r="C58">
        <v>1607000</v>
      </c>
      <c r="D58">
        <v>1608000</v>
      </c>
      <c r="E58">
        <f t="shared" si="1"/>
        <v>1000</v>
      </c>
      <c r="F58" s="25">
        <f t="shared" si="3"/>
        <v>40.090000000000003</v>
      </c>
      <c r="G58" s="25">
        <f t="shared" si="4"/>
        <v>0</v>
      </c>
      <c r="H58" s="25">
        <f t="shared" si="5"/>
        <v>0</v>
      </c>
      <c r="I58" s="25">
        <f t="shared" si="6"/>
        <v>0</v>
      </c>
      <c r="J58" s="25">
        <f t="shared" si="7"/>
        <v>0</v>
      </c>
      <c r="K58" s="25">
        <f t="shared" si="2"/>
        <v>40.090000000000003</v>
      </c>
    </row>
    <row r="59" spans="1:11">
      <c r="A59" t="s">
        <v>58</v>
      </c>
      <c r="B59" s="31" t="s">
        <v>138</v>
      </c>
      <c r="C59">
        <v>0</v>
      </c>
      <c r="D59">
        <v>0</v>
      </c>
      <c r="E59">
        <f t="shared" si="1"/>
        <v>0</v>
      </c>
      <c r="F59" s="25">
        <f t="shared" si="3"/>
        <v>11.79</v>
      </c>
      <c r="G59" s="25">
        <f t="shared" si="4"/>
        <v>0</v>
      </c>
      <c r="H59" s="25">
        <f t="shared" si="5"/>
        <v>0</v>
      </c>
      <c r="I59" s="25">
        <f t="shared" si="6"/>
        <v>0</v>
      </c>
      <c r="J59" s="25">
        <f t="shared" si="7"/>
        <v>0</v>
      </c>
      <c r="K59" s="25">
        <f t="shared" si="2"/>
        <v>11.79</v>
      </c>
    </row>
    <row r="60" spans="1:11">
      <c r="A60" t="s">
        <v>59</v>
      </c>
      <c r="B60" s="31" t="s">
        <v>138</v>
      </c>
      <c r="C60">
        <v>0</v>
      </c>
      <c r="D60">
        <v>0</v>
      </c>
      <c r="E60">
        <f t="shared" si="1"/>
        <v>0</v>
      </c>
      <c r="F60" s="25">
        <f t="shared" si="3"/>
        <v>11.79</v>
      </c>
      <c r="G60" s="25">
        <f t="shared" si="4"/>
        <v>0</v>
      </c>
      <c r="H60" s="25">
        <f t="shared" si="5"/>
        <v>0</v>
      </c>
      <c r="I60" s="25">
        <f t="shared" si="6"/>
        <v>0</v>
      </c>
      <c r="J60" s="25">
        <f t="shared" si="7"/>
        <v>0</v>
      </c>
      <c r="K60" s="25">
        <f t="shared" si="2"/>
        <v>11.79</v>
      </c>
    </row>
    <row r="61" spans="1:11">
      <c r="A61" t="s">
        <v>60</v>
      </c>
      <c r="B61" s="31" t="s">
        <v>138</v>
      </c>
      <c r="C61">
        <v>0</v>
      </c>
      <c r="D61">
        <v>0</v>
      </c>
      <c r="E61">
        <f t="shared" si="1"/>
        <v>0</v>
      </c>
      <c r="F61" s="25">
        <f t="shared" si="3"/>
        <v>11.79</v>
      </c>
      <c r="G61" s="25">
        <f t="shared" si="4"/>
        <v>0</v>
      </c>
      <c r="H61" s="25">
        <f t="shared" si="5"/>
        <v>0</v>
      </c>
      <c r="I61" s="25">
        <f t="shared" si="6"/>
        <v>0</v>
      </c>
      <c r="J61" s="25">
        <f t="shared" si="7"/>
        <v>0</v>
      </c>
      <c r="K61" s="25">
        <f t="shared" si="2"/>
        <v>11.79</v>
      </c>
    </row>
    <row r="62" spans="1:11">
      <c r="A62" t="s">
        <v>61</v>
      </c>
      <c r="B62" s="31"/>
      <c r="C62">
        <v>1282000</v>
      </c>
      <c r="D62">
        <v>1294000</v>
      </c>
      <c r="E62">
        <f t="shared" si="1"/>
        <v>12000</v>
      </c>
      <c r="F62" s="25">
        <f t="shared" si="3"/>
        <v>40.090000000000003</v>
      </c>
      <c r="G62" s="25">
        <f t="shared" si="4"/>
        <v>4.3600000000000003</v>
      </c>
      <c r="H62" s="25">
        <f t="shared" si="5"/>
        <v>0</v>
      </c>
      <c r="I62" s="25">
        <f t="shared" si="6"/>
        <v>0</v>
      </c>
      <c r="J62" s="25">
        <f t="shared" si="7"/>
        <v>0</v>
      </c>
      <c r="K62" s="25">
        <f t="shared" si="2"/>
        <v>44.45</v>
      </c>
    </row>
    <row r="63" spans="1:11">
      <c r="A63" t="s">
        <v>62</v>
      </c>
      <c r="B63" s="31"/>
      <c r="C63">
        <v>1847000</v>
      </c>
      <c r="D63">
        <v>1854000</v>
      </c>
      <c r="E63">
        <f t="shared" si="1"/>
        <v>7000</v>
      </c>
      <c r="F63" s="25">
        <f t="shared" si="3"/>
        <v>40.090000000000003</v>
      </c>
      <c r="G63" s="25">
        <f t="shared" si="4"/>
        <v>0</v>
      </c>
      <c r="H63" s="25">
        <f t="shared" si="5"/>
        <v>0</v>
      </c>
      <c r="I63" s="25">
        <f t="shared" si="6"/>
        <v>0</v>
      </c>
      <c r="J63" s="25">
        <f t="shared" si="7"/>
        <v>0</v>
      </c>
      <c r="K63" s="25">
        <f t="shared" si="2"/>
        <v>40.090000000000003</v>
      </c>
    </row>
    <row r="64" spans="1:11">
      <c r="A64" t="s">
        <v>63</v>
      </c>
      <c r="B64" s="31" t="s">
        <v>138</v>
      </c>
      <c r="C64">
        <v>0</v>
      </c>
      <c r="D64">
        <v>0</v>
      </c>
      <c r="E64">
        <f t="shared" si="1"/>
        <v>0</v>
      </c>
      <c r="F64" s="25">
        <f t="shared" si="3"/>
        <v>11.79</v>
      </c>
      <c r="G64" s="25">
        <f t="shared" si="4"/>
        <v>0</v>
      </c>
      <c r="H64" s="25">
        <f t="shared" si="5"/>
        <v>0</v>
      </c>
      <c r="I64" s="25">
        <f t="shared" si="6"/>
        <v>0</v>
      </c>
      <c r="J64" s="25">
        <f t="shared" si="7"/>
        <v>0</v>
      </c>
      <c r="K64" s="25">
        <f t="shared" si="2"/>
        <v>11.79</v>
      </c>
    </row>
    <row r="65" spans="1:11">
      <c r="A65" t="s">
        <v>64</v>
      </c>
      <c r="B65" s="31"/>
      <c r="C65">
        <v>4761000</v>
      </c>
      <c r="D65">
        <v>4766000</v>
      </c>
      <c r="E65">
        <f t="shared" si="1"/>
        <v>5000</v>
      </c>
      <c r="F65" s="25">
        <f t="shared" si="3"/>
        <v>40.090000000000003</v>
      </c>
      <c r="G65" s="25">
        <f t="shared" si="4"/>
        <v>0</v>
      </c>
      <c r="H65" s="25">
        <f t="shared" si="5"/>
        <v>0</v>
      </c>
      <c r="I65" s="25">
        <f t="shared" si="6"/>
        <v>0</v>
      </c>
      <c r="J65" s="25">
        <f t="shared" si="7"/>
        <v>0</v>
      </c>
      <c r="K65" s="25">
        <f t="shared" si="2"/>
        <v>40.090000000000003</v>
      </c>
    </row>
    <row r="66" spans="1:11">
      <c r="A66" t="s">
        <v>65</v>
      </c>
      <c r="B66" s="31"/>
      <c r="C66">
        <v>6452000</v>
      </c>
      <c r="D66">
        <v>6454000</v>
      </c>
      <c r="E66">
        <f t="shared" si="1"/>
        <v>2000</v>
      </c>
      <c r="F66" s="25">
        <f t="shared" si="3"/>
        <v>40.090000000000003</v>
      </c>
      <c r="G66" s="25">
        <f t="shared" si="4"/>
        <v>0</v>
      </c>
      <c r="H66" s="25">
        <f t="shared" si="5"/>
        <v>0</v>
      </c>
      <c r="I66" s="25">
        <f t="shared" si="6"/>
        <v>0</v>
      </c>
      <c r="J66" s="25">
        <f t="shared" si="7"/>
        <v>0</v>
      </c>
      <c r="K66" s="25">
        <f t="shared" si="2"/>
        <v>40.090000000000003</v>
      </c>
    </row>
    <row r="67" spans="1:11">
      <c r="A67" t="s">
        <v>66</v>
      </c>
      <c r="B67" s="31"/>
      <c r="C67">
        <v>9135000</v>
      </c>
      <c r="D67">
        <v>9139000</v>
      </c>
      <c r="E67">
        <f t="shared" ref="E67:E127" si="8">D67-C67</f>
        <v>4000</v>
      </c>
      <c r="F67" s="25">
        <f t="shared" si="3"/>
        <v>40.090000000000003</v>
      </c>
      <c r="G67" s="25">
        <f t="shared" si="4"/>
        <v>0</v>
      </c>
      <c r="H67" s="25">
        <f t="shared" si="5"/>
        <v>0</v>
      </c>
      <c r="I67" s="25">
        <f t="shared" si="6"/>
        <v>0</v>
      </c>
      <c r="J67" s="25">
        <f t="shared" si="7"/>
        <v>0</v>
      </c>
      <c r="K67" s="25">
        <f t="shared" ref="K67:K127" si="9">SUM(F67:J67)</f>
        <v>40.090000000000003</v>
      </c>
    </row>
    <row r="68" spans="1:11">
      <c r="A68" t="s">
        <v>67</v>
      </c>
      <c r="B68" s="31" t="s">
        <v>138</v>
      </c>
      <c r="C68">
        <v>0</v>
      </c>
      <c r="D68">
        <v>0</v>
      </c>
      <c r="E68">
        <f t="shared" si="8"/>
        <v>0</v>
      </c>
      <c r="F68" s="25">
        <f t="shared" si="3"/>
        <v>11.79</v>
      </c>
      <c r="G68" s="25">
        <f t="shared" si="4"/>
        <v>0</v>
      </c>
      <c r="H68" s="25">
        <f t="shared" si="5"/>
        <v>0</v>
      </c>
      <c r="I68" s="25">
        <f t="shared" si="6"/>
        <v>0</v>
      </c>
      <c r="J68" s="25">
        <f t="shared" si="7"/>
        <v>0</v>
      </c>
      <c r="K68" s="25">
        <f t="shared" si="9"/>
        <v>11.79</v>
      </c>
    </row>
    <row r="69" spans="1:11">
      <c r="A69" t="s">
        <v>68</v>
      </c>
      <c r="B69" s="31"/>
      <c r="C69">
        <v>3428000</v>
      </c>
      <c r="D69">
        <v>3436000</v>
      </c>
      <c r="E69">
        <f t="shared" si="8"/>
        <v>8000</v>
      </c>
      <c r="F69" s="25">
        <f t="shared" ref="F69:F127" si="10">IF(OR($E69&gt;0,$B69=""),40.09,11.79)</f>
        <v>40.090000000000003</v>
      </c>
      <c r="G69" s="25">
        <f t="shared" si="4"/>
        <v>0</v>
      </c>
      <c r="H69" s="25">
        <f t="shared" si="5"/>
        <v>0</v>
      </c>
      <c r="I69" s="25">
        <f t="shared" si="6"/>
        <v>0</v>
      </c>
      <c r="J69" s="25">
        <f t="shared" si="7"/>
        <v>0</v>
      </c>
      <c r="K69" s="25">
        <f t="shared" si="9"/>
        <v>40.090000000000003</v>
      </c>
    </row>
    <row r="70" spans="1:11">
      <c r="A70" t="s">
        <v>69</v>
      </c>
      <c r="B70" s="31"/>
      <c r="C70">
        <v>2165000</v>
      </c>
      <c r="D70">
        <v>2187000</v>
      </c>
      <c r="E70">
        <f t="shared" si="8"/>
        <v>22000</v>
      </c>
      <c r="F70" s="25">
        <f t="shared" si="10"/>
        <v>40.090000000000003</v>
      </c>
      <c r="G70" s="25">
        <f t="shared" si="4"/>
        <v>21.8</v>
      </c>
      <c r="H70" s="25">
        <f t="shared" si="5"/>
        <v>5.0599999999999996</v>
      </c>
      <c r="I70" s="25">
        <f t="shared" si="6"/>
        <v>0</v>
      </c>
      <c r="J70" s="25">
        <f t="shared" si="7"/>
        <v>0</v>
      </c>
      <c r="K70" s="25">
        <f t="shared" si="9"/>
        <v>66.95</v>
      </c>
    </row>
    <row r="71" spans="1:11">
      <c r="A71" t="s">
        <v>70</v>
      </c>
      <c r="B71" s="31"/>
      <c r="C71">
        <v>1269000</v>
      </c>
      <c r="D71">
        <v>1279000</v>
      </c>
      <c r="E71">
        <f t="shared" si="8"/>
        <v>10000</v>
      </c>
      <c r="F71" s="25">
        <f t="shared" si="10"/>
        <v>40.090000000000003</v>
      </c>
      <c r="G71" s="25">
        <f t="shared" si="4"/>
        <v>0</v>
      </c>
      <c r="H71" s="25">
        <f t="shared" si="5"/>
        <v>0</v>
      </c>
      <c r="I71" s="25">
        <f t="shared" si="6"/>
        <v>0</v>
      </c>
      <c r="J71" s="25">
        <f t="shared" si="7"/>
        <v>0</v>
      </c>
      <c r="K71" s="25">
        <f t="shared" si="9"/>
        <v>40.090000000000003</v>
      </c>
    </row>
    <row r="72" spans="1:11">
      <c r="A72" t="s">
        <v>71</v>
      </c>
      <c r="B72" s="31" t="s">
        <v>138</v>
      </c>
      <c r="C72">
        <v>0</v>
      </c>
      <c r="D72">
        <v>0</v>
      </c>
      <c r="E72">
        <f t="shared" si="8"/>
        <v>0</v>
      </c>
      <c r="F72" s="25">
        <f t="shared" si="10"/>
        <v>11.79</v>
      </c>
      <c r="G72" s="25">
        <f t="shared" ref="G72:G127" si="11">IF(AND((($E72-10000)&gt;0),(($E72-10000)&lt; 10000)),($E72-10000)/1000*2.18,IF(($E72-10000)&gt;10000,2.18*10,0))</f>
        <v>0</v>
      </c>
      <c r="H72" s="25">
        <f t="shared" ref="H72:H127" si="12">IF(AND((($E72-20000)&gt;0),(($E72-20000)&lt;10000)),($E72-20000)/1000*2.53,IF(($E72-20000)&gt;10000,2.53*10,0))</f>
        <v>0</v>
      </c>
      <c r="I72" s="25">
        <f t="shared" ref="I72:I127" si="13">IF(AND((($E72-30000)&gt;0),(($E72-30000)&lt; 10000)),($E72-30000)/1000*2.95,IF(($E72-30000)&gt;10000,2.95*10,0))</f>
        <v>0</v>
      </c>
      <c r="J72" s="25">
        <f t="shared" ref="J72:J127" si="14">IF((($E72-40000)&gt;0),($E72-40000)/1000*3.42,0)</f>
        <v>0</v>
      </c>
      <c r="K72" s="25">
        <f t="shared" si="9"/>
        <v>11.79</v>
      </c>
    </row>
    <row r="73" spans="1:11">
      <c r="A73" t="s">
        <v>72</v>
      </c>
      <c r="B73" s="31"/>
      <c r="C73">
        <v>3324000</v>
      </c>
      <c r="D73">
        <v>3336000</v>
      </c>
      <c r="E73">
        <f t="shared" si="8"/>
        <v>12000</v>
      </c>
      <c r="F73" s="25">
        <f t="shared" si="10"/>
        <v>40.090000000000003</v>
      </c>
      <c r="G73" s="25">
        <f t="shared" si="11"/>
        <v>4.3600000000000003</v>
      </c>
      <c r="H73" s="25">
        <f t="shared" si="12"/>
        <v>0</v>
      </c>
      <c r="I73" s="25">
        <f t="shared" si="13"/>
        <v>0</v>
      </c>
      <c r="J73" s="25">
        <f t="shared" si="14"/>
        <v>0</v>
      </c>
      <c r="K73" s="25">
        <f t="shared" si="9"/>
        <v>44.45</v>
      </c>
    </row>
    <row r="74" spans="1:11">
      <c r="A74" t="s">
        <v>73</v>
      </c>
      <c r="B74" s="31"/>
      <c r="C74">
        <v>1858000</v>
      </c>
      <c r="D74">
        <v>1872000</v>
      </c>
      <c r="E74">
        <f t="shared" si="8"/>
        <v>14000</v>
      </c>
      <c r="F74" s="25">
        <f t="shared" si="10"/>
        <v>40.090000000000003</v>
      </c>
      <c r="G74" s="25">
        <f t="shared" si="11"/>
        <v>8.7200000000000006</v>
      </c>
      <c r="H74" s="25">
        <f t="shared" si="12"/>
        <v>0</v>
      </c>
      <c r="I74" s="25">
        <f t="shared" si="13"/>
        <v>0</v>
      </c>
      <c r="J74" s="25">
        <f t="shared" si="14"/>
        <v>0</v>
      </c>
      <c r="K74" s="25">
        <f t="shared" si="9"/>
        <v>48.81</v>
      </c>
    </row>
    <row r="75" spans="1:11">
      <c r="A75" t="s">
        <v>74</v>
      </c>
      <c r="B75" s="31" t="s">
        <v>138</v>
      </c>
      <c r="C75">
        <v>0</v>
      </c>
      <c r="D75">
        <v>0</v>
      </c>
      <c r="E75">
        <f t="shared" si="8"/>
        <v>0</v>
      </c>
      <c r="F75" s="25">
        <f t="shared" si="10"/>
        <v>11.79</v>
      </c>
      <c r="G75" s="25">
        <f t="shared" si="11"/>
        <v>0</v>
      </c>
      <c r="H75" s="25">
        <f t="shared" si="12"/>
        <v>0</v>
      </c>
      <c r="I75" s="25">
        <f t="shared" si="13"/>
        <v>0</v>
      </c>
      <c r="J75" s="25">
        <f t="shared" si="14"/>
        <v>0</v>
      </c>
      <c r="K75" s="25">
        <f t="shared" si="9"/>
        <v>11.79</v>
      </c>
    </row>
    <row r="76" spans="1:11">
      <c r="A76" t="s">
        <v>75</v>
      </c>
      <c r="B76" s="31"/>
      <c r="C76">
        <v>704000</v>
      </c>
      <c r="D76">
        <v>707000</v>
      </c>
      <c r="E76">
        <f t="shared" si="8"/>
        <v>3000</v>
      </c>
      <c r="F76" s="25">
        <f t="shared" si="10"/>
        <v>40.090000000000003</v>
      </c>
      <c r="G76" s="25">
        <f t="shared" si="11"/>
        <v>0</v>
      </c>
      <c r="H76" s="25">
        <f t="shared" si="12"/>
        <v>0</v>
      </c>
      <c r="I76" s="25">
        <f t="shared" si="13"/>
        <v>0</v>
      </c>
      <c r="J76" s="25">
        <f t="shared" si="14"/>
        <v>0</v>
      </c>
      <c r="K76" s="25">
        <f t="shared" si="9"/>
        <v>40.090000000000003</v>
      </c>
    </row>
    <row r="77" spans="1:11">
      <c r="A77" t="s">
        <v>76</v>
      </c>
      <c r="B77" s="31"/>
      <c r="C77">
        <v>4278000</v>
      </c>
      <c r="D77">
        <v>4286000</v>
      </c>
      <c r="E77">
        <f t="shared" si="8"/>
        <v>8000</v>
      </c>
      <c r="F77" s="25">
        <f t="shared" si="10"/>
        <v>40.090000000000003</v>
      </c>
      <c r="G77" s="25">
        <f t="shared" si="11"/>
        <v>0</v>
      </c>
      <c r="H77" s="25">
        <f t="shared" si="12"/>
        <v>0</v>
      </c>
      <c r="I77" s="25">
        <f t="shared" si="13"/>
        <v>0</v>
      </c>
      <c r="J77" s="25">
        <f t="shared" si="14"/>
        <v>0</v>
      </c>
      <c r="K77" s="25">
        <f t="shared" si="9"/>
        <v>40.090000000000003</v>
      </c>
    </row>
    <row r="78" spans="1:11">
      <c r="A78" t="s">
        <v>77</v>
      </c>
      <c r="B78" s="31"/>
      <c r="C78">
        <v>47000</v>
      </c>
      <c r="D78">
        <v>50000</v>
      </c>
      <c r="E78">
        <f t="shared" si="8"/>
        <v>3000</v>
      </c>
      <c r="F78" s="25">
        <f t="shared" si="10"/>
        <v>40.090000000000003</v>
      </c>
      <c r="G78" s="25">
        <f t="shared" si="11"/>
        <v>0</v>
      </c>
      <c r="H78" s="25">
        <f t="shared" si="12"/>
        <v>0</v>
      </c>
      <c r="I78" s="25">
        <f t="shared" si="13"/>
        <v>0</v>
      </c>
      <c r="J78" s="25">
        <f t="shared" si="14"/>
        <v>0</v>
      </c>
      <c r="K78" s="25">
        <f t="shared" si="9"/>
        <v>40.090000000000003</v>
      </c>
    </row>
    <row r="79" spans="1:11">
      <c r="A79" t="s">
        <v>78</v>
      </c>
      <c r="B79" s="31"/>
      <c r="C79">
        <v>1040000</v>
      </c>
      <c r="D79">
        <v>1043000</v>
      </c>
      <c r="E79">
        <f t="shared" si="8"/>
        <v>3000</v>
      </c>
      <c r="F79" s="25">
        <f t="shared" si="10"/>
        <v>40.090000000000003</v>
      </c>
      <c r="G79" s="25">
        <f t="shared" si="11"/>
        <v>0</v>
      </c>
      <c r="H79" s="25">
        <f t="shared" si="12"/>
        <v>0</v>
      </c>
      <c r="I79" s="25">
        <f t="shared" si="13"/>
        <v>0</v>
      </c>
      <c r="J79" s="25">
        <f t="shared" si="14"/>
        <v>0</v>
      </c>
      <c r="K79" s="25">
        <f t="shared" si="9"/>
        <v>40.090000000000003</v>
      </c>
    </row>
    <row r="80" spans="1:11">
      <c r="A80" t="s">
        <v>79</v>
      </c>
      <c r="B80" s="31"/>
      <c r="C80">
        <v>3367000</v>
      </c>
      <c r="D80">
        <v>3374000</v>
      </c>
      <c r="E80">
        <f t="shared" si="8"/>
        <v>7000</v>
      </c>
      <c r="F80" s="25">
        <f t="shared" si="10"/>
        <v>40.090000000000003</v>
      </c>
      <c r="G80" s="25">
        <f t="shared" si="11"/>
        <v>0</v>
      </c>
      <c r="H80" s="25">
        <f t="shared" si="12"/>
        <v>0</v>
      </c>
      <c r="I80" s="25">
        <f t="shared" si="13"/>
        <v>0</v>
      </c>
      <c r="J80" s="25">
        <f t="shared" si="14"/>
        <v>0</v>
      </c>
      <c r="K80" s="25">
        <f t="shared" si="9"/>
        <v>40.090000000000003</v>
      </c>
    </row>
    <row r="81" spans="1:11">
      <c r="A81" t="s">
        <v>80</v>
      </c>
      <c r="B81" s="31"/>
      <c r="C81">
        <v>2976000</v>
      </c>
      <c r="D81">
        <v>2980000</v>
      </c>
      <c r="E81">
        <f t="shared" si="8"/>
        <v>4000</v>
      </c>
      <c r="F81" s="25">
        <f t="shared" si="10"/>
        <v>40.090000000000003</v>
      </c>
      <c r="G81" s="25">
        <f t="shared" si="11"/>
        <v>0</v>
      </c>
      <c r="H81" s="25">
        <f t="shared" si="12"/>
        <v>0</v>
      </c>
      <c r="I81" s="25">
        <f t="shared" si="13"/>
        <v>0</v>
      </c>
      <c r="J81" s="25">
        <f t="shared" si="14"/>
        <v>0</v>
      </c>
      <c r="K81" s="25">
        <f t="shared" si="9"/>
        <v>40.090000000000003</v>
      </c>
    </row>
    <row r="82" spans="1:11">
      <c r="A82" t="s">
        <v>81</v>
      </c>
      <c r="B82" s="31" t="s">
        <v>138</v>
      </c>
      <c r="C82">
        <v>0</v>
      </c>
      <c r="D82">
        <v>0</v>
      </c>
      <c r="E82">
        <f t="shared" si="8"/>
        <v>0</v>
      </c>
      <c r="F82" s="25">
        <f t="shared" si="10"/>
        <v>11.79</v>
      </c>
      <c r="G82" s="25">
        <f t="shared" si="11"/>
        <v>0</v>
      </c>
      <c r="H82" s="25">
        <f t="shared" si="12"/>
        <v>0</v>
      </c>
      <c r="I82" s="25">
        <f t="shared" si="13"/>
        <v>0</v>
      </c>
      <c r="J82" s="25">
        <f t="shared" si="14"/>
        <v>0</v>
      </c>
      <c r="K82" s="25">
        <f t="shared" si="9"/>
        <v>11.79</v>
      </c>
    </row>
    <row r="83" spans="1:11">
      <c r="A83" t="s">
        <v>82</v>
      </c>
      <c r="B83" s="31"/>
      <c r="C83">
        <v>2960000</v>
      </c>
      <c r="D83">
        <v>2969000</v>
      </c>
      <c r="E83">
        <f t="shared" si="8"/>
        <v>9000</v>
      </c>
      <c r="F83" s="25">
        <f t="shared" si="10"/>
        <v>40.090000000000003</v>
      </c>
      <c r="G83" s="25">
        <f t="shared" si="11"/>
        <v>0</v>
      </c>
      <c r="H83" s="25">
        <f t="shared" si="12"/>
        <v>0</v>
      </c>
      <c r="I83" s="25">
        <f t="shared" si="13"/>
        <v>0</v>
      </c>
      <c r="J83" s="25">
        <f t="shared" si="14"/>
        <v>0</v>
      </c>
      <c r="K83" s="25">
        <f t="shared" si="9"/>
        <v>40.090000000000003</v>
      </c>
    </row>
    <row r="84" spans="1:11">
      <c r="A84" t="s">
        <v>83</v>
      </c>
      <c r="B84" s="31"/>
      <c r="C84">
        <v>7270000</v>
      </c>
      <c r="D84">
        <v>7274000</v>
      </c>
      <c r="E84">
        <f t="shared" si="8"/>
        <v>4000</v>
      </c>
      <c r="F84" s="25">
        <f t="shared" si="10"/>
        <v>40.090000000000003</v>
      </c>
      <c r="G84" s="25">
        <f t="shared" si="11"/>
        <v>0</v>
      </c>
      <c r="H84" s="25">
        <f t="shared" si="12"/>
        <v>0</v>
      </c>
      <c r="I84" s="25">
        <f t="shared" si="13"/>
        <v>0</v>
      </c>
      <c r="J84" s="25">
        <f t="shared" si="14"/>
        <v>0</v>
      </c>
      <c r="K84" s="25">
        <f t="shared" si="9"/>
        <v>40.090000000000003</v>
      </c>
    </row>
    <row r="85" spans="1:11">
      <c r="A85" t="s">
        <v>84</v>
      </c>
      <c r="B85" s="31"/>
      <c r="C85">
        <v>2568000</v>
      </c>
      <c r="D85">
        <v>2853000</v>
      </c>
      <c r="E85">
        <f t="shared" si="8"/>
        <v>285000</v>
      </c>
      <c r="F85" s="25">
        <f t="shared" si="10"/>
        <v>40.090000000000003</v>
      </c>
      <c r="G85" s="25">
        <f t="shared" si="11"/>
        <v>21.8</v>
      </c>
      <c r="H85" s="25">
        <f t="shared" si="12"/>
        <v>25.299999999999997</v>
      </c>
      <c r="I85" s="25">
        <f t="shared" si="13"/>
        <v>29.5</v>
      </c>
      <c r="J85" s="25">
        <f t="shared" si="14"/>
        <v>837.9</v>
      </c>
      <c r="K85" s="25">
        <f t="shared" si="9"/>
        <v>954.58999999999992</v>
      </c>
    </row>
    <row r="86" spans="1:11">
      <c r="A86" t="s">
        <v>85</v>
      </c>
      <c r="B86" s="31"/>
      <c r="C86">
        <v>1902000</v>
      </c>
      <c r="D86">
        <v>1905000</v>
      </c>
      <c r="E86">
        <f t="shared" si="8"/>
        <v>3000</v>
      </c>
      <c r="F86" s="25">
        <f t="shared" si="10"/>
        <v>40.090000000000003</v>
      </c>
      <c r="G86" s="25">
        <f t="shared" si="11"/>
        <v>0</v>
      </c>
      <c r="H86" s="25">
        <f t="shared" si="12"/>
        <v>0</v>
      </c>
      <c r="I86" s="25">
        <f t="shared" si="13"/>
        <v>0</v>
      </c>
      <c r="J86" s="25">
        <f t="shared" si="14"/>
        <v>0</v>
      </c>
      <c r="K86" s="25">
        <f t="shared" si="9"/>
        <v>40.090000000000003</v>
      </c>
    </row>
    <row r="87" spans="1:11">
      <c r="A87" t="s">
        <v>86</v>
      </c>
      <c r="B87" s="31"/>
      <c r="C87">
        <v>1798000</v>
      </c>
      <c r="D87">
        <v>1801000</v>
      </c>
      <c r="E87">
        <f t="shared" si="8"/>
        <v>3000</v>
      </c>
      <c r="F87" s="25">
        <f t="shared" si="10"/>
        <v>40.090000000000003</v>
      </c>
      <c r="G87" s="25">
        <f t="shared" si="11"/>
        <v>0</v>
      </c>
      <c r="H87" s="25">
        <f t="shared" si="12"/>
        <v>0</v>
      </c>
      <c r="I87" s="25">
        <f t="shared" si="13"/>
        <v>0</v>
      </c>
      <c r="J87" s="25">
        <f t="shared" si="14"/>
        <v>0</v>
      </c>
      <c r="K87" s="25">
        <f t="shared" si="9"/>
        <v>40.090000000000003</v>
      </c>
    </row>
    <row r="88" spans="1:11">
      <c r="A88" t="s">
        <v>87</v>
      </c>
      <c r="B88" s="31" t="s">
        <v>138</v>
      </c>
      <c r="C88">
        <v>0</v>
      </c>
      <c r="D88">
        <v>0</v>
      </c>
      <c r="E88">
        <f t="shared" si="8"/>
        <v>0</v>
      </c>
      <c r="F88" s="25">
        <f t="shared" si="10"/>
        <v>11.79</v>
      </c>
      <c r="G88" s="25">
        <f t="shared" si="11"/>
        <v>0</v>
      </c>
      <c r="H88" s="25">
        <f t="shared" si="12"/>
        <v>0</v>
      </c>
      <c r="I88" s="25">
        <f t="shared" si="13"/>
        <v>0</v>
      </c>
      <c r="J88" s="25">
        <f t="shared" si="14"/>
        <v>0</v>
      </c>
      <c r="K88" s="25">
        <f t="shared" si="9"/>
        <v>11.79</v>
      </c>
    </row>
    <row r="89" spans="1:11">
      <c r="A89" t="s">
        <v>88</v>
      </c>
      <c r="B89" s="31"/>
      <c r="C89">
        <v>1205000</v>
      </c>
      <c r="D89">
        <v>1207000</v>
      </c>
      <c r="E89">
        <f t="shared" si="8"/>
        <v>2000</v>
      </c>
      <c r="F89" s="25">
        <f t="shared" si="10"/>
        <v>40.090000000000003</v>
      </c>
      <c r="G89" s="25">
        <f t="shared" si="11"/>
        <v>0</v>
      </c>
      <c r="H89" s="25">
        <f t="shared" si="12"/>
        <v>0</v>
      </c>
      <c r="I89" s="25">
        <f t="shared" si="13"/>
        <v>0</v>
      </c>
      <c r="J89" s="25">
        <f t="shared" si="14"/>
        <v>0</v>
      </c>
      <c r="K89" s="25">
        <f t="shared" si="9"/>
        <v>40.090000000000003</v>
      </c>
    </row>
    <row r="90" spans="1:11">
      <c r="A90" t="s">
        <v>89</v>
      </c>
      <c r="B90" s="31"/>
      <c r="C90">
        <v>2044000</v>
      </c>
      <c r="D90">
        <v>2049000</v>
      </c>
      <c r="E90">
        <f t="shared" si="8"/>
        <v>5000</v>
      </c>
      <c r="F90" s="25">
        <f t="shared" si="10"/>
        <v>40.090000000000003</v>
      </c>
      <c r="G90" s="25">
        <f t="shared" si="11"/>
        <v>0</v>
      </c>
      <c r="H90" s="25">
        <f t="shared" si="12"/>
        <v>0</v>
      </c>
      <c r="I90" s="25">
        <f t="shared" si="13"/>
        <v>0</v>
      </c>
      <c r="J90" s="25">
        <f t="shared" si="14"/>
        <v>0</v>
      </c>
      <c r="K90" s="25">
        <f t="shared" si="9"/>
        <v>40.090000000000003</v>
      </c>
    </row>
    <row r="91" spans="1:11">
      <c r="A91" t="s">
        <v>90</v>
      </c>
      <c r="B91" s="31"/>
      <c r="C91">
        <v>1195000</v>
      </c>
      <c r="D91">
        <v>1200000</v>
      </c>
      <c r="E91">
        <f t="shared" si="8"/>
        <v>5000</v>
      </c>
      <c r="F91" s="25">
        <f t="shared" si="10"/>
        <v>40.090000000000003</v>
      </c>
      <c r="G91" s="25">
        <f t="shared" si="11"/>
        <v>0</v>
      </c>
      <c r="H91" s="25">
        <f t="shared" si="12"/>
        <v>0</v>
      </c>
      <c r="I91" s="25">
        <f t="shared" si="13"/>
        <v>0</v>
      </c>
      <c r="J91" s="25">
        <f t="shared" si="14"/>
        <v>0</v>
      </c>
      <c r="K91" s="25">
        <f t="shared" si="9"/>
        <v>40.090000000000003</v>
      </c>
    </row>
    <row r="92" spans="1:11">
      <c r="A92" t="s">
        <v>91</v>
      </c>
      <c r="B92" s="31"/>
      <c r="C92">
        <v>206400</v>
      </c>
      <c r="D92">
        <v>210100</v>
      </c>
      <c r="E92">
        <f t="shared" si="8"/>
        <v>3700</v>
      </c>
      <c r="F92" s="25">
        <f t="shared" si="10"/>
        <v>40.090000000000003</v>
      </c>
      <c r="G92" s="25">
        <f t="shared" si="11"/>
        <v>0</v>
      </c>
      <c r="H92" s="25">
        <f t="shared" si="12"/>
        <v>0</v>
      </c>
      <c r="I92" s="25">
        <f t="shared" si="13"/>
        <v>0</v>
      </c>
      <c r="J92" s="25">
        <f t="shared" si="14"/>
        <v>0</v>
      </c>
      <c r="K92" s="25">
        <f t="shared" si="9"/>
        <v>40.090000000000003</v>
      </c>
    </row>
    <row r="93" spans="1:11">
      <c r="A93" t="s">
        <v>92</v>
      </c>
      <c r="B93" s="31"/>
      <c r="C93">
        <v>2437000</v>
      </c>
      <c r="D93">
        <v>2444000</v>
      </c>
      <c r="E93">
        <f t="shared" si="8"/>
        <v>7000</v>
      </c>
      <c r="F93" s="25">
        <f t="shared" si="10"/>
        <v>40.090000000000003</v>
      </c>
      <c r="G93" s="25">
        <f t="shared" si="11"/>
        <v>0</v>
      </c>
      <c r="H93" s="25">
        <f t="shared" si="12"/>
        <v>0</v>
      </c>
      <c r="I93" s="25">
        <f t="shared" si="13"/>
        <v>0</v>
      </c>
      <c r="J93" s="25">
        <f t="shared" si="14"/>
        <v>0</v>
      </c>
      <c r="K93" s="25">
        <f t="shared" si="9"/>
        <v>40.090000000000003</v>
      </c>
    </row>
    <row r="94" spans="1:11">
      <c r="A94" t="s">
        <v>93</v>
      </c>
      <c r="B94" s="31" t="s">
        <v>138</v>
      </c>
      <c r="C94">
        <v>0</v>
      </c>
      <c r="D94">
        <v>0</v>
      </c>
      <c r="E94">
        <f t="shared" si="8"/>
        <v>0</v>
      </c>
      <c r="F94" s="25">
        <f t="shared" si="10"/>
        <v>11.79</v>
      </c>
      <c r="G94" s="25">
        <f t="shared" si="11"/>
        <v>0</v>
      </c>
      <c r="H94" s="25">
        <f t="shared" si="12"/>
        <v>0</v>
      </c>
      <c r="I94" s="25">
        <f t="shared" si="13"/>
        <v>0</v>
      </c>
      <c r="J94" s="25">
        <f t="shared" si="14"/>
        <v>0</v>
      </c>
      <c r="K94" s="25">
        <f t="shared" si="9"/>
        <v>11.79</v>
      </c>
    </row>
    <row r="95" spans="1:11">
      <c r="A95" t="s">
        <v>94</v>
      </c>
      <c r="B95" s="31" t="s">
        <v>138</v>
      </c>
      <c r="C95">
        <v>0</v>
      </c>
      <c r="D95">
        <v>0</v>
      </c>
      <c r="E95">
        <f t="shared" si="8"/>
        <v>0</v>
      </c>
      <c r="F95" s="25">
        <f t="shared" si="10"/>
        <v>11.79</v>
      </c>
      <c r="G95" s="25">
        <f t="shared" si="11"/>
        <v>0</v>
      </c>
      <c r="H95" s="25">
        <f t="shared" si="12"/>
        <v>0</v>
      </c>
      <c r="I95" s="25">
        <f t="shared" si="13"/>
        <v>0</v>
      </c>
      <c r="J95" s="25">
        <f t="shared" si="14"/>
        <v>0</v>
      </c>
      <c r="K95" s="25">
        <f t="shared" si="9"/>
        <v>11.79</v>
      </c>
    </row>
    <row r="96" spans="1:11">
      <c r="A96" t="s">
        <v>95</v>
      </c>
      <c r="B96" s="31" t="s">
        <v>138</v>
      </c>
      <c r="C96">
        <v>0</v>
      </c>
      <c r="D96">
        <v>0</v>
      </c>
      <c r="E96">
        <f t="shared" si="8"/>
        <v>0</v>
      </c>
      <c r="F96" s="25">
        <f t="shared" si="10"/>
        <v>11.79</v>
      </c>
      <c r="G96" s="25">
        <f t="shared" si="11"/>
        <v>0</v>
      </c>
      <c r="H96" s="25">
        <f t="shared" si="12"/>
        <v>0</v>
      </c>
      <c r="I96" s="25">
        <f t="shared" si="13"/>
        <v>0</v>
      </c>
      <c r="J96" s="25">
        <f t="shared" si="14"/>
        <v>0</v>
      </c>
      <c r="K96" s="25">
        <f t="shared" si="9"/>
        <v>11.79</v>
      </c>
    </row>
    <row r="97" spans="1:11">
      <c r="A97" t="s">
        <v>96</v>
      </c>
      <c r="B97" s="31"/>
      <c r="C97">
        <v>1758000</v>
      </c>
      <c r="D97">
        <v>1763000</v>
      </c>
      <c r="E97">
        <f t="shared" si="8"/>
        <v>5000</v>
      </c>
      <c r="F97" s="25">
        <f t="shared" si="10"/>
        <v>40.090000000000003</v>
      </c>
      <c r="G97" s="25">
        <f t="shared" si="11"/>
        <v>0</v>
      </c>
      <c r="H97" s="25">
        <f t="shared" si="12"/>
        <v>0</v>
      </c>
      <c r="I97" s="25">
        <f t="shared" si="13"/>
        <v>0</v>
      </c>
      <c r="J97" s="25">
        <f t="shared" si="14"/>
        <v>0</v>
      </c>
      <c r="K97" s="25">
        <f t="shared" si="9"/>
        <v>40.090000000000003</v>
      </c>
    </row>
    <row r="98" spans="1:11">
      <c r="A98" t="s">
        <v>97</v>
      </c>
      <c r="B98" s="31" t="s">
        <v>138</v>
      </c>
      <c r="C98">
        <v>0</v>
      </c>
      <c r="D98">
        <v>0</v>
      </c>
      <c r="E98">
        <f t="shared" si="8"/>
        <v>0</v>
      </c>
      <c r="F98" s="25">
        <f t="shared" si="10"/>
        <v>11.79</v>
      </c>
      <c r="G98" s="25">
        <f t="shared" si="11"/>
        <v>0</v>
      </c>
      <c r="H98" s="25">
        <f t="shared" si="12"/>
        <v>0</v>
      </c>
      <c r="I98" s="25">
        <f t="shared" si="13"/>
        <v>0</v>
      </c>
      <c r="J98" s="25">
        <f t="shared" si="14"/>
        <v>0</v>
      </c>
      <c r="K98" s="25">
        <f t="shared" si="9"/>
        <v>11.79</v>
      </c>
    </row>
    <row r="99" spans="1:11">
      <c r="A99" t="s">
        <v>98</v>
      </c>
      <c r="B99" s="31" t="s">
        <v>138</v>
      </c>
      <c r="C99">
        <v>0</v>
      </c>
      <c r="D99">
        <v>0</v>
      </c>
      <c r="E99">
        <f t="shared" si="8"/>
        <v>0</v>
      </c>
      <c r="F99" s="25">
        <f t="shared" si="10"/>
        <v>11.79</v>
      </c>
      <c r="G99" s="25">
        <f t="shared" si="11"/>
        <v>0</v>
      </c>
      <c r="H99" s="25">
        <f t="shared" si="12"/>
        <v>0</v>
      </c>
      <c r="I99" s="25">
        <f t="shared" si="13"/>
        <v>0</v>
      </c>
      <c r="J99" s="25">
        <f t="shared" si="14"/>
        <v>0</v>
      </c>
      <c r="K99" s="25">
        <f t="shared" si="9"/>
        <v>11.79</v>
      </c>
    </row>
    <row r="100" spans="1:11">
      <c r="A100" t="s">
        <v>99</v>
      </c>
      <c r="B100" s="31"/>
      <c r="C100">
        <v>1639000</v>
      </c>
      <c r="D100">
        <v>1639000</v>
      </c>
      <c r="E100">
        <f t="shared" si="8"/>
        <v>0</v>
      </c>
      <c r="F100" s="25">
        <f t="shared" si="10"/>
        <v>40.090000000000003</v>
      </c>
      <c r="G100" s="25">
        <f t="shared" si="11"/>
        <v>0</v>
      </c>
      <c r="H100" s="25">
        <f t="shared" si="12"/>
        <v>0</v>
      </c>
      <c r="I100" s="25">
        <f t="shared" si="13"/>
        <v>0</v>
      </c>
      <c r="J100" s="25">
        <f t="shared" si="14"/>
        <v>0</v>
      </c>
      <c r="K100" s="25">
        <f t="shared" si="9"/>
        <v>40.090000000000003</v>
      </c>
    </row>
    <row r="101" spans="1:11">
      <c r="A101" t="s">
        <v>100</v>
      </c>
      <c r="B101" s="31"/>
      <c r="C101">
        <v>472000</v>
      </c>
      <c r="D101">
        <v>477000</v>
      </c>
      <c r="E101">
        <f t="shared" si="8"/>
        <v>5000</v>
      </c>
      <c r="F101" s="25">
        <f t="shared" si="10"/>
        <v>40.090000000000003</v>
      </c>
      <c r="G101" s="25">
        <f t="shared" si="11"/>
        <v>0</v>
      </c>
      <c r="H101" s="25">
        <f t="shared" si="12"/>
        <v>0</v>
      </c>
      <c r="I101" s="25">
        <f t="shared" si="13"/>
        <v>0</v>
      </c>
      <c r="J101" s="25">
        <f t="shared" si="14"/>
        <v>0</v>
      </c>
      <c r="K101" s="25">
        <f t="shared" si="9"/>
        <v>40.090000000000003</v>
      </c>
    </row>
    <row r="102" spans="1:11">
      <c r="A102" t="s">
        <v>101</v>
      </c>
      <c r="B102" s="31"/>
      <c r="C102">
        <v>4421000</v>
      </c>
      <c r="D102">
        <v>4425000</v>
      </c>
      <c r="E102">
        <f t="shared" si="8"/>
        <v>4000</v>
      </c>
      <c r="F102" s="25">
        <f t="shared" si="10"/>
        <v>40.090000000000003</v>
      </c>
      <c r="G102" s="25">
        <f t="shared" si="11"/>
        <v>0</v>
      </c>
      <c r="H102" s="25">
        <f t="shared" si="12"/>
        <v>0</v>
      </c>
      <c r="I102" s="25">
        <f t="shared" si="13"/>
        <v>0</v>
      </c>
      <c r="J102" s="25">
        <f t="shared" si="14"/>
        <v>0</v>
      </c>
      <c r="K102" s="25">
        <f t="shared" si="9"/>
        <v>40.090000000000003</v>
      </c>
    </row>
    <row r="103" spans="1:11">
      <c r="A103" t="s">
        <v>102</v>
      </c>
      <c r="B103" s="31" t="s">
        <v>138</v>
      </c>
      <c r="C103">
        <v>0</v>
      </c>
      <c r="D103">
        <v>0</v>
      </c>
      <c r="E103">
        <f t="shared" si="8"/>
        <v>0</v>
      </c>
      <c r="F103" s="25">
        <f t="shared" si="10"/>
        <v>11.79</v>
      </c>
      <c r="G103" s="25">
        <f t="shared" si="11"/>
        <v>0</v>
      </c>
      <c r="H103" s="25">
        <f t="shared" si="12"/>
        <v>0</v>
      </c>
      <c r="I103" s="25">
        <f t="shared" si="13"/>
        <v>0</v>
      </c>
      <c r="J103" s="25">
        <f t="shared" si="14"/>
        <v>0</v>
      </c>
      <c r="K103" s="25">
        <f t="shared" si="9"/>
        <v>11.79</v>
      </c>
    </row>
    <row r="104" spans="1:11">
      <c r="A104" t="s">
        <v>103</v>
      </c>
      <c r="B104" s="31"/>
      <c r="C104">
        <v>1013000</v>
      </c>
      <c r="D104">
        <v>1024000</v>
      </c>
      <c r="E104">
        <f t="shared" si="8"/>
        <v>11000</v>
      </c>
      <c r="F104" s="25">
        <f t="shared" si="10"/>
        <v>40.090000000000003</v>
      </c>
      <c r="G104" s="25">
        <f t="shared" si="11"/>
        <v>2.1800000000000002</v>
      </c>
      <c r="H104" s="25">
        <f t="shared" si="12"/>
        <v>0</v>
      </c>
      <c r="I104" s="25">
        <f t="shared" si="13"/>
        <v>0</v>
      </c>
      <c r="J104" s="25">
        <f t="shared" si="14"/>
        <v>0</v>
      </c>
      <c r="K104" s="25">
        <f t="shared" si="9"/>
        <v>42.27</v>
      </c>
    </row>
    <row r="105" spans="1:11">
      <c r="A105" t="s">
        <v>104</v>
      </c>
      <c r="B105" s="31" t="s">
        <v>138</v>
      </c>
      <c r="C105">
        <v>0</v>
      </c>
      <c r="D105">
        <v>0</v>
      </c>
      <c r="E105">
        <f t="shared" si="8"/>
        <v>0</v>
      </c>
      <c r="F105" s="25">
        <f t="shared" si="10"/>
        <v>11.79</v>
      </c>
      <c r="G105" s="25">
        <f t="shared" si="11"/>
        <v>0</v>
      </c>
      <c r="H105" s="25">
        <f t="shared" si="12"/>
        <v>0</v>
      </c>
      <c r="I105" s="25">
        <f t="shared" si="13"/>
        <v>0</v>
      </c>
      <c r="J105" s="25">
        <f t="shared" si="14"/>
        <v>0</v>
      </c>
      <c r="K105" s="25">
        <f t="shared" si="9"/>
        <v>11.79</v>
      </c>
    </row>
    <row r="106" spans="1:11">
      <c r="A106" t="s">
        <v>105</v>
      </c>
      <c r="B106" s="31"/>
      <c r="C106">
        <v>1258000</v>
      </c>
      <c r="D106">
        <v>1260000</v>
      </c>
      <c r="E106">
        <f t="shared" si="8"/>
        <v>2000</v>
      </c>
      <c r="F106" s="25">
        <f t="shared" si="10"/>
        <v>40.090000000000003</v>
      </c>
      <c r="G106" s="25">
        <f t="shared" si="11"/>
        <v>0</v>
      </c>
      <c r="H106" s="25">
        <f t="shared" si="12"/>
        <v>0</v>
      </c>
      <c r="I106" s="25">
        <f t="shared" si="13"/>
        <v>0</v>
      </c>
      <c r="J106" s="25">
        <f t="shared" si="14"/>
        <v>0</v>
      </c>
      <c r="K106" s="25">
        <f t="shared" si="9"/>
        <v>40.090000000000003</v>
      </c>
    </row>
    <row r="107" spans="1:11">
      <c r="A107" t="s">
        <v>106</v>
      </c>
      <c r="B107" s="31"/>
      <c r="C107">
        <v>1777000</v>
      </c>
      <c r="D107">
        <v>1779000</v>
      </c>
      <c r="E107">
        <f t="shared" si="8"/>
        <v>2000</v>
      </c>
      <c r="F107" s="25">
        <f t="shared" si="10"/>
        <v>40.090000000000003</v>
      </c>
      <c r="G107" s="25">
        <f t="shared" si="11"/>
        <v>0</v>
      </c>
      <c r="H107" s="25">
        <f t="shared" si="12"/>
        <v>0</v>
      </c>
      <c r="I107" s="25">
        <f t="shared" si="13"/>
        <v>0</v>
      </c>
      <c r="J107" s="25">
        <f t="shared" si="14"/>
        <v>0</v>
      </c>
      <c r="K107" s="25">
        <f t="shared" si="9"/>
        <v>40.090000000000003</v>
      </c>
    </row>
    <row r="108" spans="1:11">
      <c r="A108" t="s">
        <v>107</v>
      </c>
      <c r="B108" s="31"/>
      <c r="C108">
        <v>304000</v>
      </c>
      <c r="D108">
        <v>305000</v>
      </c>
      <c r="E108">
        <f t="shared" si="8"/>
        <v>1000</v>
      </c>
      <c r="F108" s="25">
        <f t="shared" si="10"/>
        <v>40.090000000000003</v>
      </c>
      <c r="G108" s="25">
        <f t="shared" si="11"/>
        <v>0</v>
      </c>
      <c r="H108" s="25">
        <f t="shared" si="12"/>
        <v>0</v>
      </c>
      <c r="I108" s="25">
        <f t="shared" si="13"/>
        <v>0</v>
      </c>
      <c r="J108" s="25">
        <f t="shared" si="14"/>
        <v>0</v>
      </c>
      <c r="K108" s="25">
        <f t="shared" si="9"/>
        <v>40.090000000000003</v>
      </c>
    </row>
    <row r="109" spans="1:11">
      <c r="A109" t="s">
        <v>108</v>
      </c>
      <c r="B109" s="31"/>
      <c r="C109">
        <v>2445000</v>
      </c>
      <c r="D109">
        <v>2455000</v>
      </c>
      <c r="E109">
        <f t="shared" si="8"/>
        <v>10000</v>
      </c>
      <c r="F109" s="25">
        <f t="shared" si="10"/>
        <v>40.090000000000003</v>
      </c>
      <c r="G109" s="25">
        <f t="shared" si="11"/>
        <v>0</v>
      </c>
      <c r="H109" s="25">
        <f t="shared" si="12"/>
        <v>0</v>
      </c>
      <c r="I109" s="25">
        <f t="shared" si="13"/>
        <v>0</v>
      </c>
      <c r="J109" s="25">
        <f t="shared" si="14"/>
        <v>0</v>
      </c>
      <c r="K109" s="25">
        <f t="shared" si="9"/>
        <v>40.090000000000003</v>
      </c>
    </row>
    <row r="110" spans="1:11">
      <c r="A110" t="s">
        <v>109</v>
      </c>
      <c r="B110" s="31" t="s">
        <v>138</v>
      </c>
      <c r="C110">
        <v>0</v>
      </c>
      <c r="D110">
        <v>0</v>
      </c>
      <c r="E110">
        <f t="shared" si="8"/>
        <v>0</v>
      </c>
      <c r="F110" s="25">
        <f t="shared" si="10"/>
        <v>11.79</v>
      </c>
      <c r="G110" s="25">
        <f t="shared" si="11"/>
        <v>0</v>
      </c>
      <c r="H110" s="25">
        <f t="shared" si="12"/>
        <v>0</v>
      </c>
      <c r="I110" s="25">
        <f t="shared" si="13"/>
        <v>0</v>
      </c>
      <c r="J110" s="25">
        <f t="shared" si="14"/>
        <v>0</v>
      </c>
      <c r="K110" s="25">
        <f t="shared" si="9"/>
        <v>11.79</v>
      </c>
    </row>
    <row r="111" spans="1:11">
      <c r="A111" t="s">
        <v>110</v>
      </c>
      <c r="B111" s="31"/>
      <c r="C111">
        <v>3699000</v>
      </c>
      <c r="D111">
        <v>3719000</v>
      </c>
      <c r="E111">
        <f t="shared" si="8"/>
        <v>20000</v>
      </c>
      <c r="F111" s="25">
        <f t="shared" si="10"/>
        <v>40.090000000000003</v>
      </c>
      <c r="G111" s="25">
        <f t="shared" si="11"/>
        <v>0</v>
      </c>
      <c r="H111" s="25">
        <f t="shared" si="12"/>
        <v>0</v>
      </c>
      <c r="I111" s="25">
        <f t="shared" si="13"/>
        <v>0</v>
      </c>
      <c r="J111" s="25">
        <f t="shared" si="14"/>
        <v>0</v>
      </c>
      <c r="K111" s="25">
        <f t="shared" si="9"/>
        <v>40.090000000000003</v>
      </c>
    </row>
    <row r="112" spans="1:11">
      <c r="A112" t="s">
        <v>111</v>
      </c>
      <c r="B112" s="31"/>
      <c r="C112">
        <v>3307000</v>
      </c>
      <c r="D112">
        <v>3314000</v>
      </c>
      <c r="E112">
        <f t="shared" si="8"/>
        <v>7000</v>
      </c>
      <c r="F112" s="25">
        <f t="shared" si="10"/>
        <v>40.090000000000003</v>
      </c>
      <c r="G112" s="25">
        <f t="shared" si="11"/>
        <v>0</v>
      </c>
      <c r="H112" s="25">
        <f t="shared" si="12"/>
        <v>0</v>
      </c>
      <c r="I112" s="25">
        <f t="shared" si="13"/>
        <v>0</v>
      </c>
      <c r="J112" s="25">
        <f t="shared" si="14"/>
        <v>0</v>
      </c>
      <c r="K112" s="25">
        <f t="shared" si="9"/>
        <v>40.090000000000003</v>
      </c>
    </row>
    <row r="113" spans="1:11">
      <c r="A113" t="s">
        <v>112</v>
      </c>
      <c r="B113" s="31"/>
      <c r="C113">
        <v>326000</v>
      </c>
      <c r="D113">
        <v>328000</v>
      </c>
      <c r="E113">
        <f t="shared" si="8"/>
        <v>2000</v>
      </c>
      <c r="F113" s="25">
        <f t="shared" si="10"/>
        <v>40.090000000000003</v>
      </c>
      <c r="G113" s="25">
        <f t="shared" si="11"/>
        <v>0</v>
      </c>
      <c r="H113" s="25">
        <f t="shared" si="12"/>
        <v>0</v>
      </c>
      <c r="I113" s="25">
        <f t="shared" si="13"/>
        <v>0</v>
      </c>
      <c r="J113" s="25">
        <f t="shared" si="14"/>
        <v>0</v>
      </c>
      <c r="K113" s="25">
        <f t="shared" si="9"/>
        <v>40.090000000000003</v>
      </c>
    </row>
    <row r="114" spans="1:11">
      <c r="A114" t="s">
        <v>113</v>
      </c>
      <c r="B114" s="31"/>
      <c r="C114">
        <v>1245000</v>
      </c>
      <c r="D114">
        <v>1256000</v>
      </c>
      <c r="E114">
        <f t="shared" si="8"/>
        <v>11000</v>
      </c>
      <c r="F114" s="25">
        <f t="shared" si="10"/>
        <v>40.090000000000003</v>
      </c>
      <c r="G114" s="25">
        <f t="shared" si="11"/>
        <v>2.1800000000000002</v>
      </c>
      <c r="H114" s="25">
        <f t="shared" si="12"/>
        <v>0</v>
      </c>
      <c r="I114" s="25">
        <f t="shared" si="13"/>
        <v>0</v>
      </c>
      <c r="J114" s="25">
        <f t="shared" si="14"/>
        <v>0</v>
      </c>
      <c r="K114" s="25">
        <f t="shared" si="9"/>
        <v>42.27</v>
      </c>
    </row>
    <row r="115" spans="1:11">
      <c r="A115" t="s">
        <v>114</v>
      </c>
      <c r="B115" s="31"/>
      <c r="C115">
        <v>2529000</v>
      </c>
      <c r="D115">
        <v>2533000</v>
      </c>
      <c r="E115">
        <f t="shared" si="8"/>
        <v>4000</v>
      </c>
      <c r="F115" s="25">
        <f t="shared" si="10"/>
        <v>40.090000000000003</v>
      </c>
      <c r="G115" s="25">
        <f t="shared" si="11"/>
        <v>0</v>
      </c>
      <c r="H115" s="25">
        <f t="shared" si="12"/>
        <v>0</v>
      </c>
      <c r="I115" s="25">
        <f t="shared" si="13"/>
        <v>0</v>
      </c>
      <c r="J115" s="25">
        <f t="shared" si="14"/>
        <v>0</v>
      </c>
      <c r="K115" s="25">
        <f t="shared" si="9"/>
        <v>40.090000000000003</v>
      </c>
    </row>
    <row r="116" spans="1:11">
      <c r="A116" t="s">
        <v>115</v>
      </c>
      <c r="B116" s="31"/>
      <c r="C116">
        <v>2344000</v>
      </c>
      <c r="D116">
        <v>2353000</v>
      </c>
      <c r="E116">
        <f t="shared" si="8"/>
        <v>9000</v>
      </c>
      <c r="F116" s="25">
        <f t="shared" si="10"/>
        <v>40.090000000000003</v>
      </c>
      <c r="G116" s="25">
        <f t="shared" si="11"/>
        <v>0</v>
      </c>
      <c r="H116" s="25">
        <f t="shared" si="12"/>
        <v>0</v>
      </c>
      <c r="I116" s="25">
        <f t="shared" si="13"/>
        <v>0</v>
      </c>
      <c r="J116" s="25">
        <f t="shared" si="14"/>
        <v>0</v>
      </c>
      <c r="K116" s="25">
        <f t="shared" si="9"/>
        <v>40.090000000000003</v>
      </c>
    </row>
    <row r="117" spans="1:11">
      <c r="A117" t="s">
        <v>116</v>
      </c>
      <c r="B117" s="31"/>
      <c r="C117">
        <v>4218000</v>
      </c>
      <c r="D117">
        <v>4222000</v>
      </c>
      <c r="E117">
        <f t="shared" si="8"/>
        <v>4000</v>
      </c>
      <c r="F117" s="25">
        <f t="shared" si="10"/>
        <v>40.090000000000003</v>
      </c>
      <c r="G117" s="25">
        <f t="shared" si="11"/>
        <v>0</v>
      </c>
      <c r="H117" s="25">
        <f t="shared" si="12"/>
        <v>0</v>
      </c>
      <c r="I117" s="25">
        <f t="shared" si="13"/>
        <v>0</v>
      </c>
      <c r="J117" s="25">
        <f t="shared" si="14"/>
        <v>0</v>
      </c>
      <c r="K117" s="25">
        <f t="shared" si="9"/>
        <v>40.090000000000003</v>
      </c>
    </row>
    <row r="118" spans="1:11">
      <c r="A118" t="s">
        <v>117</v>
      </c>
      <c r="B118" s="31"/>
      <c r="C118">
        <v>1844000</v>
      </c>
      <c r="D118">
        <v>1847000</v>
      </c>
      <c r="E118">
        <f t="shared" si="8"/>
        <v>3000</v>
      </c>
      <c r="F118" s="25">
        <f t="shared" si="10"/>
        <v>40.090000000000003</v>
      </c>
      <c r="G118" s="25">
        <f t="shared" si="11"/>
        <v>0</v>
      </c>
      <c r="H118" s="25">
        <f t="shared" si="12"/>
        <v>0</v>
      </c>
      <c r="I118" s="25">
        <f t="shared" si="13"/>
        <v>0</v>
      </c>
      <c r="J118" s="25">
        <f t="shared" si="14"/>
        <v>0</v>
      </c>
      <c r="K118" s="25">
        <f t="shared" si="9"/>
        <v>40.090000000000003</v>
      </c>
    </row>
    <row r="119" spans="1:11">
      <c r="A119" t="s">
        <v>118</v>
      </c>
      <c r="B119" s="31"/>
      <c r="C119">
        <v>1123000</v>
      </c>
      <c r="D119">
        <v>1128000</v>
      </c>
      <c r="E119">
        <f t="shared" si="8"/>
        <v>5000</v>
      </c>
      <c r="F119" s="25">
        <f t="shared" si="10"/>
        <v>40.090000000000003</v>
      </c>
      <c r="G119" s="25">
        <f t="shared" si="11"/>
        <v>0</v>
      </c>
      <c r="H119" s="25">
        <f t="shared" si="12"/>
        <v>0</v>
      </c>
      <c r="I119" s="25">
        <f t="shared" si="13"/>
        <v>0</v>
      </c>
      <c r="J119" s="25">
        <f t="shared" si="14"/>
        <v>0</v>
      </c>
      <c r="K119" s="25">
        <f t="shared" si="9"/>
        <v>40.090000000000003</v>
      </c>
    </row>
    <row r="120" spans="1:11">
      <c r="A120" t="s">
        <v>119</v>
      </c>
      <c r="B120" s="31"/>
      <c r="C120">
        <v>6283000</v>
      </c>
      <c r="D120">
        <v>6301000</v>
      </c>
      <c r="E120">
        <f t="shared" si="8"/>
        <v>18000</v>
      </c>
      <c r="F120" s="25">
        <f t="shared" si="10"/>
        <v>40.090000000000003</v>
      </c>
      <c r="G120" s="25">
        <f t="shared" si="11"/>
        <v>17.440000000000001</v>
      </c>
      <c r="H120" s="25">
        <f t="shared" si="12"/>
        <v>0</v>
      </c>
      <c r="I120" s="25">
        <f t="shared" si="13"/>
        <v>0</v>
      </c>
      <c r="J120" s="25">
        <f t="shared" si="14"/>
        <v>0</v>
      </c>
      <c r="K120" s="25">
        <f t="shared" si="9"/>
        <v>57.53</v>
      </c>
    </row>
    <row r="121" spans="1:11">
      <c r="A121" t="s">
        <v>120</v>
      </c>
      <c r="B121" s="31"/>
      <c r="C121">
        <v>3614000</v>
      </c>
      <c r="D121">
        <v>3619000</v>
      </c>
      <c r="E121">
        <f t="shared" si="8"/>
        <v>5000</v>
      </c>
      <c r="F121" s="25">
        <f t="shared" si="10"/>
        <v>40.090000000000003</v>
      </c>
      <c r="G121" s="25">
        <f t="shared" si="11"/>
        <v>0</v>
      </c>
      <c r="H121" s="25">
        <f t="shared" si="12"/>
        <v>0</v>
      </c>
      <c r="I121" s="25">
        <f t="shared" si="13"/>
        <v>0</v>
      </c>
      <c r="J121" s="25">
        <f t="shared" si="14"/>
        <v>0</v>
      </c>
      <c r="K121" s="25">
        <f t="shared" si="9"/>
        <v>40.090000000000003</v>
      </c>
    </row>
    <row r="122" spans="1:11">
      <c r="A122" t="s">
        <v>121</v>
      </c>
      <c r="B122" s="31" t="s">
        <v>138</v>
      </c>
      <c r="C122">
        <v>0</v>
      </c>
      <c r="D122">
        <v>0</v>
      </c>
      <c r="E122">
        <f t="shared" si="8"/>
        <v>0</v>
      </c>
      <c r="F122" s="25">
        <f t="shared" si="10"/>
        <v>11.79</v>
      </c>
      <c r="G122" s="25">
        <f t="shared" si="11"/>
        <v>0</v>
      </c>
      <c r="H122" s="25">
        <f t="shared" si="12"/>
        <v>0</v>
      </c>
      <c r="I122" s="25">
        <f t="shared" si="13"/>
        <v>0</v>
      </c>
      <c r="J122" s="25">
        <f t="shared" si="14"/>
        <v>0</v>
      </c>
      <c r="K122" s="25">
        <f t="shared" si="9"/>
        <v>11.79</v>
      </c>
    </row>
    <row r="123" spans="1:11">
      <c r="A123" t="s">
        <v>122</v>
      </c>
      <c r="B123" s="31"/>
      <c r="C123">
        <v>1189000</v>
      </c>
      <c r="D123">
        <v>1199000</v>
      </c>
      <c r="E123">
        <f t="shared" si="8"/>
        <v>10000</v>
      </c>
      <c r="F123" s="25">
        <f t="shared" si="10"/>
        <v>40.090000000000003</v>
      </c>
      <c r="G123" s="25">
        <f t="shared" si="11"/>
        <v>0</v>
      </c>
      <c r="H123" s="25">
        <f t="shared" si="12"/>
        <v>0</v>
      </c>
      <c r="I123" s="25">
        <f t="shared" si="13"/>
        <v>0</v>
      </c>
      <c r="J123" s="25">
        <f t="shared" si="14"/>
        <v>0</v>
      </c>
      <c r="K123" s="25">
        <f t="shared" si="9"/>
        <v>40.090000000000003</v>
      </c>
    </row>
    <row r="124" spans="1:11">
      <c r="A124" t="s">
        <v>123</v>
      </c>
      <c r="B124" s="31" t="s">
        <v>138</v>
      </c>
      <c r="C124">
        <v>0</v>
      </c>
      <c r="D124">
        <v>0</v>
      </c>
      <c r="E124">
        <f t="shared" si="8"/>
        <v>0</v>
      </c>
      <c r="F124" s="25">
        <f t="shared" si="10"/>
        <v>11.79</v>
      </c>
      <c r="G124" s="25">
        <f t="shared" si="11"/>
        <v>0</v>
      </c>
      <c r="H124" s="25">
        <f t="shared" si="12"/>
        <v>0</v>
      </c>
      <c r="I124" s="25">
        <f t="shared" si="13"/>
        <v>0</v>
      </c>
      <c r="J124" s="25">
        <f t="shared" si="14"/>
        <v>0</v>
      </c>
      <c r="K124" s="25">
        <f t="shared" si="9"/>
        <v>11.79</v>
      </c>
    </row>
    <row r="125" spans="1:11">
      <c r="A125" t="s">
        <v>124</v>
      </c>
      <c r="B125" s="31" t="s">
        <v>138</v>
      </c>
      <c r="C125">
        <v>0</v>
      </c>
      <c r="D125">
        <v>0</v>
      </c>
      <c r="E125">
        <f t="shared" si="8"/>
        <v>0</v>
      </c>
      <c r="F125" s="25">
        <f t="shared" si="10"/>
        <v>11.79</v>
      </c>
      <c r="G125" s="25">
        <f t="shared" si="11"/>
        <v>0</v>
      </c>
      <c r="H125" s="25">
        <f t="shared" si="12"/>
        <v>0</v>
      </c>
      <c r="I125" s="25">
        <f t="shared" si="13"/>
        <v>0</v>
      </c>
      <c r="J125" s="25">
        <f t="shared" si="14"/>
        <v>0</v>
      </c>
      <c r="K125" s="25">
        <f t="shared" si="9"/>
        <v>11.79</v>
      </c>
    </row>
    <row r="126" spans="1:11">
      <c r="A126" t="s">
        <v>125</v>
      </c>
      <c r="B126" s="31" t="s">
        <v>138</v>
      </c>
      <c r="C126">
        <v>0</v>
      </c>
      <c r="D126">
        <v>0</v>
      </c>
      <c r="E126">
        <f t="shared" si="8"/>
        <v>0</v>
      </c>
      <c r="F126" s="25">
        <f t="shared" si="10"/>
        <v>11.79</v>
      </c>
      <c r="G126" s="25">
        <f t="shared" si="11"/>
        <v>0</v>
      </c>
      <c r="H126" s="25">
        <f t="shared" si="12"/>
        <v>0</v>
      </c>
      <c r="I126" s="25">
        <f t="shared" si="13"/>
        <v>0</v>
      </c>
      <c r="J126" s="25">
        <f t="shared" si="14"/>
        <v>0</v>
      </c>
      <c r="K126" s="25">
        <f t="shared" si="9"/>
        <v>11.79</v>
      </c>
    </row>
    <row r="127" spans="1:11">
      <c r="A127" t="s">
        <v>126</v>
      </c>
      <c r="B127" s="31"/>
      <c r="C127">
        <v>806000</v>
      </c>
      <c r="D127">
        <v>815000</v>
      </c>
      <c r="E127">
        <f t="shared" si="8"/>
        <v>9000</v>
      </c>
      <c r="F127" s="25">
        <f t="shared" si="10"/>
        <v>40.090000000000003</v>
      </c>
      <c r="G127" s="25">
        <f t="shared" si="11"/>
        <v>0</v>
      </c>
      <c r="H127" s="25">
        <f t="shared" si="12"/>
        <v>0</v>
      </c>
      <c r="I127" s="25">
        <f t="shared" si="13"/>
        <v>0</v>
      </c>
      <c r="J127" s="25">
        <f t="shared" si="14"/>
        <v>0</v>
      </c>
      <c r="K127" s="25">
        <f t="shared" si="9"/>
        <v>40.090000000000003</v>
      </c>
    </row>
    <row r="129" spans="1:12">
      <c r="I129" t="s">
        <v>136</v>
      </c>
      <c r="K129" s="34">
        <f>SUM(K2:K128)</f>
        <v>6234.9300000000067</v>
      </c>
    </row>
    <row r="130" spans="1:12" ht="6.75" customHeight="1">
      <c r="A130" s="44"/>
      <c r="B130" s="44"/>
      <c r="C130" s="44"/>
      <c r="D130" s="44"/>
      <c r="E130" s="44"/>
      <c r="F130" s="44"/>
      <c r="G130" s="44"/>
      <c r="H130" s="44"/>
      <c r="I130" s="44"/>
      <c r="J130" s="44"/>
      <c r="K130" s="44"/>
      <c r="L130" s="44"/>
    </row>
    <row r="131" spans="1:12">
      <c r="A131" t="s">
        <v>249</v>
      </c>
      <c r="D131" s="76" t="s">
        <v>256</v>
      </c>
      <c r="E131" s="81">
        <f>SUM(Table211[April Usage])</f>
        <v>1378700</v>
      </c>
      <c r="F131" s="25">
        <f>SUM(Table211[[Base Rate ]])</f>
        <v>4196.7500000000045</v>
      </c>
      <c r="G131" s="25">
        <f>SUM(Table211[Tier1])</f>
        <v>490.30000000000018</v>
      </c>
      <c r="H131" s="25">
        <f>SUM(Table211[Tier2])</f>
        <v>131.56</v>
      </c>
      <c r="I131" s="25">
        <f>SUM(Table211[Tier3])</f>
        <v>147.5</v>
      </c>
      <c r="J131" s="25">
        <f>SUM(Table211[Tier4])</f>
        <v>1268.82</v>
      </c>
      <c r="K131" s="25">
        <f>SUM(F131:J131)</f>
        <v>6234.9300000000048</v>
      </c>
    </row>
    <row r="132" spans="1:12">
      <c r="A132" t="s">
        <v>250</v>
      </c>
    </row>
    <row r="133" spans="1:12">
      <c r="D133" t="s">
        <v>248</v>
      </c>
      <c r="E133" t="s">
        <v>148</v>
      </c>
      <c r="F133" t="s">
        <v>258</v>
      </c>
      <c r="G133" t="s">
        <v>166</v>
      </c>
      <c r="H133" t="s">
        <v>167</v>
      </c>
      <c r="I133" t="s">
        <v>169</v>
      </c>
      <c r="J133" t="s">
        <v>252</v>
      </c>
      <c r="K133" t="s">
        <v>251</v>
      </c>
    </row>
    <row r="134" spans="1:12">
      <c r="A134" t="s">
        <v>254</v>
      </c>
      <c r="D134">
        <v>82</v>
      </c>
      <c r="E134" s="25">
        <v>0</v>
      </c>
      <c r="F134" s="25">
        <f>SUM(F9:F121)-F136</f>
        <v>3287.3800000000028</v>
      </c>
      <c r="G134" s="80">
        <f>SUM(G9:G121)-G136</f>
        <v>137.34</v>
      </c>
      <c r="H134" s="25">
        <f>SUM(H9:H121)-H136</f>
        <v>30.359999999999996</v>
      </c>
      <c r="I134" s="25">
        <f>SUM(I9:I121)-I136</f>
        <v>29.5</v>
      </c>
      <c r="J134" s="25">
        <f>SUM(J9:J121)-J136</f>
        <v>837.9</v>
      </c>
      <c r="K134" s="25">
        <f>SUM(E134:J134)</f>
        <v>4322.4800000000032</v>
      </c>
    </row>
    <row r="135" spans="1:12">
      <c r="A135" t="s">
        <v>255</v>
      </c>
      <c r="D135">
        <v>8</v>
      </c>
      <c r="E135" s="25">
        <v>0</v>
      </c>
      <c r="F135" s="34">
        <f>SUM(F2:F6)+F8+F123+F127</f>
        <v>320.72000000000003</v>
      </c>
      <c r="G135" s="34">
        <f>SUM(G2:G6)+G8+G123+G127</f>
        <v>95.92</v>
      </c>
      <c r="H135" s="34">
        <f>SUM(H2:H6)+H8+H123+H127</f>
        <v>101.19999999999999</v>
      </c>
      <c r="I135" s="34">
        <f>SUM(I2:I6)+I8+I123+I127</f>
        <v>118</v>
      </c>
      <c r="J135" s="34">
        <f>SUM(J2:J6)+J8+J123+J127</f>
        <v>430.91999999999996</v>
      </c>
      <c r="K135" s="25">
        <f>SUM(E135:J135)</f>
        <v>1066.76</v>
      </c>
    </row>
    <row r="136" spans="1:12">
      <c r="A136" t="s">
        <v>260</v>
      </c>
      <c r="D136">
        <v>31</v>
      </c>
      <c r="E136" s="25">
        <v>0</v>
      </c>
      <c r="F136" s="25">
        <f>F110+F105+F103+F99+F98+F96+F95+F94+F88+F82+F75+F72+F68+F64+F61+F60+F59+F56+F52+F48+F47+F46+F42+F41+F40+F31+F30+F25+F24+F22+F14</f>
        <v>365.49000000000007</v>
      </c>
      <c r="G136" s="25">
        <f>G110+G105+G103+G99+G98+G96+G95+G94+G88+G82+G75+G72+G68+G64+G61+G60+G59+G56+G52+G48+G47+G46+G42+G41+G40+G31+G30+G25+G24+G22+G14</f>
        <v>0</v>
      </c>
      <c r="H136" s="25">
        <f>H110+H105+H103+H99+H98+H96+H95+H94+H88+H82+H75+H72+H68+H64+H61+H60+H59+H56+H52+H48+H47+H46+H42+H41+H40+H31+H30+H25+H24+H22+H14</f>
        <v>0</v>
      </c>
      <c r="I136" s="25">
        <f>I110+I105+I103+I99+I98+I96+I95+I94+I88+I82+I75+I72+I68+I64+I61+I60+I59+I56+I52+I48+I47+I46+I42+I41+I40+I31+I30+I25+I24+I22+I14</f>
        <v>0</v>
      </c>
      <c r="J136" s="25">
        <f>J110+J105+J103+J99+J98+J96+J95+J94+J88+J82+J75+J72+J68+J64+J61+J60+J59+J56+J52+J48+J47+J46+J42+J41+J40+J31+J30+J25+J24+J22+J14</f>
        <v>0</v>
      </c>
      <c r="K136" s="25">
        <f>SUM(E136:J136)</f>
        <v>365.49000000000007</v>
      </c>
    </row>
    <row r="137" spans="1:12">
      <c r="A137" t="s">
        <v>261</v>
      </c>
      <c r="D137">
        <v>4</v>
      </c>
      <c r="E137" s="25">
        <v>0</v>
      </c>
      <c r="F137" s="25">
        <f>F126+F125+F124+F122</f>
        <v>47.16</v>
      </c>
      <c r="G137" s="25">
        <f>G126+G125+G124+G122</f>
        <v>0</v>
      </c>
      <c r="H137" s="25">
        <f>H126+H125+H124+H122</f>
        <v>0</v>
      </c>
      <c r="I137" s="25">
        <f>I126+I125+I124+I122</f>
        <v>0</v>
      </c>
      <c r="J137" s="25">
        <f>J126+J125+J124+J122</f>
        <v>0</v>
      </c>
      <c r="K137" s="25">
        <f>SUM(E137:J137)</f>
        <v>47.16</v>
      </c>
    </row>
    <row r="138" spans="1:12">
      <c r="A138" t="s">
        <v>253</v>
      </c>
      <c r="D138">
        <v>1</v>
      </c>
      <c r="E138" s="25">
        <v>0</v>
      </c>
      <c r="F138" s="25">
        <f>F7</f>
        <v>176</v>
      </c>
      <c r="G138" s="25">
        <f>G7</f>
        <v>257.03999999999996</v>
      </c>
      <c r="H138" s="25">
        <f>H7</f>
        <v>0</v>
      </c>
      <c r="I138" s="25">
        <f>I7</f>
        <v>0</v>
      </c>
      <c r="J138" s="25">
        <f>J7</f>
        <v>0</v>
      </c>
      <c r="K138" s="25">
        <f>SUM(E138:J138)</f>
        <v>433.03999999999996</v>
      </c>
    </row>
    <row r="139" spans="1:12" ht="15.75" thickBot="1">
      <c r="B139" t="s">
        <v>257</v>
      </c>
      <c r="D139" s="73">
        <f>SUM(D134:D138)</f>
        <v>126</v>
      </c>
      <c r="E139" s="73"/>
      <c r="F139" s="74">
        <f t="shared" ref="F139:K139" si="15">SUM(F134:F138)</f>
        <v>4196.7500000000036</v>
      </c>
      <c r="G139" s="74">
        <f t="shared" si="15"/>
        <v>490.29999999999995</v>
      </c>
      <c r="H139" s="74">
        <f t="shared" si="15"/>
        <v>131.55999999999997</v>
      </c>
      <c r="I139" s="74">
        <f t="shared" si="15"/>
        <v>147.5</v>
      </c>
      <c r="J139" s="74">
        <f t="shared" si="15"/>
        <v>1268.82</v>
      </c>
      <c r="K139" s="74">
        <f t="shared" si="15"/>
        <v>6234.930000000003</v>
      </c>
    </row>
    <row r="140" spans="1:12" ht="15.75" thickTop="1">
      <c r="D140" s="78"/>
      <c r="E140" s="78"/>
      <c r="F140" s="79"/>
      <c r="G140" s="79"/>
      <c r="H140" s="79"/>
      <c r="I140" s="79"/>
      <c r="J140" s="79"/>
      <c r="K140" s="79"/>
    </row>
    <row r="141" spans="1:12">
      <c r="A141" t="s">
        <v>262</v>
      </c>
      <c r="D141" s="75"/>
      <c r="E141" s="25">
        <v>0</v>
      </c>
      <c r="F141" s="81">
        <f>E131-F142-F143-(SUM(G144:J144))</f>
        <v>493700</v>
      </c>
      <c r="G141" s="81">
        <f>G134/2.18*1000</f>
        <v>63000</v>
      </c>
      <c r="H141" s="81">
        <f>H134/2.53*1000</f>
        <v>12000</v>
      </c>
      <c r="I141" s="81">
        <f>I134/2.95*1000</f>
        <v>10000</v>
      </c>
      <c r="J141" s="81">
        <f>J134/3.42*1000</f>
        <v>245000</v>
      </c>
      <c r="K141" s="81">
        <f>SUM(F141:J141)</f>
        <v>823700</v>
      </c>
    </row>
    <row r="142" spans="1:12">
      <c r="A142" t="s">
        <v>263</v>
      </c>
      <c r="D142" s="75"/>
      <c r="E142" s="25">
        <v>0</v>
      </c>
      <c r="F142" s="81">
        <f>(SUM(E2:E6)+E8+SUM(E122:E127)-G142-H142-I142-J142)</f>
        <v>69000.000000000015</v>
      </c>
      <c r="G142" s="81">
        <f>G135/2.18*1000</f>
        <v>44000</v>
      </c>
      <c r="H142" s="81">
        <f>H135/2.53*1000</f>
        <v>40000</v>
      </c>
      <c r="I142" s="81">
        <f>I135/2.95*1000</f>
        <v>40000</v>
      </c>
      <c r="J142" s="81">
        <f>J135/3.42*1000</f>
        <v>125999.99999999999</v>
      </c>
      <c r="K142" s="81">
        <f>SUM(F142:J142)</f>
        <v>319000</v>
      </c>
    </row>
    <row r="143" spans="1:12">
      <c r="A143" t="s">
        <v>264</v>
      </c>
      <c r="D143" s="75"/>
      <c r="E143" s="25">
        <v>0</v>
      </c>
      <c r="F143" s="81">
        <f>IF(E7&gt;100000,100000,E7)</f>
        <v>100000</v>
      </c>
      <c r="G143" s="81">
        <f>G138/1.89*1000</f>
        <v>136000</v>
      </c>
      <c r="H143" s="81" t="s">
        <v>259</v>
      </c>
      <c r="I143" s="81" t="s">
        <v>259</v>
      </c>
      <c r="J143" s="81" t="s">
        <v>259</v>
      </c>
      <c r="K143" s="81">
        <f>SUM(F143:J143)</f>
        <v>236000</v>
      </c>
    </row>
    <row r="144" spans="1:12" ht="15.75" thickBot="1">
      <c r="B144" t="s">
        <v>265</v>
      </c>
      <c r="D144" s="77"/>
      <c r="E144" s="77"/>
      <c r="F144" s="82">
        <f>F141+F142+F143</f>
        <v>662700</v>
      </c>
      <c r="G144" s="82">
        <f>SUM(G141:G143)</f>
        <v>243000</v>
      </c>
      <c r="H144" s="82">
        <f>SUM(H141:H143)</f>
        <v>52000</v>
      </c>
      <c r="I144" s="82">
        <f>SUM(I141:I143)</f>
        <v>50000</v>
      </c>
      <c r="J144" s="82">
        <f>SUM(J141:J143)</f>
        <v>371000</v>
      </c>
      <c r="K144" s="82">
        <f>SUM(K141:K143)</f>
        <v>1378700</v>
      </c>
    </row>
    <row r="145" ht="15.75" thickTop="1"/>
  </sheetData>
  <pageMargins left="0.7" right="0.7" top="0.83" bottom="0.89" header="0.3" footer="0.2"/>
  <pageSetup paperSize="3" scale="52" orientation="portrait" r:id="rId1"/>
  <headerFooter>
    <oddHeader>&amp;LHi-Country
Customer Usage Summary</oddHeader>
    <oddFooter>&amp;L&amp;A
&amp;F&amp;Rpage &amp;P of &amp;N</oddFooter>
  </headerFooter>
  <tableParts count="1">
    <tablePart r:id="rId2"/>
  </tableParts>
</worksheet>
</file>

<file path=xl/worksheets/sheet3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BM61"/>
  <sheetViews>
    <sheetView zoomScaleNormal="100" zoomScalePageLayoutView="40" workbookViewId="0"/>
  </sheetViews>
  <sheetFormatPr defaultRowHeight="12.75"/>
  <cols>
    <col min="1" max="1" width="3.5703125" style="187" bestFit="1" customWidth="1"/>
    <col min="2" max="2" width="2.5703125" style="58" customWidth="1"/>
    <col min="3" max="3" width="38.7109375" style="58" bestFit="1" customWidth="1"/>
    <col min="4" max="5" width="12.7109375" style="58" bestFit="1" customWidth="1"/>
    <col min="6" max="6" width="1.5703125" style="58" customWidth="1"/>
    <col min="7" max="7" width="16.7109375" style="58" bestFit="1" customWidth="1"/>
    <col min="8" max="8" width="16.7109375" style="58" customWidth="1"/>
    <col min="9" max="9" width="16.7109375" style="184" customWidth="1"/>
    <col min="10" max="10" width="16.7109375" style="58" customWidth="1"/>
    <col min="11" max="11" width="16.42578125" style="58" bestFit="1" customWidth="1"/>
    <col min="12" max="12" width="16.7109375" style="58" bestFit="1" customWidth="1"/>
    <col min="13" max="13" width="16.7109375" style="58" customWidth="1"/>
    <col min="14" max="14" width="16.42578125" style="58" bestFit="1" customWidth="1"/>
    <col min="15" max="15" width="16.7109375" style="58" bestFit="1" customWidth="1"/>
    <col min="16" max="16" width="16.7109375" style="58" customWidth="1"/>
    <col min="17" max="17" width="16.42578125" style="58" bestFit="1" customWidth="1"/>
    <col min="18" max="18" width="12.5703125" style="58" bestFit="1" customWidth="1"/>
    <col min="19" max="19" width="13.85546875" style="58" bestFit="1" customWidth="1"/>
    <col min="20" max="20" width="12.5703125" style="58" bestFit="1" customWidth="1"/>
    <col min="21" max="21" width="13.85546875" style="58" bestFit="1" customWidth="1"/>
    <col min="22" max="22" width="12.5703125" style="58" bestFit="1" customWidth="1"/>
    <col min="23" max="23" width="13.85546875" style="58" bestFit="1" customWidth="1"/>
    <col min="24" max="24" width="12.5703125" style="58" bestFit="1" customWidth="1"/>
    <col min="25" max="25" width="13.85546875" style="58" bestFit="1" customWidth="1"/>
    <col min="26" max="26" width="12.5703125" style="58" bestFit="1" customWidth="1"/>
    <col min="27" max="27" width="13.85546875" style="58" bestFit="1" customWidth="1"/>
    <col min="28" max="28" width="12.5703125" style="58" bestFit="1" customWidth="1"/>
    <col min="29" max="29" width="13.85546875" style="99" bestFit="1" customWidth="1"/>
    <col min="30" max="30" width="12.5703125" style="58" bestFit="1" customWidth="1"/>
    <col min="31" max="31" width="13.85546875" style="58" bestFit="1" customWidth="1"/>
    <col min="32" max="32" width="12.5703125" style="58" bestFit="1" customWidth="1"/>
    <col min="33" max="33" width="13.85546875" style="58" bestFit="1" customWidth="1"/>
    <col min="34" max="34" width="12.5703125" style="58" bestFit="1" customWidth="1"/>
    <col min="35" max="35" width="13.85546875" style="58" bestFit="1" customWidth="1"/>
    <col min="36" max="36" width="12.5703125" style="58" bestFit="1" customWidth="1"/>
    <col min="37" max="37" width="13.85546875" style="58" bestFit="1" customWidth="1"/>
    <col min="38" max="38" width="12.5703125" style="58" bestFit="1" customWidth="1"/>
    <col min="39" max="39" width="13.85546875" style="58" bestFit="1" customWidth="1"/>
    <col min="40" max="40" width="12.5703125" style="58" bestFit="1" customWidth="1"/>
    <col min="41" max="41" width="13.85546875" style="58" bestFit="1" customWidth="1"/>
    <col min="42" max="42" width="12.5703125" style="58" bestFit="1" customWidth="1"/>
    <col min="43" max="43" width="13.85546875" style="58" bestFit="1" customWidth="1"/>
    <col min="44" max="44" width="12.5703125" style="58" bestFit="1" customWidth="1"/>
    <col min="45" max="45" width="13.85546875" style="58" bestFit="1" customWidth="1"/>
    <col min="46" max="46" width="12.5703125" style="58" bestFit="1" customWidth="1"/>
    <col min="47" max="47" width="13.85546875" style="58" bestFit="1" customWidth="1"/>
    <col min="48" max="48" width="12.5703125" style="58" bestFit="1" customWidth="1"/>
    <col min="49" max="49" width="13.85546875" style="58" bestFit="1" customWidth="1"/>
    <col min="50" max="50" width="12.5703125" style="58" bestFit="1" customWidth="1"/>
    <col min="51" max="51" width="13.85546875" style="58" bestFit="1" customWidth="1"/>
    <col min="52" max="52" width="12.5703125" style="58" bestFit="1" customWidth="1"/>
    <col min="53" max="53" width="13.85546875" style="58" bestFit="1" customWidth="1"/>
    <col min="54" max="54" width="12.5703125" style="58" bestFit="1" customWidth="1"/>
    <col min="55" max="55" width="13.85546875" style="58" bestFit="1" customWidth="1"/>
    <col min="56" max="56" width="12.5703125" style="58" bestFit="1" customWidth="1"/>
    <col min="57" max="57" width="13.85546875" style="58" bestFit="1" customWidth="1"/>
    <col min="58" max="58" width="12.5703125" style="58" bestFit="1" customWidth="1"/>
    <col min="59" max="59" width="13.85546875" style="58" bestFit="1" customWidth="1"/>
    <col min="60" max="60" width="12.5703125" style="58" bestFit="1" customWidth="1"/>
    <col min="61" max="61" width="13.85546875" style="58" bestFit="1" customWidth="1"/>
    <col min="62" max="62" width="12.5703125" style="58" bestFit="1" customWidth="1"/>
    <col min="63" max="63" width="13.85546875" style="58" bestFit="1" customWidth="1"/>
    <col min="64" max="64" width="12.5703125" style="58" bestFit="1" customWidth="1"/>
    <col min="65" max="65" width="13.85546875" style="58" bestFit="1" customWidth="1"/>
    <col min="66" max="16384" width="9.140625" style="58"/>
  </cols>
  <sheetData>
    <row r="1" spans="1:65" ht="15" customHeight="1">
      <c r="C1" s="239" t="s">
        <v>390</v>
      </c>
    </row>
    <row r="2" spans="1:65" s="46" customFormat="1" ht="15.75" customHeight="1" thickBot="1">
      <c r="A2" s="186"/>
      <c r="C2" s="240"/>
      <c r="D2" s="58"/>
      <c r="E2" s="58"/>
      <c r="F2" s="58"/>
      <c r="G2" s="57"/>
      <c r="H2" s="57"/>
      <c r="I2" s="178"/>
      <c r="J2" s="57"/>
      <c r="K2" s="45"/>
      <c r="L2" s="45"/>
      <c r="M2" s="45"/>
      <c r="N2" s="45"/>
      <c r="O2" s="45"/>
      <c r="P2" s="45"/>
      <c r="Q2" s="45"/>
      <c r="R2" s="45"/>
      <c r="S2" s="45"/>
      <c r="T2" s="45"/>
      <c r="U2" s="45"/>
      <c r="V2" s="45"/>
      <c r="W2" s="45"/>
      <c r="X2" s="45"/>
      <c r="Y2" s="45"/>
      <c r="Z2" s="45"/>
      <c r="AC2" s="95"/>
    </row>
    <row r="3" spans="1:65" s="46" customFormat="1" ht="13.5" thickBot="1">
      <c r="A3" s="226" t="s">
        <v>288</v>
      </c>
      <c r="B3" s="229" t="s">
        <v>287</v>
      </c>
      <c r="C3" s="230"/>
      <c r="D3" s="59" t="s">
        <v>243</v>
      </c>
      <c r="E3" s="59" t="s">
        <v>243</v>
      </c>
      <c r="F3" s="61"/>
      <c r="G3" s="248" t="s">
        <v>242</v>
      </c>
      <c r="H3" s="249"/>
      <c r="I3" s="250"/>
      <c r="J3" s="250"/>
      <c r="K3" s="243"/>
      <c r="L3" s="248" t="s">
        <v>241</v>
      </c>
      <c r="M3" s="249"/>
      <c r="N3" s="243"/>
      <c r="O3" s="248" t="s">
        <v>379</v>
      </c>
      <c r="P3" s="249"/>
      <c r="Q3" s="243"/>
      <c r="R3" s="237" t="s">
        <v>220</v>
      </c>
      <c r="S3" s="238"/>
      <c r="T3" s="237" t="s">
        <v>221</v>
      </c>
      <c r="U3" s="238"/>
      <c r="V3" s="245" t="s">
        <v>222</v>
      </c>
      <c r="W3" s="246"/>
      <c r="X3" s="247" t="s">
        <v>177</v>
      </c>
      <c r="Y3" s="246"/>
      <c r="Z3" s="245" t="s">
        <v>223</v>
      </c>
      <c r="AA3" s="246"/>
      <c r="AB3" s="244" t="s">
        <v>224</v>
      </c>
      <c r="AC3" s="243"/>
      <c r="AD3" s="244" t="s">
        <v>225</v>
      </c>
      <c r="AE3" s="243"/>
      <c r="AF3" s="237" t="s">
        <v>226</v>
      </c>
      <c r="AG3" s="243"/>
      <c r="AH3" s="244" t="s">
        <v>227</v>
      </c>
      <c r="AI3" s="243"/>
      <c r="AJ3" s="244" t="s">
        <v>228</v>
      </c>
      <c r="AK3" s="243"/>
      <c r="AL3" s="244" t="s">
        <v>229</v>
      </c>
      <c r="AM3" s="243"/>
      <c r="AN3" s="237" t="s">
        <v>292</v>
      </c>
      <c r="AO3" s="238"/>
      <c r="AP3" s="237" t="s">
        <v>230</v>
      </c>
      <c r="AQ3" s="238"/>
      <c r="AR3" s="237" t="s">
        <v>231</v>
      </c>
      <c r="AS3" s="238"/>
      <c r="AT3" s="245" t="s">
        <v>232</v>
      </c>
      <c r="AU3" s="246"/>
      <c r="AV3" s="237" t="s">
        <v>233</v>
      </c>
      <c r="AW3" s="246"/>
      <c r="AX3" s="245" t="s">
        <v>234</v>
      </c>
      <c r="AY3" s="246"/>
      <c r="AZ3" s="244" t="s">
        <v>235</v>
      </c>
      <c r="BA3" s="243"/>
      <c r="BB3" s="244" t="s">
        <v>236</v>
      </c>
      <c r="BC3" s="243"/>
      <c r="BD3" s="237" t="s">
        <v>237</v>
      </c>
      <c r="BE3" s="243"/>
      <c r="BF3" s="244" t="s">
        <v>238</v>
      </c>
      <c r="BG3" s="243"/>
      <c r="BH3" s="244" t="s">
        <v>239</v>
      </c>
      <c r="BI3" s="243"/>
      <c r="BJ3" s="244" t="s">
        <v>240</v>
      </c>
      <c r="BK3" s="243"/>
      <c r="BL3" s="244" t="s">
        <v>293</v>
      </c>
      <c r="BM3" s="243"/>
    </row>
    <row r="4" spans="1:65" s="46" customFormat="1" ht="15" customHeight="1">
      <c r="A4" s="227"/>
      <c r="B4" s="231"/>
      <c r="C4" s="232"/>
      <c r="D4" s="60" t="s">
        <v>389</v>
      </c>
      <c r="E4" s="60" t="s">
        <v>389</v>
      </c>
      <c r="F4" s="62"/>
      <c r="G4" s="53" t="s">
        <v>246</v>
      </c>
      <c r="H4" s="175" t="s">
        <v>361</v>
      </c>
      <c r="I4" s="179" t="s">
        <v>206</v>
      </c>
      <c r="J4" s="177" t="s">
        <v>206</v>
      </c>
      <c r="K4" s="54" t="s">
        <v>247</v>
      </c>
      <c r="L4" s="53" t="s">
        <v>219</v>
      </c>
      <c r="M4" s="54" t="s">
        <v>360</v>
      </c>
      <c r="N4" s="54" t="s">
        <v>247</v>
      </c>
      <c r="O4" s="53" t="s">
        <v>219</v>
      </c>
      <c r="P4" s="54" t="s">
        <v>360</v>
      </c>
      <c r="Q4" s="54" t="s">
        <v>247</v>
      </c>
      <c r="R4" s="241" t="s">
        <v>354</v>
      </c>
      <c r="S4" s="242"/>
      <c r="T4" s="241" t="s">
        <v>355</v>
      </c>
      <c r="U4" s="242"/>
      <c r="V4" s="241" t="s">
        <v>356</v>
      </c>
      <c r="W4" s="242"/>
      <c r="X4" s="241" t="s">
        <v>357</v>
      </c>
      <c r="Y4" s="242"/>
      <c r="Z4" s="241" t="s">
        <v>358</v>
      </c>
      <c r="AA4" s="242"/>
      <c r="AB4" s="53"/>
      <c r="AC4" s="96"/>
      <c r="AD4" s="53"/>
      <c r="AE4" s="54"/>
      <c r="AF4" s="53"/>
      <c r="AG4" s="54"/>
      <c r="AH4" s="53"/>
      <c r="AI4" s="54"/>
      <c r="AJ4" s="53"/>
      <c r="AK4" s="54"/>
      <c r="AL4" s="53"/>
      <c r="AM4" s="54"/>
      <c r="AN4" s="53"/>
      <c r="AO4" s="54"/>
      <c r="AP4" s="241" t="s">
        <v>359</v>
      </c>
      <c r="AQ4" s="242"/>
      <c r="AR4" s="241" t="s">
        <v>359</v>
      </c>
      <c r="AS4" s="242"/>
      <c r="AT4" s="241" t="s">
        <v>359</v>
      </c>
      <c r="AU4" s="242"/>
      <c r="AV4" s="53"/>
      <c r="AW4" s="54"/>
      <c r="AX4" s="53"/>
      <c r="AY4" s="54"/>
      <c r="AZ4" s="53"/>
      <c r="BA4" s="54"/>
      <c r="BB4" s="53"/>
      <c r="BC4" s="54"/>
      <c r="BD4" s="53"/>
      <c r="BE4" s="54"/>
      <c r="BF4" s="53"/>
      <c r="BG4" s="54"/>
      <c r="BH4" s="53"/>
      <c r="BI4" s="54"/>
      <c r="BJ4" s="53"/>
      <c r="BK4" s="54"/>
      <c r="BL4" s="53"/>
      <c r="BM4" s="54"/>
    </row>
    <row r="5" spans="1:65" s="46" customFormat="1" ht="15.75" customHeight="1" thickBot="1">
      <c r="A5" s="228"/>
      <c r="B5" s="233"/>
      <c r="C5" s="234"/>
      <c r="D5" s="64" t="s">
        <v>377</v>
      </c>
      <c r="E5" s="64" t="s">
        <v>378</v>
      </c>
      <c r="F5" s="63"/>
      <c r="G5" s="55" t="s">
        <v>218</v>
      </c>
      <c r="H5" s="176" t="s">
        <v>207</v>
      </c>
      <c r="I5" s="180" t="s">
        <v>218</v>
      </c>
      <c r="J5" s="56" t="s">
        <v>207</v>
      </c>
      <c r="K5" s="56" t="s">
        <v>207</v>
      </c>
      <c r="L5" s="55" t="s">
        <v>218</v>
      </c>
      <c r="M5" s="56" t="s">
        <v>207</v>
      </c>
      <c r="N5" s="56" t="s">
        <v>207</v>
      </c>
      <c r="O5" s="55" t="s">
        <v>218</v>
      </c>
      <c r="P5" s="56" t="s">
        <v>207</v>
      </c>
      <c r="Q5" s="56" t="s">
        <v>207</v>
      </c>
      <c r="R5" s="55" t="s">
        <v>218</v>
      </c>
      <c r="S5" s="56" t="s">
        <v>207</v>
      </c>
      <c r="T5" s="55" t="s">
        <v>218</v>
      </c>
      <c r="U5" s="56" t="s">
        <v>207</v>
      </c>
      <c r="V5" s="55" t="s">
        <v>218</v>
      </c>
      <c r="W5" s="56" t="s">
        <v>207</v>
      </c>
      <c r="X5" s="55" t="s">
        <v>218</v>
      </c>
      <c r="Y5" s="56" t="s">
        <v>207</v>
      </c>
      <c r="Z5" s="55" t="s">
        <v>218</v>
      </c>
      <c r="AA5" s="56" t="s">
        <v>207</v>
      </c>
      <c r="AB5" s="55" t="s">
        <v>218</v>
      </c>
      <c r="AC5" s="97" t="s">
        <v>207</v>
      </c>
      <c r="AD5" s="55" t="s">
        <v>218</v>
      </c>
      <c r="AE5" s="56" t="s">
        <v>207</v>
      </c>
      <c r="AF5" s="55" t="s">
        <v>218</v>
      </c>
      <c r="AG5" s="56" t="s">
        <v>207</v>
      </c>
      <c r="AH5" s="55" t="s">
        <v>218</v>
      </c>
      <c r="AI5" s="56" t="s">
        <v>207</v>
      </c>
      <c r="AJ5" s="55" t="s">
        <v>218</v>
      </c>
      <c r="AK5" s="56" t="s">
        <v>207</v>
      </c>
      <c r="AL5" s="55" t="s">
        <v>218</v>
      </c>
      <c r="AM5" s="56" t="s">
        <v>207</v>
      </c>
      <c r="AN5" s="55" t="s">
        <v>218</v>
      </c>
      <c r="AO5" s="56" t="s">
        <v>207</v>
      </c>
      <c r="AP5" s="55" t="s">
        <v>218</v>
      </c>
      <c r="AQ5" s="56" t="s">
        <v>207</v>
      </c>
      <c r="AR5" s="55" t="s">
        <v>218</v>
      </c>
      <c r="AS5" s="56" t="s">
        <v>207</v>
      </c>
      <c r="AT5" s="55" t="s">
        <v>218</v>
      </c>
      <c r="AU5" s="56" t="s">
        <v>207</v>
      </c>
      <c r="AV5" s="55" t="s">
        <v>218</v>
      </c>
      <c r="AW5" s="56" t="s">
        <v>207</v>
      </c>
      <c r="AX5" s="55" t="s">
        <v>218</v>
      </c>
      <c r="AY5" s="56" t="s">
        <v>207</v>
      </c>
      <c r="AZ5" s="55" t="s">
        <v>218</v>
      </c>
      <c r="BA5" s="56" t="s">
        <v>207</v>
      </c>
      <c r="BB5" s="55" t="s">
        <v>218</v>
      </c>
      <c r="BC5" s="56" t="s">
        <v>207</v>
      </c>
      <c r="BD5" s="55" t="s">
        <v>218</v>
      </c>
      <c r="BE5" s="56" t="s">
        <v>207</v>
      </c>
      <c r="BF5" s="55" t="s">
        <v>218</v>
      </c>
      <c r="BG5" s="56" t="s">
        <v>207</v>
      </c>
      <c r="BH5" s="55" t="s">
        <v>218</v>
      </c>
      <c r="BI5" s="56" t="s">
        <v>207</v>
      </c>
      <c r="BJ5" s="55" t="s">
        <v>218</v>
      </c>
      <c r="BK5" s="56" t="s">
        <v>207</v>
      </c>
      <c r="BL5" s="55" t="s">
        <v>218</v>
      </c>
      <c r="BM5" s="56" t="s">
        <v>207</v>
      </c>
    </row>
    <row r="6" spans="1:65" s="46" customFormat="1">
      <c r="A6" s="186">
        <v>1</v>
      </c>
      <c r="B6" s="47" t="s">
        <v>213</v>
      </c>
      <c r="D6" s="58"/>
      <c r="E6" s="58"/>
      <c r="F6" s="58"/>
      <c r="G6" s="48"/>
      <c r="H6" s="48"/>
      <c r="I6" s="181" t="s">
        <v>370</v>
      </c>
      <c r="J6" s="48" t="s">
        <v>370</v>
      </c>
      <c r="K6" s="148" t="s">
        <v>371</v>
      </c>
      <c r="L6" s="48"/>
      <c r="M6" s="48"/>
      <c r="N6" s="45"/>
      <c r="O6" s="48"/>
      <c r="P6" s="48"/>
      <c r="Q6" s="45"/>
      <c r="R6" s="49"/>
      <c r="S6" s="49"/>
      <c r="T6" s="49"/>
      <c r="U6" s="49"/>
      <c r="V6" s="49"/>
      <c r="W6" s="49"/>
      <c r="X6" s="49"/>
      <c r="Y6" s="49"/>
      <c r="Z6" s="49"/>
      <c r="AA6" s="49"/>
      <c r="AB6" s="49"/>
      <c r="AC6" s="95"/>
      <c r="AD6" s="49"/>
      <c r="AE6" s="49"/>
      <c r="AF6" s="49"/>
      <c r="AG6" s="49"/>
      <c r="AH6" s="49"/>
      <c r="AI6" s="49"/>
      <c r="AJ6" s="49"/>
      <c r="AK6" s="49"/>
      <c r="AL6" s="49"/>
      <c r="AM6" s="49"/>
      <c r="AN6" s="49"/>
      <c r="AO6" s="49"/>
      <c r="AP6" s="49"/>
      <c r="AR6" s="49"/>
    </row>
    <row r="7" spans="1:65" s="46" customFormat="1">
      <c r="A7" s="186">
        <v>2</v>
      </c>
      <c r="B7" s="47"/>
      <c r="C7" s="52" t="s">
        <v>214</v>
      </c>
      <c r="D7" s="67"/>
      <c r="E7" s="67"/>
      <c r="F7" s="67"/>
      <c r="G7" s="68"/>
      <c r="H7" s="68"/>
      <c r="I7" s="182"/>
      <c r="J7" s="68"/>
      <c r="K7" s="69"/>
      <c r="L7" s="68"/>
      <c r="M7" s="68"/>
      <c r="N7" s="69"/>
      <c r="O7" s="68"/>
      <c r="P7" s="68"/>
      <c r="Q7" s="150"/>
      <c r="R7" s="70"/>
      <c r="S7" s="71"/>
      <c r="T7" s="71"/>
      <c r="U7" s="71"/>
      <c r="V7" s="71"/>
      <c r="W7" s="71"/>
      <c r="X7" s="71"/>
      <c r="Y7" s="71"/>
      <c r="Z7" s="71"/>
      <c r="AA7" s="71"/>
      <c r="AB7" s="71"/>
      <c r="AC7" s="98"/>
      <c r="AD7" s="71"/>
      <c r="AE7" s="71"/>
      <c r="AF7" s="71"/>
      <c r="AG7" s="71"/>
      <c r="AH7" s="71"/>
      <c r="AI7" s="71"/>
      <c r="AJ7" s="71"/>
      <c r="AK7" s="71"/>
      <c r="AL7" s="71"/>
      <c r="AM7" s="71"/>
      <c r="AN7" s="71"/>
      <c r="AO7" s="71"/>
      <c r="AP7" s="71"/>
      <c r="AQ7" s="70"/>
      <c r="AR7" s="71"/>
      <c r="AS7" s="70"/>
      <c r="AT7" s="70"/>
      <c r="AU7" s="70"/>
      <c r="AV7" s="70"/>
      <c r="AW7" s="70"/>
      <c r="AX7" s="70"/>
      <c r="AY7" s="70"/>
      <c r="AZ7" s="70"/>
      <c r="BA7" s="70"/>
      <c r="BB7" s="70"/>
      <c r="BC7" s="70"/>
      <c r="BD7" s="70"/>
      <c r="BE7" s="70"/>
      <c r="BF7" s="70"/>
      <c r="BG7" s="70"/>
      <c r="BH7" s="70"/>
      <c r="BI7" s="70"/>
      <c r="BJ7" s="70"/>
      <c r="BK7" s="70"/>
      <c r="BL7" s="70"/>
      <c r="BM7" s="70"/>
    </row>
    <row r="8" spans="1:65" s="46" customFormat="1">
      <c r="A8" s="186">
        <v>3</v>
      </c>
      <c r="B8" s="47"/>
      <c r="C8" s="46" t="s">
        <v>137</v>
      </c>
      <c r="D8" s="111">
        <v>31</v>
      </c>
      <c r="E8" s="111">
        <v>31</v>
      </c>
      <c r="F8" s="58"/>
      <c r="G8" s="148">
        <f>L8+O8</f>
        <v>8906.3000000000029</v>
      </c>
      <c r="H8" s="149">
        <f>M8+P8</f>
        <v>0</v>
      </c>
      <c r="I8" s="181">
        <f t="shared" ref="I8:J13" si="0">G8/2</f>
        <v>4453.1500000000015</v>
      </c>
      <c r="J8" s="149">
        <f t="shared" si="0"/>
        <v>0</v>
      </c>
      <c r="K8" s="108">
        <f>((H8/24))</f>
        <v>0</v>
      </c>
      <c r="L8" s="148">
        <f t="shared" ref="L8:M13" si="1">AP8+AR8+AT8+AV8+AX8+AZ8+BB8+BD8+BF8+BH8+BJ8+BL8</f>
        <v>4385.8800000000019</v>
      </c>
      <c r="M8" s="149">
        <f t="shared" si="1"/>
        <v>0</v>
      </c>
      <c r="N8" s="108">
        <f>ROUNDUP((M8/12),0)</f>
        <v>0</v>
      </c>
      <c r="O8" s="148">
        <f t="shared" ref="O8:P13" si="2">R8+T8+V8+X8+Z8+AB8+AD8+AF8+AH8+AJ8+AL8+AN8</f>
        <v>4520.420000000001</v>
      </c>
      <c r="P8" s="149">
        <f t="shared" si="2"/>
        <v>0</v>
      </c>
      <c r="Q8" s="108">
        <f>ROUNDUP((P8/12),0)</f>
        <v>0</v>
      </c>
      <c r="R8" s="45">
        <f t="shared" ref="R8:AA8" si="3">AP8</f>
        <v>365.49000000000007</v>
      </c>
      <c r="S8" s="108">
        <f t="shared" si="3"/>
        <v>0</v>
      </c>
      <c r="T8" s="45">
        <f t="shared" si="3"/>
        <v>365.49000000000007</v>
      </c>
      <c r="U8" s="108">
        <f t="shared" si="3"/>
        <v>0</v>
      </c>
      <c r="V8" s="45">
        <f t="shared" si="3"/>
        <v>365.49000000000007</v>
      </c>
      <c r="W8" s="108">
        <f t="shared" si="3"/>
        <v>0</v>
      </c>
      <c r="X8" s="45">
        <f t="shared" si="3"/>
        <v>365.49000000000007</v>
      </c>
      <c r="Y8" s="108">
        <f t="shared" si="3"/>
        <v>0</v>
      </c>
      <c r="Z8" s="45">
        <f t="shared" si="3"/>
        <v>365.49000000000007</v>
      </c>
      <c r="AA8" s="108">
        <f t="shared" si="3"/>
        <v>0</v>
      </c>
      <c r="AB8" s="45">
        <f>'Oct12'!$L$145</f>
        <v>384.71000000000021</v>
      </c>
      <c r="AC8" s="108">
        <v>0</v>
      </c>
      <c r="AD8" s="45">
        <f>'Sep12'!$L$145</f>
        <v>384.71000000000021</v>
      </c>
      <c r="AE8" s="108">
        <v>0</v>
      </c>
      <c r="AF8" s="45">
        <f>'Aug12'!$L$145</f>
        <v>384.71000000000021</v>
      </c>
      <c r="AG8" s="108">
        <v>0</v>
      </c>
      <c r="AH8" s="45">
        <f>'Jul12'!$L$145</f>
        <v>384.71000000000021</v>
      </c>
      <c r="AI8" s="108">
        <v>0</v>
      </c>
      <c r="AJ8" s="45">
        <f>'Jun12'!$L$145</f>
        <v>384.71000000000021</v>
      </c>
      <c r="AK8" s="108">
        <v>0</v>
      </c>
      <c r="AL8" s="45">
        <f>'May12'!$L$145</f>
        <v>384.71000000000021</v>
      </c>
      <c r="AM8" s="108">
        <v>0</v>
      </c>
      <c r="AN8" s="45">
        <f>'Apr12'!$L$145</f>
        <v>384.71000000000021</v>
      </c>
      <c r="AO8" s="108">
        <v>0</v>
      </c>
      <c r="AP8" s="45">
        <f>Mar12recalc!$L$145</f>
        <v>365.49000000000007</v>
      </c>
      <c r="AQ8" s="108">
        <v>0</v>
      </c>
      <c r="AR8" s="45">
        <f>Feb12recalc!$L$145</f>
        <v>365.49000000000007</v>
      </c>
      <c r="AS8" s="108">
        <v>0</v>
      </c>
      <c r="AT8" s="45">
        <f>Jan12recalc!$L$145</f>
        <v>365.49000000000007</v>
      </c>
      <c r="AU8" s="108">
        <v>0</v>
      </c>
      <c r="AV8" s="45">
        <f>'Dec11'!$L$145</f>
        <v>365.49000000000007</v>
      </c>
      <c r="AW8" s="108">
        <v>0</v>
      </c>
      <c r="AX8" s="45">
        <f>'Nov11'!$L$145</f>
        <v>365.49000000000007</v>
      </c>
      <c r="AY8" s="108">
        <v>0</v>
      </c>
      <c r="AZ8" s="45">
        <f>'Oct11'!$L$145</f>
        <v>365.49000000000007</v>
      </c>
      <c r="BA8" s="108">
        <v>0</v>
      </c>
      <c r="BB8" s="45">
        <f>'Sep11'!$L$145</f>
        <v>365.49000000000007</v>
      </c>
      <c r="BC8" s="108">
        <v>0</v>
      </c>
      <c r="BD8" s="45">
        <f>'Aug11'!$L$145</f>
        <v>365.49000000000007</v>
      </c>
      <c r="BE8" s="108">
        <v>0</v>
      </c>
      <c r="BF8" s="45">
        <f>'Jul11'!$L$145</f>
        <v>365.49000000000007</v>
      </c>
      <c r="BG8" s="108">
        <v>0</v>
      </c>
      <c r="BH8" s="45">
        <f>'Jun11'!$L$136</f>
        <v>365.49000000000007</v>
      </c>
      <c r="BI8" s="108">
        <v>0</v>
      </c>
      <c r="BJ8" s="45">
        <f>'May11'!$L$136</f>
        <v>365.49000000000007</v>
      </c>
      <c r="BK8" s="108">
        <v>0</v>
      </c>
      <c r="BL8" s="45">
        <f>'Apr11'!$K$136</f>
        <v>365.49000000000007</v>
      </c>
      <c r="BM8" s="108">
        <v>0</v>
      </c>
    </row>
    <row r="9" spans="1:65" s="46" customFormat="1">
      <c r="A9" s="186">
        <v>4</v>
      </c>
      <c r="B9" s="47"/>
      <c r="C9" s="50" t="s">
        <v>208</v>
      </c>
      <c r="D9" s="111">
        <v>82</v>
      </c>
      <c r="E9" s="111">
        <v>82</v>
      </c>
      <c r="F9" s="58"/>
      <c r="G9" s="148">
        <f t="shared" ref="G9:G13" si="4">L9+O9</f>
        <v>80102.520000000077</v>
      </c>
      <c r="H9" s="149">
        <f t="shared" ref="H9:H13" si="5">M9+P9</f>
        <v>13229600</v>
      </c>
      <c r="I9" s="181">
        <f t="shared" si="0"/>
        <v>40051.260000000038</v>
      </c>
      <c r="J9" s="149">
        <f t="shared" si="0"/>
        <v>6614800</v>
      </c>
      <c r="K9" s="108">
        <f t="shared" ref="K9:K13" si="6">((H9/24))</f>
        <v>551233.33333333337</v>
      </c>
      <c r="L9" s="148">
        <f t="shared" si="1"/>
        <v>39448.560000000049</v>
      </c>
      <c r="M9" s="149">
        <f t="shared" si="1"/>
        <v>6537600.0000000019</v>
      </c>
      <c r="N9" s="108">
        <f t="shared" ref="N9:N13" si="7">ROUNDUP((M9/12),0)</f>
        <v>544800</v>
      </c>
      <c r="O9" s="148">
        <f t="shared" si="2"/>
        <v>40653.960000000028</v>
      </c>
      <c r="P9" s="149">
        <f t="shared" si="2"/>
        <v>6691999.9999999981</v>
      </c>
      <c r="Q9" s="108">
        <f t="shared" ref="Q9:Q13" si="8">ROUNDUP((P9/12),0)</f>
        <v>557667</v>
      </c>
      <c r="R9" s="45">
        <f t="shared" ref="R9:R13" si="9">AP9</f>
        <v>3287.3800000000028</v>
      </c>
      <c r="S9" s="108">
        <f t="shared" ref="S9:S13" si="10">AQ9</f>
        <v>454000</v>
      </c>
      <c r="T9" s="45">
        <f t="shared" ref="T9:T13" si="11">AR9</f>
        <v>3287.3800000000028</v>
      </c>
      <c r="U9" s="108">
        <f t="shared" ref="U9:U13" si="12">AS9</f>
        <v>454000</v>
      </c>
      <c r="V9" s="45">
        <f t="shared" ref="V9:V13" si="13">AT9</f>
        <v>3287.3800000000028</v>
      </c>
      <c r="W9" s="108">
        <f t="shared" ref="W9:W13" si="14">AU9</f>
        <v>454000</v>
      </c>
      <c r="X9" s="45">
        <f t="shared" ref="X9:X13" si="15">AV9</f>
        <v>3287.3800000000028</v>
      </c>
      <c r="Y9" s="108">
        <f t="shared" ref="Y9:Y13" si="16">AW9</f>
        <v>432100</v>
      </c>
      <c r="Z9" s="45">
        <f t="shared" ref="Z9:Z13" si="17">AX9</f>
        <v>3287.3800000000028</v>
      </c>
      <c r="AA9" s="108">
        <f t="shared" ref="AA9:AA13" si="18">AY9</f>
        <v>452700</v>
      </c>
      <c r="AB9" s="45">
        <f>'Oct12'!$G$143</f>
        <v>3459.5800000000027</v>
      </c>
      <c r="AC9" s="108">
        <f>'Oct12'!$G$152</f>
        <v>614000</v>
      </c>
      <c r="AD9" s="45">
        <f>'Sep12'!$G$143</f>
        <v>3459.5800000000027</v>
      </c>
      <c r="AE9" s="108">
        <f>'Sep12'!$G$150</f>
        <v>646299.99999999953</v>
      </c>
      <c r="AF9" s="45">
        <f>'Aug12'!$G$143</f>
        <v>3459.5800000000027</v>
      </c>
      <c r="AG9" s="108">
        <f>'Aug12'!$G$152</f>
        <v>677000</v>
      </c>
      <c r="AH9" s="45">
        <f>'Jul12'!$G$143</f>
        <v>3459.5800000000027</v>
      </c>
      <c r="AI9" s="108">
        <f>'Jul12'!$G$150</f>
        <v>660699.99999999953</v>
      </c>
      <c r="AJ9" s="45">
        <f>'Jun12'!$G$143</f>
        <v>3459.5800000000027</v>
      </c>
      <c r="AK9" s="108">
        <f>'Jun12'!$G$150</f>
        <v>687499.99999999953</v>
      </c>
      <c r="AL9" s="45">
        <f>'May12'!$G$143</f>
        <v>3459.5800000000027</v>
      </c>
      <c r="AM9" s="108">
        <f>'May12'!$G$150</f>
        <v>595700</v>
      </c>
      <c r="AN9" s="45">
        <f>'Apr12'!$G$143</f>
        <v>3459.5800000000027</v>
      </c>
      <c r="AO9" s="108">
        <f>'Apr12'!$G$150</f>
        <v>564000</v>
      </c>
      <c r="AP9" s="45">
        <f>Mar12recalc!$G$143</f>
        <v>3287.3800000000028</v>
      </c>
      <c r="AQ9" s="108">
        <f>Mar12recalc!$G$150</f>
        <v>454000</v>
      </c>
      <c r="AR9" s="45">
        <f>Feb12recalc!$G$143</f>
        <v>3287.3800000000028</v>
      </c>
      <c r="AS9" s="108">
        <f>Feb12recalc!$G$150</f>
        <v>454000</v>
      </c>
      <c r="AT9" s="45">
        <f>Jan12recalc!$G$143</f>
        <v>3287.3800000000028</v>
      </c>
      <c r="AU9" s="108">
        <f>Jan12recalc!$G$150</f>
        <v>454000</v>
      </c>
      <c r="AV9" s="45">
        <f>'Dec11'!$G$143</f>
        <v>3287.3800000000028</v>
      </c>
      <c r="AW9" s="108">
        <f>'Dec11'!$G$150</f>
        <v>432100</v>
      </c>
      <c r="AX9" s="45">
        <f>'Nov11'!$G$143</f>
        <v>3287.3800000000028</v>
      </c>
      <c r="AY9" s="108">
        <f>'Nov11'!$G$150</f>
        <v>452700</v>
      </c>
      <c r="AZ9" s="45">
        <f>'Oct11'!$G$143</f>
        <v>3287.3800000000028</v>
      </c>
      <c r="BA9" s="108">
        <f>'Oct11'!$G$152</f>
        <v>598999.99999999988</v>
      </c>
      <c r="BB9" s="45">
        <f>'Sep11'!$G$143</f>
        <v>3287.3800000000028</v>
      </c>
      <c r="BC9" s="108">
        <f>'Sep11'!$G$152</f>
        <v>696500.00000000047</v>
      </c>
      <c r="BD9" s="45">
        <f>'Aug11'!$G$143</f>
        <v>3287.3800000000028</v>
      </c>
      <c r="BE9" s="108">
        <f>'Aug11'!$G$152</f>
        <v>680900.00000000047</v>
      </c>
      <c r="BF9" s="45">
        <f>'Jul11'!$G$143</f>
        <v>3287.3800000000028</v>
      </c>
      <c r="BG9" s="108">
        <f>'Jul11'!$G$150</f>
        <v>697100.00000000047</v>
      </c>
      <c r="BH9" s="45">
        <f>'Jun11'!$G$134</f>
        <v>3287.3800000000028</v>
      </c>
      <c r="BI9" s="108">
        <f>'Jun11'!$G$141</f>
        <v>657100</v>
      </c>
      <c r="BJ9" s="45">
        <f>'May11'!$G$134</f>
        <v>3287.3800000000028</v>
      </c>
      <c r="BK9" s="108">
        <f>'May11'!$G$141</f>
        <v>466500</v>
      </c>
      <c r="BL9" s="45">
        <f>'Apr11'!$F$134</f>
        <v>3287.3800000000028</v>
      </c>
      <c r="BM9" s="108">
        <f>'Apr11'!$F$141</f>
        <v>493700</v>
      </c>
    </row>
    <row r="10" spans="1:65" s="46" customFormat="1">
      <c r="A10" s="186">
        <v>5</v>
      </c>
      <c r="B10" s="47"/>
      <c r="C10" s="50" t="s">
        <v>209</v>
      </c>
      <c r="D10" s="58"/>
      <c r="E10" s="58"/>
      <c r="F10" s="58"/>
      <c r="G10" s="148">
        <f t="shared" si="4"/>
        <v>11770.119999999999</v>
      </c>
      <c r="H10" s="149">
        <f t="shared" si="5"/>
        <v>5252000</v>
      </c>
      <c r="I10" s="181">
        <f t="shared" si="0"/>
        <v>5885.0599999999995</v>
      </c>
      <c r="J10" s="149">
        <f t="shared" si="0"/>
        <v>2626000</v>
      </c>
      <c r="K10" s="108">
        <f t="shared" si="6"/>
        <v>218833.33333333334</v>
      </c>
      <c r="L10" s="148">
        <f t="shared" si="1"/>
        <v>5075.0399999999981</v>
      </c>
      <c r="M10" s="149">
        <f t="shared" si="1"/>
        <v>2327999.9999999991</v>
      </c>
      <c r="N10" s="108">
        <f t="shared" si="7"/>
        <v>194000</v>
      </c>
      <c r="O10" s="148">
        <f t="shared" si="2"/>
        <v>6695.08</v>
      </c>
      <c r="P10" s="149">
        <f t="shared" si="2"/>
        <v>2924000.0000000005</v>
      </c>
      <c r="Q10" s="108">
        <f t="shared" si="8"/>
        <v>243667</v>
      </c>
      <c r="R10" s="45">
        <f t="shared" si="9"/>
        <v>100.28000000000002</v>
      </c>
      <c r="S10" s="108">
        <f t="shared" si="10"/>
        <v>46000.000000000007</v>
      </c>
      <c r="T10" s="45">
        <f t="shared" si="11"/>
        <v>100.28000000000002</v>
      </c>
      <c r="U10" s="108">
        <f t="shared" si="12"/>
        <v>46000.000000000007</v>
      </c>
      <c r="V10" s="45">
        <f t="shared" si="13"/>
        <v>100.28000000000002</v>
      </c>
      <c r="W10" s="108">
        <f t="shared" si="14"/>
        <v>46000.000000000007</v>
      </c>
      <c r="X10" s="45">
        <f t="shared" si="15"/>
        <v>98.100000000000009</v>
      </c>
      <c r="Y10" s="108">
        <f t="shared" si="16"/>
        <v>45000</v>
      </c>
      <c r="Z10" s="45">
        <f t="shared" si="17"/>
        <v>148.24000000000004</v>
      </c>
      <c r="AA10" s="108">
        <f t="shared" si="18"/>
        <v>68000.000000000015</v>
      </c>
      <c r="AB10" s="45">
        <f>'Oct12'!$H$143</f>
        <v>581.9</v>
      </c>
      <c r="AC10" s="108">
        <f>'Oct12'!$H$152</f>
        <v>253000</v>
      </c>
      <c r="AD10" s="45">
        <f>'Sep12'!$H$143</f>
        <v>982.10000000000014</v>
      </c>
      <c r="AE10" s="108">
        <f>'Sep12'!$H$150</f>
        <v>427000.00000000012</v>
      </c>
      <c r="AF10" s="45">
        <f>'Aug12'!$H$143</f>
        <v>1133.8999999999999</v>
      </c>
      <c r="AG10" s="108">
        <f>'Aug12'!$H$152</f>
        <v>493000</v>
      </c>
      <c r="AH10" s="45">
        <f>'Jul12'!$H$143</f>
        <v>1083.3000000000002</v>
      </c>
      <c r="AI10" s="108">
        <f>'Jul12'!$H$150</f>
        <v>471000.00000000012</v>
      </c>
      <c r="AJ10" s="45">
        <f>'Jun12'!$H$143</f>
        <v>1182.2</v>
      </c>
      <c r="AK10" s="108">
        <f>'Jun12'!$H$150</f>
        <v>514000.00000000012</v>
      </c>
      <c r="AL10" s="45">
        <f>'May12'!$H$143</f>
        <v>763.6</v>
      </c>
      <c r="AM10" s="108">
        <f>'May12'!$H$150</f>
        <v>332000.00000000006</v>
      </c>
      <c r="AN10" s="45">
        <f>'Apr12'!$H$143</f>
        <v>420.90000000000009</v>
      </c>
      <c r="AO10" s="108">
        <f>'Apr12'!$H$150</f>
        <v>183000.00000000006</v>
      </c>
      <c r="AP10" s="45">
        <f>Mar12recalc!$H$143</f>
        <v>100.28000000000002</v>
      </c>
      <c r="AQ10" s="108">
        <f>Mar12recalc!$H$150</f>
        <v>46000.000000000007</v>
      </c>
      <c r="AR10" s="45">
        <f>Feb12recalc!$H$143</f>
        <v>100.28000000000002</v>
      </c>
      <c r="AS10" s="108">
        <f>Feb12recalc!$H$150</f>
        <v>46000.000000000007</v>
      </c>
      <c r="AT10" s="45">
        <f>Jan12recalc!$H$143</f>
        <v>100.28000000000002</v>
      </c>
      <c r="AU10" s="108">
        <f>Jan12recalc!$H$150</f>
        <v>46000.000000000007</v>
      </c>
      <c r="AV10" s="45">
        <f>'Dec11'!$H$143</f>
        <v>98.100000000000009</v>
      </c>
      <c r="AW10" s="108">
        <f>'Dec11'!$H$150</f>
        <v>45000</v>
      </c>
      <c r="AX10" s="45">
        <f>'Nov11'!$H$143</f>
        <v>148.24000000000004</v>
      </c>
      <c r="AY10" s="108">
        <f>'Nov11'!$H$150</f>
        <v>68000.000000000015</v>
      </c>
      <c r="AZ10" s="45">
        <f>'Oct11'!$H$143</f>
        <v>529.74000000000024</v>
      </c>
      <c r="BA10" s="108">
        <f>'Oct11'!$H$152</f>
        <v>243000.00000000009</v>
      </c>
      <c r="BB10" s="45">
        <f>'Sep11'!$H$143</f>
        <v>1009.3399999999993</v>
      </c>
      <c r="BC10" s="108">
        <f>'Sep11'!$H$152</f>
        <v>462999.99999999965</v>
      </c>
      <c r="BD10" s="45">
        <f>'Aug11'!$H$143</f>
        <v>991.8999999999993</v>
      </c>
      <c r="BE10" s="108">
        <f>'Aug11'!$H$152</f>
        <v>454999.99999999965</v>
      </c>
      <c r="BF10" s="45">
        <f>'Jul11'!$H$143</f>
        <v>1035.4999999999995</v>
      </c>
      <c r="BG10" s="108">
        <f>'Jul11'!$H$150</f>
        <v>474999.99999999977</v>
      </c>
      <c r="BH10" s="45">
        <f>'Jun11'!$H$134</f>
        <v>682.34</v>
      </c>
      <c r="BI10" s="108">
        <f>'Jun11'!$H$141</f>
        <v>313000</v>
      </c>
      <c r="BJ10" s="45">
        <f>'May11'!$H$134</f>
        <v>141.70000000000002</v>
      </c>
      <c r="BK10" s="108">
        <f>'May11'!$H$141</f>
        <v>65000</v>
      </c>
      <c r="BL10" s="45">
        <f>'Apr11'!$G$134</f>
        <v>137.34</v>
      </c>
      <c r="BM10" s="108">
        <f>'Apr11'!$G$141</f>
        <v>63000</v>
      </c>
    </row>
    <row r="11" spans="1:65" s="46" customFormat="1">
      <c r="A11" s="186">
        <v>6</v>
      </c>
      <c r="B11" s="47"/>
      <c r="C11" s="50" t="s">
        <v>210</v>
      </c>
      <c r="D11" s="58"/>
      <c r="E11" s="58"/>
      <c r="F11" s="58"/>
      <c r="G11" s="148">
        <f t="shared" si="4"/>
        <v>8411.4800000000014</v>
      </c>
      <c r="H11" s="149">
        <f t="shared" si="5"/>
        <v>3220000.0000000005</v>
      </c>
      <c r="I11" s="181">
        <f t="shared" si="0"/>
        <v>4205.7400000000007</v>
      </c>
      <c r="J11" s="149">
        <f t="shared" si="0"/>
        <v>1610000.0000000002</v>
      </c>
      <c r="K11" s="108">
        <f t="shared" si="6"/>
        <v>134166.66666666669</v>
      </c>
      <c r="L11" s="148">
        <f t="shared" si="1"/>
        <v>3306.7099999999991</v>
      </c>
      <c r="M11" s="149">
        <f t="shared" si="1"/>
        <v>1306999.9999999995</v>
      </c>
      <c r="N11" s="108">
        <f t="shared" si="7"/>
        <v>108917</v>
      </c>
      <c r="O11" s="148">
        <f t="shared" si="2"/>
        <v>5104.7700000000023</v>
      </c>
      <c r="P11" s="149">
        <f t="shared" si="2"/>
        <v>1913000.0000000009</v>
      </c>
      <c r="Q11" s="108">
        <f t="shared" si="8"/>
        <v>159417</v>
      </c>
      <c r="R11" s="45">
        <f t="shared" si="9"/>
        <v>0</v>
      </c>
      <c r="S11" s="108">
        <f t="shared" si="10"/>
        <v>0</v>
      </c>
      <c r="T11" s="45">
        <f t="shared" si="11"/>
        <v>0</v>
      </c>
      <c r="U11" s="108">
        <f t="shared" si="12"/>
        <v>0</v>
      </c>
      <c r="V11" s="45">
        <f t="shared" si="13"/>
        <v>0</v>
      </c>
      <c r="W11" s="108">
        <f t="shared" si="14"/>
        <v>0</v>
      </c>
      <c r="X11" s="45">
        <f t="shared" si="15"/>
        <v>25.299999999999997</v>
      </c>
      <c r="Y11" s="108">
        <f t="shared" si="16"/>
        <v>10000</v>
      </c>
      <c r="Z11" s="45">
        <f t="shared" si="17"/>
        <v>27.83</v>
      </c>
      <c r="AA11" s="108">
        <f t="shared" si="18"/>
        <v>11000</v>
      </c>
      <c r="AB11" s="45">
        <f>'Oct12'!$I$143</f>
        <v>333.74999999999994</v>
      </c>
      <c r="AC11" s="108">
        <f>'Oct12'!$I$152</f>
        <v>124999.99999999999</v>
      </c>
      <c r="AD11" s="45">
        <f>'Sep12'!$I$143</f>
        <v>843.72000000000025</v>
      </c>
      <c r="AE11" s="108">
        <f>'Sep12'!$I$150</f>
        <v>316000.00000000012</v>
      </c>
      <c r="AF11" s="45">
        <f>'Aug12'!$I$143</f>
        <v>1059.9900000000005</v>
      </c>
      <c r="AG11" s="108">
        <f>'Aug12'!$I$152</f>
        <v>397000.00000000017</v>
      </c>
      <c r="AH11" s="45">
        <f>'Jul12'!$I$143</f>
        <v>953.19000000000062</v>
      </c>
      <c r="AI11" s="108">
        <f>'Jul12'!$I$150</f>
        <v>357000.00000000023</v>
      </c>
      <c r="AJ11" s="45">
        <f>'Jun12'!$I$143</f>
        <v>1156.1100000000008</v>
      </c>
      <c r="AK11" s="108">
        <f>'Jun12'!$I$150</f>
        <v>433000.00000000035</v>
      </c>
      <c r="AL11" s="45">
        <f>'May12'!$I$143</f>
        <v>509.96999999999991</v>
      </c>
      <c r="AM11" s="108">
        <f>'May12'!$I$150</f>
        <v>190999.99999999997</v>
      </c>
      <c r="AN11" s="45">
        <f>'Apr12'!$I$143</f>
        <v>194.90999999999997</v>
      </c>
      <c r="AO11" s="108">
        <f>'Apr12'!$I$150</f>
        <v>72999.999999999985</v>
      </c>
      <c r="AP11" s="45">
        <f>Mar12recalc!$I$143</f>
        <v>0</v>
      </c>
      <c r="AQ11" s="108">
        <f>Mar12recalc!$I$150</f>
        <v>0</v>
      </c>
      <c r="AR11" s="45">
        <f>Feb12recalc!$I$143</f>
        <v>0</v>
      </c>
      <c r="AS11" s="108">
        <f>Feb12recalc!$I$150</f>
        <v>0</v>
      </c>
      <c r="AT11" s="45">
        <f>Jan12recalc!$I$143</f>
        <v>0</v>
      </c>
      <c r="AU11" s="108">
        <f>Jan12recalc!$I$150</f>
        <v>0</v>
      </c>
      <c r="AV11" s="45">
        <f>'Dec11'!$I$143</f>
        <v>25.299999999999997</v>
      </c>
      <c r="AW11" s="108">
        <f>'Dec11'!$I$150</f>
        <v>10000</v>
      </c>
      <c r="AX11" s="45">
        <f>'Nov11'!$I$143</f>
        <v>27.83</v>
      </c>
      <c r="AY11" s="108">
        <f>'Nov11'!$I$150</f>
        <v>11000</v>
      </c>
      <c r="AZ11" s="45">
        <f>'Oct11'!$I$143</f>
        <v>227.70000000000002</v>
      </c>
      <c r="BA11" s="108">
        <f>'Oct11'!$I$152</f>
        <v>90000.000000000015</v>
      </c>
      <c r="BB11" s="45">
        <f>'Sep11'!$I$143</f>
        <v>885.49999999999955</v>
      </c>
      <c r="BC11" s="108">
        <f>'Sep11'!$I$152</f>
        <v>349999.99999999983</v>
      </c>
      <c r="BD11" s="45">
        <f>'Aug11'!$I$143</f>
        <v>807.0699999999996</v>
      </c>
      <c r="BE11" s="108">
        <f>'Aug11'!$I$152</f>
        <v>318999.99999999988</v>
      </c>
      <c r="BF11" s="45">
        <f>'Jul11'!$I$143</f>
        <v>893.08999999999946</v>
      </c>
      <c r="BG11" s="108">
        <f>'Jul11'!$I$150</f>
        <v>352999.99999999983</v>
      </c>
      <c r="BH11" s="45">
        <f>'Jun11'!$I$134</f>
        <v>384.56000000000006</v>
      </c>
      <c r="BI11" s="108">
        <f>'Jun11'!$I$141</f>
        <v>152000.00000000003</v>
      </c>
      <c r="BJ11" s="45">
        <f>'May11'!$I$134</f>
        <v>25.299999999999997</v>
      </c>
      <c r="BK11" s="108">
        <f>'May11'!$I$141</f>
        <v>10000</v>
      </c>
      <c r="BL11" s="45">
        <f>'Apr11'!$H$134</f>
        <v>30.359999999999996</v>
      </c>
      <c r="BM11" s="108">
        <f>'Apr11'!$H$141</f>
        <v>12000</v>
      </c>
    </row>
    <row r="12" spans="1:65" s="46" customFormat="1">
      <c r="A12" s="186">
        <v>7</v>
      </c>
      <c r="B12" s="47"/>
      <c r="C12" s="50" t="s">
        <v>211</v>
      </c>
      <c r="D12" s="58"/>
      <c r="E12" s="58"/>
      <c r="F12" s="58"/>
      <c r="G12" s="148">
        <f t="shared" si="4"/>
        <v>6328.4</v>
      </c>
      <c r="H12" s="149">
        <f t="shared" si="5"/>
        <v>2081000</v>
      </c>
      <c r="I12" s="181">
        <f t="shared" si="0"/>
        <v>3164.2</v>
      </c>
      <c r="J12" s="149">
        <f t="shared" si="0"/>
        <v>1040500</v>
      </c>
      <c r="K12" s="108">
        <f t="shared" si="6"/>
        <v>86708.333333333328</v>
      </c>
      <c r="L12" s="148">
        <f t="shared" si="1"/>
        <v>2383.6</v>
      </c>
      <c r="M12" s="149">
        <f t="shared" si="1"/>
        <v>807999.99999999988</v>
      </c>
      <c r="N12" s="108">
        <f t="shared" si="7"/>
        <v>67334</v>
      </c>
      <c r="O12" s="148">
        <f t="shared" si="2"/>
        <v>3944.7999999999997</v>
      </c>
      <c r="P12" s="149">
        <f t="shared" si="2"/>
        <v>1273000</v>
      </c>
      <c r="Q12" s="108">
        <f t="shared" si="8"/>
        <v>106084</v>
      </c>
      <c r="R12" s="45">
        <f t="shared" si="9"/>
        <v>0</v>
      </c>
      <c r="S12" s="108">
        <f t="shared" si="10"/>
        <v>0</v>
      </c>
      <c r="T12" s="45">
        <f t="shared" si="11"/>
        <v>0</v>
      </c>
      <c r="U12" s="108">
        <f t="shared" si="12"/>
        <v>0</v>
      </c>
      <c r="V12" s="45">
        <f t="shared" si="13"/>
        <v>0</v>
      </c>
      <c r="W12" s="108">
        <f t="shared" si="14"/>
        <v>0</v>
      </c>
      <c r="X12" s="45">
        <f t="shared" si="15"/>
        <v>29.5</v>
      </c>
      <c r="Y12" s="108">
        <f t="shared" si="16"/>
        <v>10000</v>
      </c>
      <c r="Z12" s="45">
        <f t="shared" si="17"/>
        <v>0</v>
      </c>
      <c r="AA12" s="108">
        <f t="shared" si="18"/>
        <v>0</v>
      </c>
      <c r="AB12" s="45">
        <f>'Oct12'!$J$143</f>
        <v>142.60000000000002</v>
      </c>
      <c r="AC12" s="108">
        <f>'Oct12'!$J$152</f>
        <v>46000.000000000007</v>
      </c>
      <c r="AD12" s="45">
        <f>'Sep12'!$J$143</f>
        <v>682</v>
      </c>
      <c r="AE12" s="108">
        <f>'Sep12'!$J$150</f>
        <v>220000</v>
      </c>
      <c r="AF12" s="45">
        <f>'Aug12'!$J$143</f>
        <v>883.49999999999989</v>
      </c>
      <c r="AG12" s="108">
        <f>'Aug12'!$J$152</f>
        <v>284999.99999999994</v>
      </c>
      <c r="AH12" s="45">
        <f>'Jul12'!$J$143</f>
        <v>747.1</v>
      </c>
      <c r="AI12" s="108">
        <f>'Jul12'!$J$150</f>
        <v>241000</v>
      </c>
      <c r="AJ12" s="45">
        <f>'Jun12'!$J$143</f>
        <v>1013.7</v>
      </c>
      <c r="AK12" s="108">
        <f>'Jun12'!$J$150</f>
        <v>327000</v>
      </c>
      <c r="AL12" s="45">
        <f>'May12'!$J$143</f>
        <v>319.3</v>
      </c>
      <c r="AM12" s="108">
        <f>'May12'!$J$150</f>
        <v>103000</v>
      </c>
      <c r="AN12" s="45">
        <f>'Apr12'!$J$143</f>
        <v>127.1</v>
      </c>
      <c r="AO12" s="108">
        <f>'Apr12'!$J$150</f>
        <v>41000</v>
      </c>
      <c r="AP12" s="45">
        <f>Mar12recalc!$J$143</f>
        <v>0</v>
      </c>
      <c r="AQ12" s="108">
        <f>Mar12recalc!$J$150</f>
        <v>0</v>
      </c>
      <c r="AR12" s="45">
        <f>Feb12recalc!$J$143</f>
        <v>0</v>
      </c>
      <c r="AS12" s="108">
        <f>Feb12recalc!$J$150</f>
        <v>0</v>
      </c>
      <c r="AT12" s="45">
        <f>Jan12recalc!$J$143</f>
        <v>0</v>
      </c>
      <c r="AU12" s="108">
        <f>Jan12recalc!$J$150</f>
        <v>0</v>
      </c>
      <c r="AV12" s="45">
        <f>'Dec11'!$J$143</f>
        <v>29.5</v>
      </c>
      <c r="AW12" s="108">
        <f>'Dec11'!$J$150</f>
        <v>10000</v>
      </c>
      <c r="AX12" s="45">
        <f>'Nov11'!$J$143</f>
        <v>0</v>
      </c>
      <c r="AY12" s="108">
        <f>'Nov11'!$J$150</f>
        <v>0</v>
      </c>
      <c r="AZ12" s="45">
        <f>'Oct11'!$J$143</f>
        <v>61.949999999999996</v>
      </c>
      <c r="BA12" s="108">
        <f>'Oct11'!$J$152</f>
        <v>20999.999999999996</v>
      </c>
      <c r="BB12" s="45">
        <f>'Sep11'!$J$143</f>
        <v>666.7</v>
      </c>
      <c r="BC12" s="108">
        <f>'Sep11'!$J$152</f>
        <v>226000</v>
      </c>
      <c r="BD12" s="45">
        <f>'Aug11'!$J$143</f>
        <v>604.74999999999989</v>
      </c>
      <c r="BE12" s="108">
        <f>'Aug11'!$J$152</f>
        <v>204999.99999999994</v>
      </c>
      <c r="BF12" s="45">
        <f>'Jul11'!$J$143</f>
        <v>687.34999999999991</v>
      </c>
      <c r="BG12" s="108">
        <f>'Jul11'!$J$150</f>
        <v>232999.99999999994</v>
      </c>
      <c r="BH12" s="45">
        <f>'Jun11'!$J$134</f>
        <v>303.85000000000002</v>
      </c>
      <c r="BI12" s="108">
        <f>'Jun11'!$J$141</f>
        <v>103000</v>
      </c>
      <c r="BJ12" s="45">
        <f>'May11'!$J$134</f>
        <v>0</v>
      </c>
      <c r="BK12" s="108">
        <f>'May11'!$J$141</f>
        <v>0</v>
      </c>
      <c r="BL12" s="45">
        <f>'Apr11'!$I$134</f>
        <v>29.5</v>
      </c>
      <c r="BM12" s="108">
        <f>'Apr11'!$I$141</f>
        <v>10000</v>
      </c>
    </row>
    <row r="13" spans="1:65" s="46" customFormat="1">
      <c r="A13" s="186">
        <v>8</v>
      </c>
      <c r="B13" s="47"/>
      <c r="C13" s="51" t="s">
        <v>212</v>
      </c>
      <c r="D13" s="58"/>
      <c r="E13" s="58"/>
      <c r="F13" s="58"/>
      <c r="G13" s="148">
        <f t="shared" si="4"/>
        <v>21085.019999999997</v>
      </c>
      <c r="H13" s="149">
        <f t="shared" si="5"/>
        <v>5958000</v>
      </c>
      <c r="I13" s="181">
        <f t="shared" si="0"/>
        <v>10542.509999999998</v>
      </c>
      <c r="J13" s="149">
        <f t="shared" si="0"/>
        <v>2979000</v>
      </c>
      <c r="K13" s="108">
        <f t="shared" si="6"/>
        <v>248250</v>
      </c>
      <c r="L13" s="148">
        <f t="shared" si="1"/>
        <v>6870.7799999999988</v>
      </c>
      <c r="M13" s="149">
        <f t="shared" si="1"/>
        <v>2008999.9999999998</v>
      </c>
      <c r="N13" s="108">
        <f t="shared" si="7"/>
        <v>167417</v>
      </c>
      <c r="O13" s="148">
        <f t="shared" si="2"/>
        <v>14214.24</v>
      </c>
      <c r="P13" s="149">
        <f t="shared" si="2"/>
        <v>3949000</v>
      </c>
      <c r="Q13" s="108">
        <f t="shared" si="8"/>
        <v>329084</v>
      </c>
      <c r="R13" s="45">
        <f t="shared" si="9"/>
        <v>0</v>
      </c>
      <c r="S13" s="108">
        <f t="shared" si="10"/>
        <v>0</v>
      </c>
      <c r="T13" s="45">
        <f t="shared" si="11"/>
        <v>0</v>
      </c>
      <c r="U13" s="108">
        <f t="shared" si="12"/>
        <v>0</v>
      </c>
      <c r="V13" s="45">
        <f t="shared" si="13"/>
        <v>0</v>
      </c>
      <c r="W13" s="108">
        <f t="shared" si="14"/>
        <v>0</v>
      </c>
      <c r="X13" s="45">
        <f t="shared" si="15"/>
        <v>41.04</v>
      </c>
      <c r="Y13" s="108">
        <f t="shared" si="16"/>
        <v>12000</v>
      </c>
      <c r="Z13" s="45">
        <f t="shared" si="17"/>
        <v>0</v>
      </c>
      <c r="AA13" s="108">
        <f t="shared" si="18"/>
        <v>0</v>
      </c>
      <c r="AB13" s="45">
        <f>'Oct12'!$K$143</f>
        <v>226.8</v>
      </c>
      <c r="AC13" s="108">
        <f>'Oct12'!$K$152</f>
        <v>63000</v>
      </c>
      <c r="AD13" s="45">
        <f>'Sep12'!$K$143</f>
        <v>1634.4000000000005</v>
      </c>
      <c r="AE13" s="108">
        <f>'Sep12'!$K$150</f>
        <v>454000.00000000012</v>
      </c>
      <c r="AF13" s="45">
        <f>'Aug12'!$K$143</f>
        <v>3225.6</v>
      </c>
      <c r="AG13" s="108">
        <f>'Aug12'!$K$152</f>
        <v>896000</v>
      </c>
      <c r="AH13" s="45">
        <f>'Jul12'!$K$143</f>
        <v>2419.2000000000003</v>
      </c>
      <c r="AI13" s="108">
        <f>'Jul12'!$K$150</f>
        <v>672000.00000000012</v>
      </c>
      <c r="AJ13" s="45">
        <f>'Jun12'!$K$143</f>
        <v>3826.8</v>
      </c>
      <c r="AK13" s="108">
        <f>'Jun12'!$K$150</f>
        <v>1063000</v>
      </c>
      <c r="AL13" s="45">
        <f>'May12'!$K$143</f>
        <v>766.80000000000007</v>
      </c>
      <c r="AM13" s="108">
        <f>'May12'!$K$150</f>
        <v>213000</v>
      </c>
      <c r="AN13" s="45">
        <f>'Apr12'!$K$143</f>
        <v>2073.6000000000004</v>
      </c>
      <c r="AO13" s="108">
        <f>'Apr12'!$K$150</f>
        <v>576000.00000000012</v>
      </c>
      <c r="AP13" s="45">
        <f>Mar12recalc!$K$143</f>
        <v>0</v>
      </c>
      <c r="AQ13" s="108">
        <f>Mar12recalc!$K$150</f>
        <v>0</v>
      </c>
      <c r="AR13" s="45">
        <f>Feb12recalc!$K$143</f>
        <v>0</v>
      </c>
      <c r="AS13" s="108">
        <f>Feb12recalc!$K$150</f>
        <v>0</v>
      </c>
      <c r="AT13" s="45">
        <f>Jan12recalc!$K$143</f>
        <v>0</v>
      </c>
      <c r="AU13" s="108">
        <f>Jan12recalc!$K$150</f>
        <v>0</v>
      </c>
      <c r="AV13" s="45">
        <f>'Dec11'!$K$143</f>
        <v>41.04</v>
      </c>
      <c r="AW13" s="108">
        <f>'Dec11'!$K$150</f>
        <v>12000</v>
      </c>
      <c r="AX13" s="45">
        <f>'Nov11'!$K$143</f>
        <v>0</v>
      </c>
      <c r="AY13" s="108">
        <f>'Nov11'!$K$150</f>
        <v>0</v>
      </c>
      <c r="AZ13" s="45">
        <f>'Oct11'!$K$143</f>
        <v>690.84</v>
      </c>
      <c r="BA13" s="108">
        <f>'Oct11'!$K$152</f>
        <v>202000</v>
      </c>
      <c r="BB13" s="45">
        <f>'Sep11'!$K$143</f>
        <v>2123.8199999999997</v>
      </c>
      <c r="BC13" s="108">
        <f>'Sep11'!$K$152</f>
        <v>620999.99999999988</v>
      </c>
      <c r="BD13" s="45">
        <f>'Aug11'!$K$143</f>
        <v>1467.1799999999998</v>
      </c>
      <c r="BE13" s="108">
        <f>'Aug11'!$K$152</f>
        <v>428999.99999999994</v>
      </c>
      <c r="BF13" s="45">
        <f>'Jul11'!$K$143</f>
        <v>1460.3399999999997</v>
      </c>
      <c r="BG13" s="108">
        <f>'Jul11'!$K$150</f>
        <v>426999.99999999994</v>
      </c>
      <c r="BH13" s="45">
        <f>'Jun11'!$K$134</f>
        <v>249.65999999999997</v>
      </c>
      <c r="BI13" s="108">
        <f>'Jun11'!$K$141</f>
        <v>72999.999999999985</v>
      </c>
      <c r="BJ13" s="45">
        <f>'May11'!$K$134</f>
        <v>0</v>
      </c>
      <c r="BK13" s="108">
        <f>'May11'!$K$141</f>
        <v>0</v>
      </c>
      <c r="BL13" s="45">
        <f>'Apr11'!$J$134</f>
        <v>837.9</v>
      </c>
      <c r="BM13" s="108">
        <f>'Apr11'!$J$141</f>
        <v>245000</v>
      </c>
    </row>
    <row r="14" spans="1:65" s="46" customFormat="1">
      <c r="A14" s="186">
        <v>9</v>
      </c>
      <c r="B14" s="47"/>
      <c r="C14" s="65" t="s">
        <v>280</v>
      </c>
      <c r="D14" s="58"/>
      <c r="E14" s="58"/>
      <c r="F14" s="58"/>
      <c r="G14" s="101">
        <f t="shared" ref="G14:K14" si="19">SUM(G10:G13)</f>
        <v>47595.02</v>
      </c>
      <c r="H14" s="109">
        <f t="shared" si="19"/>
        <v>16511000</v>
      </c>
      <c r="I14" s="106">
        <f t="shared" ref="I14:J14" si="20">SUM(I10:I13)</f>
        <v>23797.51</v>
      </c>
      <c r="J14" s="109">
        <f t="shared" si="20"/>
        <v>8255500</v>
      </c>
      <c r="K14" s="109">
        <f t="shared" si="19"/>
        <v>687958.33333333326</v>
      </c>
      <c r="L14" s="101">
        <f t="shared" ref="L14:M14" si="21">SUM(L10:L13)</f>
        <v>17636.129999999997</v>
      </c>
      <c r="M14" s="109">
        <f t="shared" si="21"/>
        <v>6451999.9999999981</v>
      </c>
      <c r="N14" s="109">
        <f t="shared" ref="N14" si="22">SUM(N10:N13)</f>
        <v>537668</v>
      </c>
      <c r="O14" s="101">
        <f t="shared" ref="O14:P14" si="23">SUM(O10:O13)</f>
        <v>29958.89</v>
      </c>
      <c r="P14" s="109">
        <f t="shared" si="23"/>
        <v>10059000.000000002</v>
      </c>
      <c r="Q14" s="109">
        <f t="shared" ref="Q14" si="24">SUM(Q10:Q13)</f>
        <v>838252</v>
      </c>
      <c r="R14" s="101">
        <f t="shared" ref="R14:S14" si="25">SUM(R10:R13)</f>
        <v>100.28000000000002</v>
      </c>
      <c r="S14" s="109">
        <f t="shared" si="25"/>
        <v>46000.000000000007</v>
      </c>
      <c r="T14" s="101">
        <f t="shared" ref="T14:AA14" si="26">SUM(T10:T13)</f>
        <v>100.28000000000002</v>
      </c>
      <c r="U14" s="109">
        <f t="shared" si="26"/>
        <v>46000.000000000007</v>
      </c>
      <c r="V14" s="101">
        <f t="shared" si="26"/>
        <v>100.28000000000002</v>
      </c>
      <c r="W14" s="109">
        <f t="shared" si="26"/>
        <v>46000.000000000007</v>
      </c>
      <c r="X14" s="101">
        <f t="shared" si="26"/>
        <v>193.94</v>
      </c>
      <c r="Y14" s="109">
        <f t="shared" si="26"/>
        <v>77000</v>
      </c>
      <c r="Z14" s="101">
        <f t="shared" si="26"/>
        <v>176.07000000000005</v>
      </c>
      <c r="AA14" s="109">
        <f t="shared" si="26"/>
        <v>79000.000000000015</v>
      </c>
      <c r="AB14" s="101">
        <f t="shared" ref="AB14:BM14" si="27">SUM(AB10:AB13)</f>
        <v>1285.05</v>
      </c>
      <c r="AC14" s="109">
        <f t="shared" si="27"/>
        <v>487000</v>
      </c>
      <c r="AD14" s="101">
        <f t="shared" si="27"/>
        <v>4142.2200000000012</v>
      </c>
      <c r="AE14" s="109">
        <f t="shared" si="27"/>
        <v>1417000.0000000005</v>
      </c>
      <c r="AF14" s="101">
        <f t="shared" si="27"/>
        <v>6302.99</v>
      </c>
      <c r="AG14" s="109">
        <f t="shared" si="27"/>
        <v>2071000.0000000002</v>
      </c>
      <c r="AH14" s="101">
        <f t="shared" si="27"/>
        <v>5202.7900000000009</v>
      </c>
      <c r="AI14" s="109">
        <f t="shared" si="27"/>
        <v>1741000.0000000005</v>
      </c>
      <c r="AJ14" s="101">
        <f t="shared" si="27"/>
        <v>7178.8100000000013</v>
      </c>
      <c r="AK14" s="109">
        <f t="shared" si="27"/>
        <v>2337000.0000000005</v>
      </c>
      <c r="AL14" s="101">
        <f t="shared" si="27"/>
        <v>2359.67</v>
      </c>
      <c r="AM14" s="109">
        <f t="shared" si="27"/>
        <v>839000</v>
      </c>
      <c r="AN14" s="101">
        <f t="shared" si="27"/>
        <v>2816.51</v>
      </c>
      <c r="AO14" s="109">
        <f t="shared" si="27"/>
        <v>873000.00000000023</v>
      </c>
      <c r="AP14" s="101">
        <f t="shared" si="27"/>
        <v>100.28000000000002</v>
      </c>
      <c r="AQ14" s="109">
        <f t="shared" si="27"/>
        <v>46000.000000000007</v>
      </c>
      <c r="AR14" s="101">
        <f t="shared" si="27"/>
        <v>100.28000000000002</v>
      </c>
      <c r="AS14" s="109">
        <f t="shared" si="27"/>
        <v>46000.000000000007</v>
      </c>
      <c r="AT14" s="101">
        <f t="shared" si="27"/>
        <v>100.28000000000002</v>
      </c>
      <c r="AU14" s="109">
        <f t="shared" si="27"/>
        <v>46000.000000000007</v>
      </c>
      <c r="AV14" s="101">
        <f t="shared" si="27"/>
        <v>193.94</v>
      </c>
      <c r="AW14" s="109">
        <f t="shared" si="27"/>
        <v>77000</v>
      </c>
      <c r="AX14" s="101">
        <f t="shared" si="27"/>
        <v>176.07000000000005</v>
      </c>
      <c r="AY14" s="109">
        <f t="shared" si="27"/>
        <v>79000.000000000015</v>
      </c>
      <c r="AZ14" s="101">
        <f t="shared" si="27"/>
        <v>1510.2300000000005</v>
      </c>
      <c r="BA14" s="109">
        <f t="shared" si="27"/>
        <v>556000.00000000012</v>
      </c>
      <c r="BB14" s="101">
        <f t="shared" si="27"/>
        <v>4685.3599999999988</v>
      </c>
      <c r="BC14" s="109">
        <f t="shared" si="27"/>
        <v>1659999.9999999995</v>
      </c>
      <c r="BD14" s="101">
        <f t="shared" si="27"/>
        <v>3870.8999999999987</v>
      </c>
      <c r="BE14" s="109">
        <f t="shared" si="27"/>
        <v>1407999.9999999995</v>
      </c>
      <c r="BF14" s="101">
        <f t="shared" si="27"/>
        <v>4076.2799999999984</v>
      </c>
      <c r="BG14" s="109">
        <f t="shared" si="27"/>
        <v>1487999.9999999995</v>
      </c>
      <c r="BH14" s="101">
        <f t="shared" si="27"/>
        <v>1620.4099999999999</v>
      </c>
      <c r="BI14" s="109">
        <f t="shared" si="27"/>
        <v>641000</v>
      </c>
      <c r="BJ14" s="101">
        <f t="shared" si="27"/>
        <v>167</v>
      </c>
      <c r="BK14" s="109">
        <f t="shared" si="27"/>
        <v>75000</v>
      </c>
      <c r="BL14" s="101">
        <f t="shared" si="27"/>
        <v>1035.0999999999999</v>
      </c>
      <c r="BM14" s="109">
        <f t="shared" si="27"/>
        <v>330000</v>
      </c>
    </row>
    <row r="15" spans="1:65" s="46" customFormat="1" ht="13.5" thickBot="1">
      <c r="A15" s="186">
        <v>10</v>
      </c>
      <c r="B15" s="47"/>
      <c r="C15" s="65" t="s">
        <v>279</v>
      </c>
      <c r="D15" s="58"/>
      <c r="E15" s="58"/>
      <c r="F15" s="58"/>
      <c r="G15" s="72">
        <f t="shared" ref="G15:K15" si="28">G14+G9+G8</f>
        <v>136603.84000000008</v>
      </c>
      <c r="H15" s="107">
        <f t="shared" si="28"/>
        <v>29740600</v>
      </c>
      <c r="I15" s="100">
        <f t="shared" ref="I15:J15" si="29">I14+I9+I8</f>
        <v>68301.920000000042</v>
      </c>
      <c r="J15" s="107">
        <f t="shared" si="29"/>
        <v>14870300</v>
      </c>
      <c r="K15" s="107">
        <f t="shared" si="28"/>
        <v>1239191.6666666665</v>
      </c>
      <c r="L15" s="72">
        <f t="shared" ref="L15:M15" si="30">L14+L9+L8</f>
        <v>61470.570000000051</v>
      </c>
      <c r="M15" s="107">
        <f t="shared" si="30"/>
        <v>12989600</v>
      </c>
      <c r="N15" s="107">
        <f t="shared" ref="N15" si="31">N14+N9+N8</f>
        <v>1082468</v>
      </c>
      <c r="O15" s="72">
        <f t="shared" ref="O15:P15" si="32">O14+O9+O8</f>
        <v>75133.270000000033</v>
      </c>
      <c r="P15" s="107">
        <f t="shared" si="32"/>
        <v>16751000</v>
      </c>
      <c r="Q15" s="107">
        <f t="shared" ref="Q15" si="33">Q14+Q9+Q8</f>
        <v>1395919</v>
      </c>
      <c r="R15" s="72">
        <f t="shared" ref="R15:S15" si="34">R14+R9+R8</f>
        <v>3753.1500000000033</v>
      </c>
      <c r="S15" s="107">
        <f t="shared" si="34"/>
        <v>500000</v>
      </c>
      <c r="T15" s="72">
        <f t="shared" ref="T15:AA15" si="35">T14+T9+T8</f>
        <v>3753.1500000000033</v>
      </c>
      <c r="U15" s="107">
        <f t="shared" si="35"/>
        <v>500000</v>
      </c>
      <c r="V15" s="72">
        <f t="shared" si="35"/>
        <v>3753.1500000000033</v>
      </c>
      <c r="W15" s="107">
        <f t="shared" si="35"/>
        <v>500000</v>
      </c>
      <c r="X15" s="72">
        <f t="shared" si="35"/>
        <v>3846.8100000000031</v>
      </c>
      <c r="Y15" s="107">
        <f t="shared" si="35"/>
        <v>509100</v>
      </c>
      <c r="Z15" s="72">
        <f t="shared" si="35"/>
        <v>3828.9400000000032</v>
      </c>
      <c r="AA15" s="107">
        <f t="shared" si="35"/>
        <v>531700</v>
      </c>
      <c r="AB15" s="72">
        <f t="shared" ref="AB15:BM15" si="36">AB14+AB9+AB8</f>
        <v>5129.3400000000029</v>
      </c>
      <c r="AC15" s="107">
        <f t="shared" si="36"/>
        <v>1101000</v>
      </c>
      <c r="AD15" s="72">
        <f t="shared" si="36"/>
        <v>7986.5100000000039</v>
      </c>
      <c r="AE15" s="107">
        <f t="shared" si="36"/>
        <v>2063300</v>
      </c>
      <c r="AF15" s="72">
        <f t="shared" si="36"/>
        <v>10147.280000000004</v>
      </c>
      <c r="AG15" s="107">
        <f t="shared" si="36"/>
        <v>2748000</v>
      </c>
      <c r="AH15" s="72">
        <f t="shared" si="36"/>
        <v>9047.0800000000036</v>
      </c>
      <c r="AI15" s="107">
        <f t="shared" si="36"/>
        <v>2401700</v>
      </c>
      <c r="AJ15" s="72">
        <f t="shared" si="36"/>
        <v>11023.100000000004</v>
      </c>
      <c r="AK15" s="107">
        <f t="shared" si="36"/>
        <v>3024500</v>
      </c>
      <c r="AL15" s="72">
        <f t="shared" si="36"/>
        <v>6203.9600000000028</v>
      </c>
      <c r="AM15" s="107">
        <f t="shared" si="36"/>
        <v>1434700</v>
      </c>
      <c r="AN15" s="72">
        <f t="shared" si="36"/>
        <v>6660.8000000000029</v>
      </c>
      <c r="AO15" s="107">
        <f t="shared" si="36"/>
        <v>1437000.0000000002</v>
      </c>
      <c r="AP15" s="72">
        <f t="shared" si="36"/>
        <v>3753.1500000000033</v>
      </c>
      <c r="AQ15" s="107">
        <f t="shared" si="36"/>
        <v>500000</v>
      </c>
      <c r="AR15" s="72">
        <f t="shared" si="36"/>
        <v>3753.1500000000033</v>
      </c>
      <c r="AS15" s="107">
        <f t="shared" si="36"/>
        <v>500000</v>
      </c>
      <c r="AT15" s="72">
        <f t="shared" si="36"/>
        <v>3753.1500000000033</v>
      </c>
      <c r="AU15" s="107">
        <f t="shared" si="36"/>
        <v>500000</v>
      </c>
      <c r="AV15" s="72">
        <f t="shared" si="36"/>
        <v>3846.8100000000031</v>
      </c>
      <c r="AW15" s="107">
        <f t="shared" si="36"/>
        <v>509100</v>
      </c>
      <c r="AX15" s="72">
        <f t="shared" si="36"/>
        <v>3828.9400000000032</v>
      </c>
      <c r="AY15" s="107">
        <f t="shared" si="36"/>
        <v>531700</v>
      </c>
      <c r="AZ15" s="72">
        <f t="shared" si="36"/>
        <v>5163.1000000000031</v>
      </c>
      <c r="BA15" s="107">
        <f t="shared" si="36"/>
        <v>1155000</v>
      </c>
      <c r="BB15" s="72">
        <f t="shared" si="36"/>
        <v>8338.2300000000014</v>
      </c>
      <c r="BC15" s="107">
        <f t="shared" si="36"/>
        <v>2356500</v>
      </c>
      <c r="BD15" s="72">
        <f t="shared" si="36"/>
        <v>7523.7700000000013</v>
      </c>
      <c r="BE15" s="107">
        <f t="shared" si="36"/>
        <v>2088900</v>
      </c>
      <c r="BF15" s="72">
        <f t="shared" si="36"/>
        <v>7729.1500000000015</v>
      </c>
      <c r="BG15" s="107">
        <f t="shared" si="36"/>
        <v>2185100</v>
      </c>
      <c r="BH15" s="72">
        <f t="shared" si="36"/>
        <v>5273.2800000000025</v>
      </c>
      <c r="BI15" s="107">
        <f t="shared" si="36"/>
        <v>1298100</v>
      </c>
      <c r="BJ15" s="72">
        <f t="shared" si="36"/>
        <v>3819.8700000000031</v>
      </c>
      <c r="BK15" s="107">
        <f t="shared" si="36"/>
        <v>541500</v>
      </c>
      <c r="BL15" s="72">
        <f t="shared" si="36"/>
        <v>4687.970000000003</v>
      </c>
      <c r="BM15" s="107">
        <f t="shared" si="36"/>
        <v>823700</v>
      </c>
    </row>
    <row r="16" spans="1:65" s="46" customFormat="1" ht="13.5" thickTop="1">
      <c r="A16" s="186">
        <v>11</v>
      </c>
      <c r="B16" s="47"/>
      <c r="C16" s="52" t="s">
        <v>215</v>
      </c>
      <c r="D16" s="67"/>
      <c r="E16" s="67"/>
      <c r="F16" s="67"/>
      <c r="G16" s="68"/>
      <c r="H16" s="68"/>
      <c r="I16" s="182"/>
      <c r="J16" s="68"/>
      <c r="K16" s="69"/>
      <c r="L16" s="68"/>
      <c r="M16" s="68"/>
      <c r="N16" s="69"/>
      <c r="O16" s="68"/>
      <c r="P16" s="68"/>
      <c r="Q16" s="69"/>
      <c r="R16" s="70"/>
      <c r="S16" s="98"/>
      <c r="T16" s="70"/>
      <c r="U16" s="98"/>
      <c r="V16" s="70"/>
      <c r="W16" s="98"/>
      <c r="X16" s="70"/>
      <c r="Y16" s="98"/>
      <c r="Z16" s="70"/>
      <c r="AA16" s="98"/>
      <c r="AB16" s="70"/>
      <c r="AC16" s="98"/>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row>
    <row r="17" spans="1:65" s="46" customFormat="1">
      <c r="A17" s="186">
        <v>12</v>
      </c>
      <c r="B17" s="47"/>
      <c r="C17" s="46" t="s">
        <v>137</v>
      </c>
      <c r="D17" s="111">
        <v>4</v>
      </c>
      <c r="E17" s="111">
        <v>4</v>
      </c>
      <c r="F17" s="58"/>
      <c r="G17" s="148">
        <f t="shared" ref="G17:G22" si="37">L17+O17</f>
        <v>1149.1999999999998</v>
      </c>
      <c r="H17" s="149">
        <f t="shared" ref="H17:H22" si="38">M17+P17</f>
        <v>0</v>
      </c>
      <c r="I17" s="181">
        <f t="shared" ref="I17:J22" si="39">G17/2</f>
        <v>574.59999999999991</v>
      </c>
      <c r="J17" s="149">
        <f t="shared" si="39"/>
        <v>0</v>
      </c>
      <c r="K17" s="108">
        <f t="shared" ref="K17:K22" si="40">((H17/24))</f>
        <v>0</v>
      </c>
      <c r="L17" s="148">
        <f t="shared" ref="L17:L22" si="41">AP17+AR17+AT17+AV17+AX17+AZ17+BB17+BD17+BF17+BH17+BJ17+BL17</f>
        <v>565.91999999999985</v>
      </c>
      <c r="M17" s="149">
        <f t="shared" ref="M17:M22" si="42">AQ17+AS17+AU17+AW17+AY17+BA17+BC17+BE17+BG17+BI17+BK17+BM17</f>
        <v>0</v>
      </c>
      <c r="N17" s="108">
        <f t="shared" ref="N17:N22" si="43">ROUNDUP((M17/12),0)</f>
        <v>0</v>
      </c>
      <c r="O17" s="148">
        <f t="shared" ref="O17:O22" si="44">R17+T17+V17+X17+Z17+AB17+AD17+AF17+AH17+AJ17+AL17+AN17</f>
        <v>583.28</v>
      </c>
      <c r="P17" s="149">
        <f t="shared" ref="P17:P22" si="45">S17+U17+W17+Y17+AA17+AC17+AE17+AG17+AI17+AK17+AM17+AO17</f>
        <v>0</v>
      </c>
      <c r="Q17" s="108">
        <f t="shared" ref="Q17:Q22" si="46">ROUNDUP((P17/12),0)</f>
        <v>0</v>
      </c>
      <c r="R17" s="45">
        <f t="shared" ref="R17:R22" si="47">AP17</f>
        <v>47.16</v>
      </c>
      <c r="S17" s="108">
        <f t="shared" ref="S17:S22" si="48">AQ17</f>
        <v>0</v>
      </c>
      <c r="T17" s="45">
        <f t="shared" ref="T17:T22" si="49">AR17</f>
        <v>47.16</v>
      </c>
      <c r="U17" s="108">
        <f t="shared" ref="U17:U22" si="50">AS17</f>
        <v>0</v>
      </c>
      <c r="V17" s="45">
        <f t="shared" ref="V17:V22" si="51">AT17</f>
        <v>47.16</v>
      </c>
      <c r="W17" s="108">
        <f t="shared" ref="W17:W22" si="52">AU17</f>
        <v>0</v>
      </c>
      <c r="X17" s="45">
        <f t="shared" ref="X17:X22" si="53">AV17</f>
        <v>47.16</v>
      </c>
      <c r="Y17" s="108">
        <f t="shared" ref="Y17:Y22" si="54">AW17</f>
        <v>0</v>
      </c>
      <c r="Z17" s="45">
        <f t="shared" ref="Z17:Z22" si="55">AX17</f>
        <v>47.16</v>
      </c>
      <c r="AA17" s="108">
        <f t="shared" ref="AA17:AA22" si="56">AY17</f>
        <v>0</v>
      </c>
      <c r="AB17" s="45">
        <f>'Oct12'!$L$146</f>
        <v>49.64</v>
      </c>
      <c r="AC17" s="108">
        <v>0</v>
      </c>
      <c r="AD17" s="45">
        <f>'Sep12'!$L$146</f>
        <v>49.64</v>
      </c>
      <c r="AE17" s="108">
        <v>0</v>
      </c>
      <c r="AF17" s="45">
        <f>'Aug12'!$L$146</f>
        <v>49.64</v>
      </c>
      <c r="AG17" s="108">
        <v>0</v>
      </c>
      <c r="AH17" s="45">
        <f>'Jul12'!$L$146</f>
        <v>49.64</v>
      </c>
      <c r="AI17" s="108">
        <v>0</v>
      </c>
      <c r="AJ17" s="45">
        <f>'Jun12'!$L$146</f>
        <v>49.64</v>
      </c>
      <c r="AK17" s="108">
        <v>0</v>
      </c>
      <c r="AL17" s="45">
        <f>'May12'!$L$146</f>
        <v>49.64</v>
      </c>
      <c r="AM17" s="108">
        <v>0</v>
      </c>
      <c r="AN17" s="45">
        <f>'Apr12'!$L$146</f>
        <v>49.64</v>
      </c>
      <c r="AO17" s="108">
        <v>0</v>
      </c>
      <c r="AP17" s="45">
        <f>Mar12recalc!$L$146</f>
        <v>47.16</v>
      </c>
      <c r="AQ17" s="108">
        <v>0</v>
      </c>
      <c r="AR17" s="45">
        <f>Feb12recalc!$L$146</f>
        <v>47.16</v>
      </c>
      <c r="AS17" s="108">
        <v>0</v>
      </c>
      <c r="AT17" s="45">
        <f>Jan12recalc!$L$146</f>
        <v>47.16</v>
      </c>
      <c r="AU17" s="108">
        <v>0</v>
      </c>
      <c r="AV17" s="45">
        <f>'Dec11'!$L$146</f>
        <v>47.16</v>
      </c>
      <c r="AW17" s="108">
        <v>0</v>
      </c>
      <c r="AX17" s="45">
        <f>'Nov11'!$L$146</f>
        <v>47.16</v>
      </c>
      <c r="AY17" s="108">
        <v>0</v>
      </c>
      <c r="AZ17" s="45">
        <f>'Oct11'!$L$146</f>
        <v>47.16</v>
      </c>
      <c r="BA17" s="108">
        <v>0</v>
      </c>
      <c r="BB17" s="45">
        <f>'Sep11'!$L$146</f>
        <v>47.16</v>
      </c>
      <c r="BC17" s="108">
        <v>0</v>
      </c>
      <c r="BD17" s="45">
        <f>'Aug11'!$L$146</f>
        <v>47.16</v>
      </c>
      <c r="BE17" s="108">
        <v>0</v>
      </c>
      <c r="BF17" s="45">
        <f>'Jul11'!$L$146</f>
        <v>47.16</v>
      </c>
      <c r="BG17" s="108">
        <v>0</v>
      </c>
      <c r="BH17" s="45">
        <f>'Jun11'!$L$137</f>
        <v>47.16</v>
      </c>
      <c r="BI17" s="108">
        <v>0</v>
      </c>
      <c r="BJ17" s="45">
        <f>'May11'!$L$137</f>
        <v>47.16</v>
      </c>
      <c r="BK17" s="108">
        <v>0</v>
      </c>
      <c r="BL17" s="45">
        <f>'Apr11'!$K$137</f>
        <v>47.16</v>
      </c>
      <c r="BM17" s="108">
        <v>0</v>
      </c>
    </row>
    <row r="18" spans="1:65" s="46" customFormat="1">
      <c r="A18" s="186">
        <v>13</v>
      </c>
      <c r="B18" s="47"/>
      <c r="C18" s="50" t="s">
        <v>208</v>
      </c>
      <c r="D18" s="111">
        <v>8</v>
      </c>
      <c r="E18" s="111">
        <v>8</v>
      </c>
      <c r="F18" s="58"/>
      <c r="G18" s="148">
        <f t="shared" si="37"/>
        <v>7814.880000000001</v>
      </c>
      <c r="H18" s="149">
        <f t="shared" si="38"/>
        <v>1609000</v>
      </c>
      <c r="I18" s="181">
        <f t="shared" si="39"/>
        <v>3907.4400000000005</v>
      </c>
      <c r="J18" s="149">
        <f t="shared" si="39"/>
        <v>804500</v>
      </c>
      <c r="K18" s="108">
        <f t="shared" si="40"/>
        <v>67041.666666666672</v>
      </c>
      <c r="L18" s="148">
        <f t="shared" si="41"/>
        <v>3848.6400000000012</v>
      </c>
      <c r="M18" s="149">
        <f t="shared" si="42"/>
        <v>839000</v>
      </c>
      <c r="N18" s="108">
        <f t="shared" si="43"/>
        <v>69917</v>
      </c>
      <c r="O18" s="148">
        <f t="shared" si="44"/>
        <v>3966.2400000000002</v>
      </c>
      <c r="P18" s="149">
        <f t="shared" si="45"/>
        <v>770000</v>
      </c>
      <c r="Q18" s="108">
        <f t="shared" si="46"/>
        <v>64167</v>
      </c>
      <c r="R18" s="45">
        <f t="shared" si="47"/>
        <v>320.72000000000003</v>
      </c>
      <c r="S18" s="108">
        <f t="shared" si="48"/>
        <v>70000</v>
      </c>
      <c r="T18" s="45">
        <f t="shared" si="49"/>
        <v>320.72000000000003</v>
      </c>
      <c r="U18" s="108">
        <f t="shared" si="50"/>
        <v>70000</v>
      </c>
      <c r="V18" s="45">
        <f t="shared" si="51"/>
        <v>320.72000000000003</v>
      </c>
      <c r="W18" s="108">
        <f t="shared" si="52"/>
        <v>70000</v>
      </c>
      <c r="X18" s="45">
        <f t="shared" si="53"/>
        <v>320.72000000000003</v>
      </c>
      <c r="Y18" s="108">
        <f t="shared" si="54"/>
        <v>70000</v>
      </c>
      <c r="Z18" s="45">
        <f t="shared" si="55"/>
        <v>320.72000000000003</v>
      </c>
      <c r="AA18" s="108">
        <f t="shared" si="56"/>
        <v>70000</v>
      </c>
      <c r="AB18" s="45">
        <f>'Oct12'!$G$144</f>
        <v>337.52</v>
      </c>
      <c r="AC18" s="108">
        <f>'Oct12'!$G$153</f>
        <v>50000</v>
      </c>
      <c r="AD18" s="45">
        <f>'Sep12'!$G$144</f>
        <v>337.52</v>
      </c>
      <c r="AE18" s="108">
        <f>'Sep12'!$G$151</f>
        <v>50000</v>
      </c>
      <c r="AF18" s="45">
        <f>'Aug12'!$G$144</f>
        <v>337.52</v>
      </c>
      <c r="AG18" s="108">
        <f>'Aug12'!$G$153</f>
        <v>59999.999999999942</v>
      </c>
      <c r="AH18" s="45">
        <f>'Jul12'!$G$144</f>
        <v>337.52</v>
      </c>
      <c r="AI18" s="108">
        <f>'Jul12'!$G$151</f>
        <v>50000</v>
      </c>
      <c r="AJ18" s="45">
        <f>'Jun12'!$G$144</f>
        <v>337.52</v>
      </c>
      <c r="AK18" s="108">
        <f>'Jun12'!$G$151</f>
        <v>70000</v>
      </c>
      <c r="AL18" s="45">
        <f>'May12'!$G$144</f>
        <v>337.52</v>
      </c>
      <c r="AM18" s="108">
        <f>'May12'!$G$151</f>
        <v>69999.999999999942</v>
      </c>
      <c r="AN18" s="45">
        <f>'Apr12'!$G$144</f>
        <v>337.52</v>
      </c>
      <c r="AO18" s="108">
        <f>'Apr12'!$G$151</f>
        <v>70000</v>
      </c>
      <c r="AP18" s="45">
        <f>Mar12recalc!$G$144</f>
        <v>320.72000000000003</v>
      </c>
      <c r="AQ18" s="108">
        <f>Mar12recalc!$G$151</f>
        <v>70000</v>
      </c>
      <c r="AR18" s="45">
        <f>Feb12recalc!$G$144</f>
        <v>320.72000000000003</v>
      </c>
      <c r="AS18" s="108">
        <f>Feb12recalc!$G$151</f>
        <v>70000</v>
      </c>
      <c r="AT18" s="45">
        <f>Jan12recalc!$G$144</f>
        <v>320.72000000000003</v>
      </c>
      <c r="AU18" s="108">
        <f>Jan12recalc!$G$151</f>
        <v>70000</v>
      </c>
      <c r="AV18" s="45">
        <f>'Dec11'!$G$144</f>
        <v>320.72000000000003</v>
      </c>
      <c r="AW18" s="108">
        <f>'Dec11'!$G$151</f>
        <v>70000</v>
      </c>
      <c r="AX18" s="45">
        <f>'Nov11'!$G$144</f>
        <v>320.72000000000003</v>
      </c>
      <c r="AY18" s="108">
        <f>'Nov11'!$G$151</f>
        <v>70000</v>
      </c>
      <c r="AZ18" s="45">
        <f>'Oct11'!$G$144</f>
        <v>320.72000000000003</v>
      </c>
      <c r="BA18" s="108">
        <f>'Oct11'!$G$153</f>
        <v>70000.000000000029</v>
      </c>
      <c r="BB18" s="45">
        <f>'Sep11'!$G$144</f>
        <v>320.72000000000003</v>
      </c>
      <c r="BC18" s="108">
        <f>'Sep11'!$G$153</f>
        <v>70000</v>
      </c>
      <c r="BD18" s="45">
        <f>'Aug11'!$G$144</f>
        <v>320.72000000000003</v>
      </c>
      <c r="BE18" s="108">
        <f>'Aug11'!$G$153</f>
        <v>70000</v>
      </c>
      <c r="BF18" s="45">
        <f>'Jul11'!$G$144</f>
        <v>320.72000000000003</v>
      </c>
      <c r="BG18" s="108">
        <f>'Jul11'!$G$151</f>
        <v>70000</v>
      </c>
      <c r="BH18" s="45">
        <f>'Jun11'!$G$135</f>
        <v>320.72000000000003</v>
      </c>
      <c r="BI18" s="108">
        <f>'Jun11'!$G$142</f>
        <v>70000.000000000058</v>
      </c>
      <c r="BJ18" s="45">
        <f>'May11'!$G$135</f>
        <v>320.72000000000003</v>
      </c>
      <c r="BK18" s="108">
        <f>'May11'!$G$142</f>
        <v>69999.999999999985</v>
      </c>
      <c r="BL18" s="45">
        <f>'Apr11'!$F$135</f>
        <v>320.72000000000003</v>
      </c>
      <c r="BM18" s="108">
        <f>'Apr11'!$F$142</f>
        <v>69000.000000000015</v>
      </c>
    </row>
    <row r="19" spans="1:65" s="46" customFormat="1">
      <c r="A19" s="186">
        <v>14</v>
      </c>
      <c r="B19" s="47"/>
      <c r="C19" s="50" t="s">
        <v>209</v>
      </c>
      <c r="D19" s="58"/>
      <c r="E19" s="58"/>
      <c r="F19" s="58"/>
      <c r="G19" s="148">
        <f t="shared" si="37"/>
        <v>2601.4600000000005</v>
      </c>
      <c r="H19" s="149">
        <f t="shared" si="38"/>
        <v>1175000</v>
      </c>
      <c r="I19" s="181">
        <f t="shared" si="39"/>
        <v>1300.7300000000002</v>
      </c>
      <c r="J19" s="149">
        <f t="shared" si="39"/>
        <v>587500</v>
      </c>
      <c r="K19" s="108">
        <f t="shared" si="40"/>
        <v>48958.333333333336</v>
      </c>
      <c r="L19" s="148">
        <f t="shared" si="41"/>
        <v>1323.2600000000002</v>
      </c>
      <c r="M19" s="149">
        <f t="shared" si="42"/>
        <v>607000</v>
      </c>
      <c r="N19" s="108">
        <f t="shared" si="43"/>
        <v>50584</v>
      </c>
      <c r="O19" s="148">
        <f t="shared" si="44"/>
        <v>1278.2000000000003</v>
      </c>
      <c r="P19" s="149">
        <f t="shared" si="45"/>
        <v>568000</v>
      </c>
      <c r="Q19" s="108">
        <f t="shared" si="46"/>
        <v>47334</v>
      </c>
      <c r="R19" s="45">
        <f t="shared" si="47"/>
        <v>104.64000000000001</v>
      </c>
      <c r="S19" s="108">
        <f t="shared" si="48"/>
        <v>48000</v>
      </c>
      <c r="T19" s="45">
        <f t="shared" si="49"/>
        <v>104.64000000000001</v>
      </c>
      <c r="U19" s="108">
        <f t="shared" si="50"/>
        <v>48000</v>
      </c>
      <c r="V19" s="45">
        <f t="shared" si="51"/>
        <v>104.64000000000001</v>
      </c>
      <c r="W19" s="108">
        <f t="shared" si="52"/>
        <v>48000</v>
      </c>
      <c r="X19" s="45">
        <f t="shared" si="53"/>
        <v>102.46000000000001</v>
      </c>
      <c r="Y19" s="108">
        <f t="shared" si="54"/>
        <v>47000</v>
      </c>
      <c r="Z19" s="45">
        <f t="shared" si="55"/>
        <v>95.92</v>
      </c>
      <c r="AA19" s="108">
        <f t="shared" si="56"/>
        <v>44000</v>
      </c>
      <c r="AB19" s="45">
        <f>'Oct12'!$H$144</f>
        <v>92</v>
      </c>
      <c r="AC19" s="108">
        <f>'Oct12'!$H$153</f>
        <v>40000</v>
      </c>
      <c r="AD19" s="45">
        <f>'Sep12'!$H$144</f>
        <v>98.9</v>
      </c>
      <c r="AE19" s="108">
        <f>'Sep12'!$H$151</f>
        <v>43000.000000000007</v>
      </c>
      <c r="AF19" s="45">
        <f>'Aug12'!$H$144</f>
        <v>87.4</v>
      </c>
      <c r="AG19" s="108">
        <f>'Aug12'!$H$153</f>
        <v>38000.000000000007</v>
      </c>
      <c r="AH19" s="45">
        <f>'Jul12'!$H$144</f>
        <v>89.7</v>
      </c>
      <c r="AI19" s="108">
        <f>'Jul12'!$H$151</f>
        <v>39000.000000000007</v>
      </c>
      <c r="AJ19" s="45">
        <f>'Jun12'!$H$144</f>
        <v>149.5</v>
      </c>
      <c r="AK19" s="108">
        <f>'Jun12'!$H$151</f>
        <v>65000</v>
      </c>
      <c r="AL19" s="45">
        <f>'May12'!$H$144</f>
        <v>121.89999999999999</v>
      </c>
      <c r="AM19" s="108">
        <f>'May12'!$H$151</f>
        <v>53000</v>
      </c>
      <c r="AN19" s="45">
        <f>'Apr12'!$H$144</f>
        <v>126.5</v>
      </c>
      <c r="AO19" s="108">
        <f>'Apr12'!$H$151</f>
        <v>55000.000000000007</v>
      </c>
      <c r="AP19" s="45">
        <f>Mar12recalc!$H$144</f>
        <v>104.64000000000001</v>
      </c>
      <c r="AQ19" s="108">
        <f>Mar12recalc!$H$151</f>
        <v>48000</v>
      </c>
      <c r="AR19" s="45">
        <f>Feb12recalc!$H$144</f>
        <v>104.64000000000001</v>
      </c>
      <c r="AS19" s="108">
        <f>Feb12recalc!$H$151</f>
        <v>48000</v>
      </c>
      <c r="AT19" s="45">
        <f>Jan12recalc!$H$144</f>
        <v>104.64000000000001</v>
      </c>
      <c r="AU19" s="108">
        <f>Jan12recalc!$H$151</f>
        <v>48000</v>
      </c>
      <c r="AV19" s="45">
        <f>'Dec11'!$H$144</f>
        <v>102.46000000000001</v>
      </c>
      <c r="AW19" s="108">
        <f>'Dec11'!$H$151</f>
        <v>47000</v>
      </c>
      <c r="AX19" s="45">
        <f>'Nov11'!$H$144</f>
        <v>95.92</v>
      </c>
      <c r="AY19" s="108">
        <f>'Nov11'!$H$151</f>
        <v>44000</v>
      </c>
      <c r="AZ19" s="45">
        <f>'Oct11'!$H$144</f>
        <v>100.28000000000002</v>
      </c>
      <c r="BA19" s="108">
        <f>'Oct11'!$H$153</f>
        <v>46000.000000000007</v>
      </c>
      <c r="BB19" s="45">
        <f>'Sep11'!$H$144</f>
        <v>137.34</v>
      </c>
      <c r="BC19" s="108">
        <f>'Sep11'!$H$153</f>
        <v>63000</v>
      </c>
      <c r="BD19" s="45">
        <f>'Aug11'!$H$144</f>
        <v>119.9</v>
      </c>
      <c r="BE19" s="108">
        <f>'Aug11'!$H$153</f>
        <v>55000</v>
      </c>
      <c r="BF19" s="45">
        <f>'Jul11'!$H$144</f>
        <v>126.44000000000001</v>
      </c>
      <c r="BG19" s="108">
        <f>'Jul11'!$H$151</f>
        <v>58000</v>
      </c>
      <c r="BH19" s="45">
        <f>'Jun11'!$H$135</f>
        <v>119.9</v>
      </c>
      <c r="BI19" s="108">
        <f>'Jun11'!$H$142</f>
        <v>55000</v>
      </c>
      <c r="BJ19" s="45">
        <f>'May11'!$H$135</f>
        <v>111.18</v>
      </c>
      <c r="BK19" s="108">
        <f>'May11'!$H$142</f>
        <v>51000</v>
      </c>
      <c r="BL19" s="45">
        <f>'Apr11'!$G$135</f>
        <v>95.92</v>
      </c>
      <c r="BM19" s="108">
        <f>'Apr11'!$G$142</f>
        <v>44000</v>
      </c>
    </row>
    <row r="20" spans="1:65" s="46" customFormat="1">
      <c r="A20" s="186">
        <v>15</v>
      </c>
      <c r="B20" s="47"/>
      <c r="C20" s="50" t="s">
        <v>210</v>
      </c>
      <c r="D20" s="58"/>
      <c r="E20" s="58"/>
      <c r="F20" s="58"/>
      <c r="G20" s="148">
        <f t="shared" si="37"/>
        <v>2479.96</v>
      </c>
      <c r="H20" s="149">
        <f t="shared" si="38"/>
        <v>966000</v>
      </c>
      <c r="I20" s="181">
        <f t="shared" si="39"/>
        <v>1239.98</v>
      </c>
      <c r="J20" s="149">
        <f t="shared" si="39"/>
        <v>483000</v>
      </c>
      <c r="K20" s="108">
        <f t="shared" si="40"/>
        <v>40250</v>
      </c>
      <c r="L20" s="148">
        <f t="shared" si="41"/>
        <v>1292.83</v>
      </c>
      <c r="M20" s="149">
        <f t="shared" si="42"/>
        <v>511000</v>
      </c>
      <c r="N20" s="108">
        <f t="shared" si="43"/>
        <v>42584</v>
      </c>
      <c r="O20" s="148">
        <f t="shared" si="44"/>
        <v>1187.1299999999999</v>
      </c>
      <c r="P20" s="149">
        <f t="shared" si="45"/>
        <v>455000</v>
      </c>
      <c r="Q20" s="108">
        <f t="shared" si="46"/>
        <v>37917</v>
      </c>
      <c r="R20" s="45">
        <f t="shared" si="47"/>
        <v>101.19999999999999</v>
      </c>
      <c r="S20" s="108">
        <f t="shared" si="48"/>
        <v>40000</v>
      </c>
      <c r="T20" s="45">
        <f t="shared" si="49"/>
        <v>101.19999999999999</v>
      </c>
      <c r="U20" s="108">
        <f t="shared" si="50"/>
        <v>40000</v>
      </c>
      <c r="V20" s="45">
        <f t="shared" si="51"/>
        <v>101.19999999999999</v>
      </c>
      <c r="W20" s="108">
        <f t="shared" si="52"/>
        <v>40000</v>
      </c>
      <c r="X20" s="45">
        <f t="shared" si="53"/>
        <v>96.139999999999986</v>
      </c>
      <c r="Y20" s="108">
        <f t="shared" si="54"/>
        <v>38000</v>
      </c>
      <c r="Z20" s="45">
        <f t="shared" si="55"/>
        <v>101.19999999999999</v>
      </c>
      <c r="AA20" s="108">
        <f t="shared" si="56"/>
        <v>40000</v>
      </c>
      <c r="AB20" s="45">
        <f>'Oct12'!$I$144</f>
        <v>69.42</v>
      </c>
      <c r="AC20" s="108">
        <f>'Oct12'!$I$153</f>
        <v>26000</v>
      </c>
      <c r="AD20" s="45">
        <f>'Sep12'!$I$144</f>
        <v>80.099999999999994</v>
      </c>
      <c r="AE20" s="108">
        <f>'Sep12'!$I$151</f>
        <v>30000</v>
      </c>
      <c r="AF20" s="45">
        <f>'Aug12'!$I$144</f>
        <v>80.099999999999994</v>
      </c>
      <c r="AG20" s="108">
        <f>'Aug12'!$I$153</f>
        <v>30000</v>
      </c>
      <c r="AH20" s="45">
        <f>'Jul12'!$I$144</f>
        <v>80.099999999999994</v>
      </c>
      <c r="AI20" s="108">
        <f>'Jul12'!$I$151</f>
        <v>30000</v>
      </c>
      <c r="AJ20" s="45">
        <f>'Jun12'!$I$144</f>
        <v>136.16999999999999</v>
      </c>
      <c r="AK20" s="108">
        <f>'Jun12'!$I$151</f>
        <v>51000</v>
      </c>
      <c r="AL20" s="45">
        <f>'May12'!$I$144</f>
        <v>133.5</v>
      </c>
      <c r="AM20" s="108">
        <f>'May12'!$I$151</f>
        <v>50000</v>
      </c>
      <c r="AN20" s="45">
        <f>'Apr12'!$I$144</f>
        <v>106.8</v>
      </c>
      <c r="AO20" s="108">
        <f>'Apr12'!$I$151</f>
        <v>40000</v>
      </c>
      <c r="AP20" s="45">
        <f>Mar12recalc!$I$144</f>
        <v>101.19999999999999</v>
      </c>
      <c r="AQ20" s="108">
        <f>Mar12recalc!$I$151</f>
        <v>40000</v>
      </c>
      <c r="AR20" s="45">
        <f>Feb12recalc!$I$144</f>
        <v>101.19999999999999</v>
      </c>
      <c r="AS20" s="108">
        <f>Feb12recalc!$I$151</f>
        <v>40000</v>
      </c>
      <c r="AT20" s="45">
        <f>Jan12recalc!$I$144</f>
        <v>101.19999999999999</v>
      </c>
      <c r="AU20" s="108">
        <f>Jan12recalc!$I$151</f>
        <v>40000</v>
      </c>
      <c r="AV20" s="45">
        <f>'Dec11'!$I$144</f>
        <v>96.139999999999986</v>
      </c>
      <c r="AW20" s="108">
        <f>'Dec11'!$I$151</f>
        <v>38000</v>
      </c>
      <c r="AX20" s="45">
        <f>'Nov11'!$I$144</f>
        <v>101.19999999999999</v>
      </c>
      <c r="AY20" s="108">
        <f>'Nov11'!$I$151</f>
        <v>40000</v>
      </c>
      <c r="AZ20" s="45">
        <f>'Oct11'!$I$144</f>
        <v>101.19999999999999</v>
      </c>
      <c r="BA20" s="108">
        <f>'Oct11'!$I$153</f>
        <v>40000</v>
      </c>
      <c r="BB20" s="45">
        <f>'Sep11'!$I$144</f>
        <v>111.32</v>
      </c>
      <c r="BC20" s="108">
        <f>'Sep11'!$I$153</f>
        <v>44000</v>
      </c>
      <c r="BD20" s="45">
        <f>'Aug11'!$I$144</f>
        <v>126.49999999999999</v>
      </c>
      <c r="BE20" s="108">
        <f>'Aug11'!$I$153</f>
        <v>50000</v>
      </c>
      <c r="BF20" s="45">
        <f>'Jul11'!$I$144</f>
        <v>106.25999999999999</v>
      </c>
      <c r="BG20" s="108">
        <f>'Jul11'!$I$151</f>
        <v>42000</v>
      </c>
      <c r="BH20" s="45">
        <f>'Jun11'!$I$135</f>
        <v>126.49999999999999</v>
      </c>
      <c r="BI20" s="108">
        <f>'Jun11'!$I$142</f>
        <v>50000</v>
      </c>
      <c r="BJ20" s="45">
        <f>'May11'!$I$135</f>
        <v>118.90999999999998</v>
      </c>
      <c r="BK20" s="108">
        <f>'May11'!$I$142</f>
        <v>47000</v>
      </c>
      <c r="BL20" s="45">
        <f>'Apr11'!$H$135</f>
        <v>101.19999999999999</v>
      </c>
      <c r="BM20" s="108">
        <f>'Apr11'!$H$142</f>
        <v>40000</v>
      </c>
    </row>
    <row r="21" spans="1:65" s="46" customFormat="1">
      <c r="A21" s="186">
        <v>16</v>
      </c>
      <c r="B21" s="47"/>
      <c r="C21" s="50" t="s">
        <v>211</v>
      </c>
      <c r="D21" s="58"/>
      <c r="E21" s="58"/>
      <c r="F21" s="58"/>
      <c r="G21" s="148">
        <f t="shared" si="37"/>
        <v>2741.75</v>
      </c>
      <c r="H21" s="149">
        <f t="shared" si="38"/>
        <v>917000</v>
      </c>
      <c r="I21" s="181">
        <f t="shared" si="39"/>
        <v>1370.875</v>
      </c>
      <c r="J21" s="149">
        <f t="shared" si="39"/>
        <v>458500</v>
      </c>
      <c r="K21" s="108">
        <f t="shared" si="40"/>
        <v>38208.333333333336</v>
      </c>
      <c r="L21" s="148">
        <f t="shared" si="41"/>
        <v>1433.7</v>
      </c>
      <c r="M21" s="149">
        <f t="shared" si="42"/>
        <v>486000</v>
      </c>
      <c r="N21" s="108">
        <f t="shared" si="43"/>
        <v>40500</v>
      </c>
      <c r="O21" s="148">
        <f t="shared" si="44"/>
        <v>1308.05</v>
      </c>
      <c r="P21" s="149">
        <f t="shared" si="45"/>
        <v>431000</v>
      </c>
      <c r="Q21" s="108">
        <f t="shared" si="46"/>
        <v>35917</v>
      </c>
      <c r="R21" s="45">
        <f t="shared" si="47"/>
        <v>118</v>
      </c>
      <c r="S21" s="108">
        <f t="shared" si="48"/>
        <v>40000</v>
      </c>
      <c r="T21" s="45">
        <f t="shared" si="49"/>
        <v>118</v>
      </c>
      <c r="U21" s="108">
        <f t="shared" si="50"/>
        <v>40000</v>
      </c>
      <c r="V21" s="45">
        <f t="shared" si="51"/>
        <v>118</v>
      </c>
      <c r="W21" s="108">
        <f t="shared" si="52"/>
        <v>40000</v>
      </c>
      <c r="X21" s="45">
        <f t="shared" si="53"/>
        <v>79.650000000000006</v>
      </c>
      <c r="Y21" s="108">
        <f t="shared" si="54"/>
        <v>27000</v>
      </c>
      <c r="Z21" s="45">
        <f t="shared" si="55"/>
        <v>118</v>
      </c>
      <c r="AA21" s="108">
        <f t="shared" si="56"/>
        <v>40000</v>
      </c>
      <c r="AB21" s="45">
        <f>'Oct12'!$J$144</f>
        <v>62</v>
      </c>
      <c r="AC21" s="108">
        <f>'Oct12'!$J$153</f>
        <v>20000</v>
      </c>
      <c r="AD21" s="45">
        <f>'Sep12'!$J$144</f>
        <v>74.400000000000006</v>
      </c>
      <c r="AE21" s="108">
        <f>'Sep12'!$J$151</f>
        <v>24000</v>
      </c>
      <c r="AF21" s="45">
        <f>'Aug12'!$J$144</f>
        <v>93</v>
      </c>
      <c r="AG21" s="108">
        <f>'Aug12'!$J$153</f>
        <v>30000</v>
      </c>
      <c r="AH21" s="45">
        <f>'Jul12'!$J$144</f>
        <v>93</v>
      </c>
      <c r="AI21" s="108">
        <f>'Jul12'!$J$151</f>
        <v>30000</v>
      </c>
      <c r="AJ21" s="45">
        <f>'Jun12'!$J$144</f>
        <v>155</v>
      </c>
      <c r="AK21" s="108">
        <f>'Jun12'!$J$151</f>
        <v>50000</v>
      </c>
      <c r="AL21" s="45">
        <f>'May12'!$J$144</f>
        <v>155</v>
      </c>
      <c r="AM21" s="108">
        <f>'May12'!$J$151</f>
        <v>50000</v>
      </c>
      <c r="AN21" s="45">
        <f>'Apr12'!$J$144</f>
        <v>124</v>
      </c>
      <c r="AO21" s="108">
        <f>'Apr12'!$J$151</f>
        <v>40000</v>
      </c>
      <c r="AP21" s="45">
        <f>Mar12recalc!$J$144</f>
        <v>118</v>
      </c>
      <c r="AQ21" s="108">
        <f>Mar12recalc!$J$151</f>
        <v>40000</v>
      </c>
      <c r="AR21" s="45">
        <f>Feb12recalc!$J$144</f>
        <v>118</v>
      </c>
      <c r="AS21" s="108">
        <f>Feb12recalc!$J$151</f>
        <v>40000</v>
      </c>
      <c r="AT21" s="45">
        <f>Jan12recalc!$J$144</f>
        <v>118</v>
      </c>
      <c r="AU21" s="108">
        <f>Jan12recalc!$J$151</f>
        <v>40000</v>
      </c>
      <c r="AV21" s="45">
        <f>'Dec11'!$J$144</f>
        <v>79.650000000000006</v>
      </c>
      <c r="AW21" s="108">
        <f>'Dec11'!$J$151</f>
        <v>27000</v>
      </c>
      <c r="AX21" s="45">
        <f>'Nov11'!$J$144</f>
        <v>118</v>
      </c>
      <c r="AY21" s="108">
        <f>'Nov11'!$J$151</f>
        <v>40000</v>
      </c>
      <c r="AZ21" s="45">
        <f>'Oct11'!$J$144</f>
        <v>118</v>
      </c>
      <c r="BA21" s="108">
        <f>'Oct11'!$J$153</f>
        <v>40000</v>
      </c>
      <c r="BB21" s="45">
        <f>'Sep11'!$J$144</f>
        <v>118</v>
      </c>
      <c r="BC21" s="108">
        <f>'Sep11'!$J$153</f>
        <v>40000</v>
      </c>
      <c r="BD21" s="45">
        <f>'Aug11'!$J$144</f>
        <v>144.55000000000001</v>
      </c>
      <c r="BE21" s="108">
        <f>'Aug11'!$J$153</f>
        <v>49000</v>
      </c>
      <c r="BF21" s="45">
        <f>'Jul11'!$J$144</f>
        <v>118</v>
      </c>
      <c r="BG21" s="108">
        <f>'Jul11'!$J$151</f>
        <v>40000</v>
      </c>
      <c r="BH21" s="45">
        <f>'Jun11'!$J$135</f>
        <v>147.5</v>
      </c>
      <c r="BI21" s="108">
        <f>'Jun11'!$J$142</f>
        <v>50000</v>
      </c>
      <c r="BJ21" s="45">
        <f>'May11'!$J$135</f>
        <v>118</v>
      </c>
      <c r="BK21" s="108">
        <f>'May11'!$J$142</f>
        <v>40000</v>
      </c>
      <c r="BL21" s="45">
        <f>'Apr11'!$I$135</f>
        <v>118</v>
      </c>
      <c r="BM21" s="108">
        <f>'Apr11'!$I$142</f>
        <v>40000</v>
      </c>
    </row>
    <row r="22" spans="1:65" s="46" customFormat="1">
      <c r="A22" s="186">
        <v>17</v>
      </c>
      <c r="B22" s="47"/>
      <c r="C22" s="51" t="s">
        <v>212</v>
      </c>
      <c r="D22" s="58"/>
      <c r="E22" s="58"/>
      <c r="F22" s="58"/>
      <c r="G22" s="148">
        <f t="shared" si="37"/>
        <v>16962.300000000003</v>
      </c>
      <c r="H22" s="149">
        <f t="shared" si="38"/>
        <v>4859000</v>
      </c>
      <c r="I22" s="181">
        <f t="shared" si="39"/>
        <v>8481.1500000000015</v>
      </c>
      <c r="J22" s="149">
        <f t="shared" si="39"/>
        <v>2429500</v>
      </c>
      <c r="K22" s="108">
        <f t="shared" si="40"/>
        <v>202458.33333333334</v>
      </c>
      <c r="L22" s="148">
        <f t="shared" si="41"/>
        <v>8953.56</v>
      </c>
      <c r="M22" s="149">
        <f t="shared" si="42"/>
        <v>2618000</v>
      </c>
      <c r="N22" s="108">
        <f t="shared" si="43"/>
        <v>218167</v>
      </c>
      <c r="O22" s="148">
        <f t="shared" si="44"/>
        <v>8008.7400000000016</v>
      </c>
      <c r="P22" s="149">
        <f t="shared" si="45"/>
        <v>2241000</v>
      </c>
      <c r="Q22" s="108">
        <f t="shared" si="46"/>
        <v>186750</v>
      </c>
      <c r="R22" s="45">
        <f t="shared" si="47"/>
        <v>198.36</v>
      </c>
      <c r="S22" s="108">
        <f t="shared" si="48"/>
        <v>58000.000000000007</v>
      </c>
      <c r="T22" s="45">
        <f t="shared" si="49"/>
        <v>198.36</v>
      </c>
      <c r="U22" s="108">
        <f t="shared" si="50"/>
        <v>58000.000000000007</v>
      </c>
      <c r="V22" s="45">
        <f t="shared" si="51"/>
        <v>198.36</v>
      </c>
      <c r="W22" s="108">
        <f t="shared" si="52"/>
        <v>58000.000000000007</v>
      </c>
      <c r="X22" s="45">
        <f t="shared" si="53"/>
        <v>150.47999999999999</v>
      </c>
      <c r="Y22" s="108">
        <f t="shared" si="54"/>
        <v>44000</v>
      </c>
      <c r="Z22" s="45">
        <f t="shared" si="55"/>
        <v>372.78</v>
      </c>
      <c r="AA22" s="108">
        <f t="shared" si="56"/>
        <v>109000</v>
      </c>
      <c r="AB22" s="45">
        <f>'Oct12'!$K$144</f>
        <v>126</v>
      </c>
      <c r="AC22" s="108">
        <f>'Oct12'!$K$153</f>
        <v>35000</v>
      </c>
      <c r="AD22" s="45">
        <f>'Sep12'!$K$144</f>
        <v>1015.2</v>
      </c>
      <c r="AE22" s="108">
        <f>'Sep12'!$K$151</f>
        <v>282000</v>
      </c>
      <c r="AF22" s="45">
        <f>'Aug12'!$K$144</f>
        <v>1299.6000000000001</v>
      </c>
      <c r="AG22" s="108">
        <f>'Aug12'!$K$153</f>
        <v>361000.00000000006</v>
      </c>
      <c r="AH22" s="45">
        <f>'Jul12'!$K$144</f>
        <v>1170</v>
      </c>
      <c r="AI22" s="108">
        <f>'Jul12'!$K$151</f>
        <v>325000</v>
      </c>
      <c r="AJ22" s="45">
        <f>'Jun12'!$K$144</f>
        <v>1796.4</v>
      </c>
      <c r="AK22" s="108">
        <f>'Jun12'!$K$151</f>
        <v>499000</v>
      </c>
      <c r="AL22" s="45">
        <f>'May12'!$K$144</f>
        <v>788.4000000000002</v>
      </c>
      <c r="AM22" s="108">
        <f>'May12'!$K$151</f>
        <v>219000.00000000006</v>
      </c>
      <c r="AN22" s="45">
        <f>'Apr12'!$K$144</f>
        <v>694.80000000000007</v>
      </c>
      <c r="AO22" s="108">
        <f>'Apr12'!$K$151</f>
        <v>193000</v>
      </c>
      <c r="AP22" s="45">
        <f>Mar12recalc!$K$144</f>
        <v>198.36</v>
      </c>
      <c r="AQ22" s="108">
        <f>Mar12recalc!$K$151</f>
        <v>58000.000000000007</v>
      </c>
      <c r="AR22" s="45">
        <f>Feb12recalc!$K$144</f>
        <v>198.36</v>
      </c>
      <c r="AS22" s="108">
        <f>Feb12recalc!$K$151</f>
        <v>58000.000000000007</v>
      </c>
      <c r="AT22" s="45">
        <f>Jan12recalc!$K$144</f>
        <v>198.36</v>
      </c>
      <c r="AU22" s="108">
        <f>Jan12recalc!$K$151</f>
        <v>58000.000000000007</v>
      </c>
      <c r="AV22" s="45">
        <f>'Dec11'!$K$144</f>
        <v>150.47999999999999</v>
      </c>
      <c r="AW22" s="108">
        <f>'Dec11'!$K$151</f>
        <v>44000</v>
      </c>
      <c r="AX22" s="45">
        <f>'Nov11'!$K$144</f>
        <v>372.78</v>
      </c>
      <c r="AY22" s="108">
        <f>'Nov11'!$K$151</f>
        <v>109000</v>
      </c>
      <c r="AZ22" s="45">
        <f>'Oct11'!$K$144</f>
        <v>663.4799999999999</v>
      </c>
      <c r="BA22" s="108">
        <f>'Oct11'!$K$153</f>
        <v>193999.99999999997</v>
      </c>
      <c r="BB22" s="45">
        <f>'Sep11'!$K$144</f>
        <v>1922.04</v>
      </c>
      <c r="BC22" s="108">
        <f>'Sep11'!$K$153</f>
        <v>562000</v>
      </c>
      <c r="BD22" s="45">
        <f>'Aug11'!$K$144</f>
        <v>1573.2</v>
      </c>
      <c r="BE22" s="108">
        <f>'Aug11'!$K$153</f>
        <v>460000</v>
      </c>
      <c r="BF22" s="45">
        <f>'Jul11'!$K$144</f>
        <v>1744.2</v>
      </c>
      <c r="BG22" s="108">
        <f>'Jul11'!$K$151</f>
        <v>510000</v>
      </c>
      <c r="BH22" s="45">
        <f>'Jun11'!$K$135</f>
        <v>1166.2199999999998</v>
      </c>
      <c r="BI22" s="108">
        <f>'Jun11'!$K$142</f>
        <v>340999.99999999994</v>
      </c>
      <c r="BJ22" s="45">
        <f>'May11'!$K$135</f>
        <v>335.16</v>
      </c>
      <c r="BK22" s="108">
        <f>'May11'!$K$142</f>
        <v>98000.000000000015</v>
      </c>
      <c r="BL22" s="45">
        <f>'Apr11'!$J$135</f>
        <v>430.91999999999996</v>
      </c>
      <c r="BM22" s="108">
        <f>'Apr11'!$J$142</f>
        <v>125999.99999999999</v>
      </c>
    </row>
    <row r="23" spans="1:65" s="46" customFormat="1">
      <c r="A23" s="186">
        <v>18</v>
      </c>
      <c r="B23" s="47"/>
      <c r="C23" s="65" t="s">
        <v>280</v>
      </c>
      <c r="D23" s="58"/>
      <c r="E23" s="58"/>
      <c r="F23" s="58"/>
      <c r="G23" s="101">
        <f t="shared" ref="G23:K23" si="57">SUM(G19:G22)</f>
        <v>24785.47</v>
      </c>
      <c r="H23" s="109">
        <f t="shared" si="57"/>
        <v>7917000</v>
      </c>
      <c r="I23" s="106">
        <f t="shared" ref="I23:J23" si="58">SUM(I19:I22)</f>
        <v>12392.735000000001</v>
      </c>
      <c r="J23" s="109">
        <f t="shared" si="58"/>
        <v>3958500</v>
      </c>
      <c r="K23" s="109">
        <f t="shared" si="57"/>
        <v>329875</v>
      </c>
      <c r="L23" s="101">
        <f t="shared" ref="L23:M23" si="59">SUM(L19:L22)</f>
        <v>13003.349999999999</v>
      </c>
      <c r="M23" s="109">
        <f t="shared" si="59"/>
        <v>4222000</v>
      </c>
      <c r="N23" s="109">
        <f t="shared" ref="N23" si="60">SUM(N19:N22)</f>
        <v>351835</v>
      </c>
      <c r="O23" s="101">
        <f t="shared" ref="O23:Q23" si="61">SUM(O19:O22)</f>
        <v>11782.120000000003</v>
      </c>
      <c r="P23" s="109">
        <f t="shared" si="61"/>
        <v>3695000</v>
      </c>
      <c r="Q23" s="109">
        <f t="shared" si="61"/>
        <v>307918</v>
      </c>
      <c r="R23" s="101">
        <f t="shared" ref="R23:S23" si="62">SUM(R19:R22)</f>
        <v>522.20000000000005</v>
      </c>
      <c r="S23" s="109">
        <f t="shared" si="62"/>
        <v>186000</v>
      </c>
      <c r="T23" s="101">
        <f t="shared" ref="T23:AA23" si="63">SUM(T19:T22)</f>
        <v>522.20000000000005</v>
      </c>
      <c r="U23" s="109">
        <f t="shared" si="63"/>
        <v>186000</v>
      </c>
      <c r="V23" s="101">
        <f t="shared" si="63"/>
        <v>522.20000000000005</v>
      </c>
      <c r="W23" s="109">
        <f t="shared" si="63"/>
        <v>186000</v>
      </c>
      <c r="X23" s="101">
        <f t="shared" si="63"/>
        <v>428.73</v>
      </c>
      <c r="Y23" s="109">
        <f t="shared" si="63"/>
        <v>156000</v>
      </c>
      <c r="Z23" s="101">
        <f t="shared" si="63"/>
        <v>687.9</v>
      </c>
      <c r="AA23" s="109">
        <f t="shared" si="63"/>
        <v>233000</v>
      </c>
      <c r="AB23" s="101">
        <f t="shared" ref="AB23:BM23" si="64">SUM(AB19:AB22)</f>
        <v>349.42</v>
      </c>
      <c r="AC23" s="109">
        <f t="shared" si="64"/>
        <v>121000</v>
      </c>
      <c r="AD23" s="101">
        <f t="shared" si="64"/>
        <v>1268.6000000000001</v>
      </c>
      <c r="AE23" s="109">
        <f t="shared" si="64"/>
        <v>379000</v>
      </c>
      <c r="AF23" s="101">
        <f t="shared" si="64"/>
        <v>1560.1000000000001</v>
      </c>
      <c r="AG23" s="109">
        <f t="shared" si="64"/>
        <v>459000.00000000006</v>
      </c>
      <c r="AH23" s="101">
        <f t="shared" si="64"/>
        <v>1432.8</v>
      </c>
      <c r="AI23" s="109">
        <f t="shared" si="64"/>
        <v>424000</v>
      </c>
      <c r="AJ23" s="101">
        <f t="shared" si="64"/>
        <v>2237.0700000000002</v>
      </c>
      <c r="AK23" s="109">
        <f t="shared" si="64"/>
        <v>665000</v>
      </c>
      <c r="AL23" s="101">
        <f t="shared" si="64"/>
        <v>1198.8000000000002</v>
      </c>
      <c r="AM23" s="109">
        <f t="shared" si="64"/>
        <v>372000.00000000006</v>
      </c>
      <c r="AN23" s="101">
        <f t="shared" si="64"/>
        <v>1052.1000000000001</v>
      </c>
      <c r="AO23" s="109">
        <f t="shared" si="64"/>
        <v>328000</v>
      </c>
      <c r="AP23" s="101">
        <f t="shared" si="64"/>
        <v>522.20000000000005</v>
      </c>
      <c r="AQ23" s="109">
        <f t="shared" si="64"/>
        <v>186000</v>
      </c>
      <c r="AR23" s="101">
        <f t="shared" si="64"/>
        <v>522.20000000000005</v>
      </c>
      <c r="AS23" s="109">
        <f t="shared" si="64"/>
        <v>186000</v>
      </c>
      <c r="AT23" s="101">
        <f t="shared" si="64"/>
        <v>522.20000000000005</v>
      </c>
      <c r="AU23" s="109">
        <f t="shared" si="64"/>
        <v>186000</v>
      </c>
      <c r="AV23" s="101">
        <f t="shared" si="64"/>
        <v>428.73</v>
      </c>
      <c r="AW23" s="109">
        <f t="shared" si="64"/>
        <v>156000</v>
      </c>
      <c r="AX23" s="101">
        <f t="shared" si="64"/>
        <v>687.9</v>
      </c>
      <c r="AY23" s="109">
        <f t="shared" si="64"/>
        <v>233000</v>
      </c>
      <c r="AZ23" s="101">
        <f t="shared" si="64"/>
        <v>982.95999999999992</v>
      </c>
      <c r="BA23" s="109">
        <f t="shared" si="64"/>
        <v>320000</v>
      </c>
      <c r="BB23" s="101">
        <f t="shared" si="64"/>
        <v>2288.6999999999998</v>
      </c>
      <c r="BC23" s="109">
        <f t="shared" si="64"/>
        <v>709000</v>
      </c>
      <c r="BD23" s="101">
        <f t="shared" si="64"/>
        <v>1964.15</v>
      </c>
      <c r="BE23" s="109">
        <f t="shared" si="64"/>
        <v>614000</v>
      </c>
      <c r="BF23" s="101">
        <f t="shared" si="64"/>
        <v>2094.9</v>
      </c>
      <c r="BG23" s="109">
        <f t="shared" si="64"/>
        <v>650000</v>
      </c>
      <c r="BH23" s="101">
        <f t="shared" si="64"/>
        <v>1560.12</v>
      </c>
      <c r="BI23" s="109">
        <f t="shared" si="64"/>
        <v>495999.99999999994</v>
      </c>
      <c r="BJ23" s="101">
        <f t="shared" si="64"/>
        <v>683.25</v>
      </c>
      <c r="BK23" s="109">
        <f t="shared" si="64"/>
        <v>236000</v>
      </c>
      <c r="BL23" s="101">
        <f t="shared" si="64"/>
        <v>746.04</v>
      </c>
      <c r="BM23" s="109">
        <f t="shared" si="64"/>
        <v>250000</v>
      </c>
    </row>
    <row r="24" spans="1:65" s="46" customFormat="1" ht="13.5" thickBot="1">
      <c r="A24" s="186">
        <v>19</v>
      </c>
      <c r="B24" s="47"/>
      <c r="C24" s="65" t="s">
        <v>279</v>
      </c>
      <c r="D24" s="58"/>
      <c r="E24" s="58"/>
      <c r="F24" s="58"/>
      <c r="G24" s="72">
        <f t="shared" ref="G24:K24" si="65">G23+G18+G17</f>
        <v>33749.550000000003</v>
      </c>
      <c r="H24" s="107">
        <f t="shared" si="65"/>
        <v>9526000</v>
      </c>
      <c r="I24" s="100">
        <f t="shared" ref="I24:J24" si="66">I23+I18+I17</f>
        <v>16874.775000000001</v>
      </c>
      <c r="J24" s="107">
        <f t="shared" si="66"/>
        <v>4763000</v>
      </c>
      <c r="K24" s="107">
        <f t="shared" si="65"/>
        <v>396916.66666666669</v>
      </c>
      <c r="L24" s="72">
        <f t="shared" ref="L24:M24" si="67">L23+L18+L17</f>
        <v>17417.909999999996</v>
      </c>
      <c r="M24" s="107">
        <f t="shared" si="67"/>
        <v>5061000</v>
      </c>
      <c r="N24" s="107">
        <f t="shared" ref="N24" si="68">N23+N18+N17</f>
        <v>421752</v>
      </c>
      <c r="O24" s="72">
        <f t="shared" ref="O24:Q24" si="69">O23+O18+O17</f>
        <v>16331.640000000003</v>
      </c>
      <c r="P24" s="107">
        <f t="shared" si="69"/>
        <v>4465000</v>
      </c>
      <c r="Q24" s="107">
        <f t="shared" si="69"/>
        <v>372085</v>
      </c>
      <c r="R24" s="72">
        <f t="shared" ref="R24:S24" si="70">R23+R18+R17</f>
        <v>890.08</v>
      </c>
      <c r="S24" s="107">
        <f t="shared" si="70"/>
        <v>256000</v>
      </c>
      <c r="T24" s="72">
        <f t="shared" ref="T24:AA24" si="71">T23+T18+T17</f>
        <v>890.08</v>
      </c>
      <c r="U24" s="107">
        <f t="shared" si="71"/>
        <v>256000</v>
      </c>
      <c r="V24" s="72">
        <f t="shared" si="71"/>
        <v>890.08</v>
      </c>
      <c r="W24" s="107">
        <f t="shared" si="71"/>
        <v>256000</v>
      </c>
      <c r="X24" s="72">
        <f t="shared" si="71"/>
        <v>796.61</v>
      </c>
      <c r="Y24" s="107">
        <f t="shared" si="71"/>
        <v>226000</v>
      </c>
      <c r="Z24" s="72">
        <f t="shared" si="71"/>
        <v>1055.78</v>
      </c>
      <c r="AA24" s="107">
        <f t="shared" si="71"/>
        <v>303000</v>
      </c>
      <c r="AB24" s="72">
        <f t="shared" ref="AB24:BM24" si="72">AB23+AB18+AB17</f>
        <v>736.58</v>
      </c>
      <c r="AC24" s="107">
        <f t="shared" si="72"/>
        <v>171000</v>
      </c>
      <c r="AD24" s="72">
        <f t="shared" si="72"/>
        <v>1655.7600000000002</v>
      </c>
      <c r="AE24" s="107">
        <f t="shared" si="72"/>
        <v>429000</v>
      </c>
      <c r="AF24" s="72">
        <f t="shared" si="72"/>
        <v>1947.2600000000002</v>
      </c>
      <c r="AG24" s="107">
        <f t="shared" si="72"/>
        <v>519000</v>
      </c>
      <c r="AH24" s="72">
        <f t="shared" si="72"/>
        <v>1819.96</v>
      </c>
      <c r="AI24" s="107">
        <f t="shared" si="72"/>
        <v>474000</v>
      </c>
      <c r="AJ24" s="72">
        <f t="shared" si="72"/>
        <v>2624.23</v>
      </c>
      <c r="AK24" s="107">
        <f t="shared" si="72"/>
        <v>735000</v>
      </c>
      <c r="AL24" s="72">
        <f t="shared" si="72"/>
        <v>1585.9600000000003</v>
      </c>
      <c r="AM24" s="107">
        <f t="shared" si="72"/>
        <v>442000</v>
      </c>
      <c r="AN24" s="72">
        <f t="shared" si="72"/>
        <v>1439.2600000000002</v>
      </c>
      <c r="AO24" s="107">
        <f t="shared" si="72"/>
        <v>398000</v>
      </c>
      <c r="AP24" s="72">
        <f t="shared" si="72"/>
        <v>890.08</v>
      </c>
      <c r="AQ24" s="107">
        <f t="shared" si="72"/>
        <v>256000</v>
      </c>
      <c r="AR24" s="72">
        <f t="shared" si="72"/>
        <v>890.08</v>
      </c>
      <c r="AS24" s="107">
        <f t="shared" si="72"/>
        <v>256000</v>
      </c>
      <c r="AT24" s="72">
        <f t="shared" si="72"/>
        <v>890.08</v>
      </c>
      <c r="AU24" s="107">
        <f t="shared" si="72"/>
        <v>256000</v>
      </c>
      <c r="AV24" s="72">
        <f t="shared" si="72"/>
        <v>796.61</v>
      </c>
      <c r="AW24" s="107">
        <f t="shared" si="72"/>
        <v>226000</v>
      </c>
      <c r="AX24" s="72">
        <f t="shared" si="72"/>
        <v>1055.78</v>
      </c>
      <c r="AY24" s="107">
        <f t="shared" si="72"/>
        <v>303000</v>
      </c>
      <c r="AZ24" s="72">
        <f t="shared" si="72"/>
        <v>1350.84</v>
      </c>
      <c r="BA24" s="107">
        <f t="shared" si="72"/>
        <v>390000</v>
      </c>
      <c r="BB24" s="72">
        <f t="shared" si="72"/>
        <v>2656.58</v>
      </c>
      <c r="BC24" s="107">
        <f t="shared" si="72"/>
        <v>779000</v>
      </c>
      <c r="BD24" s="72">
        <f t="shared" si="72"/>
        <v>2332.0299999999997</v>
      </c>
      <c r="BE24" s="107">
        <f t="shared" si="72"/>
        <v>684000</v>
      </c>
      <c r="BF24" s="72">
        <f t="shared" si="72"/>
        <v>2462.7799999999997</v>
      </c>
      <c r="BG24" s="107">
        <f t="shared" si="72"/>
        <v>720000</v>
      </c>
      <c r="BH24" s="72">
        <f t="shared" si="72"/>
        <v>1928</v>
      </c>
      <c r="BI24" s="107">
        <f t="shared" si="72"/>
        <v>566000</v>
      </c>
      <c r="BJ24" s="72">
        <f t="shared" si="72"/>
        <v>1051.1300000000001</v>
      </c>
      <c r="BK24" s="107">
        <f t="shared" si="72"/>
        <v>306000</v>
      </c>
      <c r="BL24" s="72">
        <f t="shared" si="72"/>
        <v>1113.92</v>
      </c>
      <c r="BM24" s="107">
        <f t="shared" si="72"/>
        <v>319000</v>
      </c>
    </row>
    <row r="25" spans="1:65" s="46" customFormat="1" ht="13.5" thickTop="1">
      <c r="A25" s="186">
        <v>20</v>
      </c>
      <c r="B25" s="47" t="s">
        <v>217</v>
      </c>
      <c r="D25" s="67"/>
      <c r="E25" s="67"/>
      <c r="F25" s="67"/>
      <c r="G25" s="68"/>
      <c r="H25" s="68"/>
      <c r="I25" s="182"/>
      <c r="J25" s="68"/>
      <c r="K25" s="69"/>
      <c r="L25" s="68"/>
      <c r="M25" s="68"/>
      <c r="N25" s="69"/>
      <c r="O25" s="68"/>
      <c r="P25" s="68"/>
      <c r="Q25" s="69"/>
      <c r="R25" s="70"/>
      <c r="S25" s="98"/>
      <c r="T25" s="70"/>
      <c r="U25" s="98"/>
      <c r="V25" s="70"/>
      <c r="W25" s="98"/>
      <c r="X25" s="70"/>
      <c r="Y25" s="98"/>
      <c r="Z25" s="70"/>
      <c r="AA25" s="98"/>
      <c r="AB25" s="70"/>
      <c r="AC25" s="98"/>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row>
    <row r="26" spans="1:65" s="46" customFormat="1">
      <c r="A26" s="186">
        <v>21</v>
      </c>
      <c r="B26" s="47"/>
      <c r="C26" s="46" t="s">
        <v>137</v>
      </c>
      <c r="D26" s="111">
        <f>D8+D17</f>
        <v>35</v>
      </c>
      <c r="E26" s="111">
        <f>E8+E17</f>
        <v>35</v>
      </c>
      <c r="F26" s="58"/>
      <c r="G26" s="45">
        <f t="shared" ref="G26:K26" si="73">G8+G17</f>
        <v>10055.500000000004</v>
      </c>
      <c r="H26" s="108">
        <f t="shared" si="73"/>
        <v>0</v>
      </c>
      <c r="I26" s="183">
        <f t="shared" ref="I26:J26" si="74">I8+I17</f>
        <v>5027.7500000000018</v>
      </c>
      <c r="J26" s="108">
        <f t="shared" si="74"/>
        <v>0</v>
      </c>
      <c r="K26" s="108">
        <f t="shared" si="73"/>
        <v>0</v>
      </c>
      <c r="L26" s="45">
        <f t="shared" ref="L26:N31" si="75">L8+L17</f>
        <v>4951.800000000002</v>
      </c>
      <c r="M26" s="108">
        <f t="shared" si="75"/>
        <v>0</v>
      </c>
      <c r="N26" s="108">
        <f t="shared" si="75"/>
        <v>0</v>
      </c>
      <c r="O26" s="45">
        <f t="shared" ref="O26:P26" si="76">O8+O17</f>
        <v>5103.7000000000007</v>
      </c>
      <c r="P26" s="108">
        <f t="shared" si="76"/>
        <v>0</v>
      </c>
      <c r="Q26" s="108">
        <f t="shared" ref="Q26" si="77">Q8+Q17</f>
        <v>0</v>
      </c>
      <c r="R26" s="45">
        <f t="shared" ref="R26:S26" si="78">R8+R17</f>
        <v>412.65000000000009</v>
      </c>
      <c r="S26" s="108">
        <f t="shared" si="78"/>
        <v>0</v>
      </c>
      <c r="T26" s="45">
        <f t="shared" ref="T26:AA26" si="79">T8+T17</f>
        <v>412.65000000000009</v>
      </c>
      <c r="U26" s="108">
        <f t="shared" si="79"/>
        <v>0</v>
      </c>
      <c r="V26" s="45">
        <f t="shared" si="79"/>
        <v>412.65000000000009</v>
      </c>
      <c r="W26" s="108">
        <f t="shared" si="79"/>
        <v>0</v>
      </c>
      <c r="X26" s="45">
        <f t="shared" si="79"/>
        <v>412.65000000000009</v>
      </c>
      <c r="Y26" s="108">
        <f t="shared" si="79"/>
        <v>0</v>
      </c>
      <c r="Z26" s="45">
        <f t="shared" si="79"/>
        <v>412.65000000000009</v>
      </c>
      <c r="AA26" s="108">
        <f t="shared" si="79"/>
        <v>0</v>
      </c>
      <c r="AB26" s="45">
        <f t="shared" ref="AB26:BM26" si="80">AB8+AB17</f>
        <v>434.35000000000019</v>
      </c>
      <c r="AC26" s="108">
        <f t="shared" si="80"/>
        <v>0</v>
      </c>
      <c r="AD26" s="45">
        <f t="shared" si="80"/>
        <v>434.35000000000019</v>
      </c>
      <c r="AE26" s="108">
        <f t="shared" si="80"/>
        <v>0</v>
      </c>
      <c r="AF26" s="45">
        <f t="shared" si="80"/>
        <v>434.35000000000019</v>
      </c>
      <c r="AG26" s="108">
        <f t="shared" si="80"/>
        <v>0</v>
      </c>
      <c r="AH26" s="45">
        <f t="shared" si="80"/>
        <v>434.35000000000019</v>
      </c>
      <c r="AI26" s="108">
        <f t="shared" si="80"/>
        <v>0</v>
      </c>
      <c r="AJ26" s="45">
        <f t="shared" si="80"/>
        <v>434.35000000000019</v>
      </c>
      <c r="AK26" s="108">
        <f t="shared" si="80"/>
        <v>0</v>
      </c>
      <c r="AL26" s="45">
        <f t="shared" si="80"/>
        <v>434.35000000000019</v>
      </c>
      <c r="AM26" s="108">
        <f t="shared" si="80"/>
        <v>0</v>
      </c>
      <c r="AN26" s="45">
        <f t="shared" si="80"/>
        <v>434.35000000000019</v>
      </c>
      <c r="AO26" s="108">
        <f t="shared" si="80"/>
        <v>0</v>
      </c>
      <c r="AP26" s="45">
        <f t="shared" si="80"/>
        <v>412.65000000000009</v>
      </c>
      <c r="AQ26" s="108">
        <f t="shared" si="80"/>
        <v>0</v>
      </c>
      <c r="AR26" s="45">
        <f t="shared" si="80"/>
        <v>412.65000000000009</v>
      </c>
      <c r="AS26" s="108">
        <f t="shared" si="80"/>
        <v>0</v>
      </c>
      <c r="AT26" s="45">
        <f t="shared" si="80"/>
        <v>412.65000000000009</v>
      </c>
      <c r="AU26" s="108">
        <f t="shared" si="80"/>
        <v>0</v>
      </c>
      <c r="AV26" s="45">
        <f t="shared" si="80"/>
        <v>412.65000000000009</v>
      </c>
      <c r="AW26" s="108">
        <f t="shared" si="80"/>
        <v>0</v>
      </c>
      <c r="AX26" s="45">
        <f t="shared" si="80"/>
        <v>412.65000000000009</v>
      </c>
      <c r="AY26" s="108">
        <f t="shared" si="80"/>
        <v>0</v>
      </c>
      <c r="AZ26" s="45">
        <f t="shared" si="80"/>
        <v>412.65000000000009</v>
      </c>
      <c r="BA26" s="108">
        <f t="shared" si="80"/>
        <v>0</v>
      </c>
      <c r="BB26" s="45">
        <f t="shared" si="80"/>
        <v>412.65000000000009</v>
      </c>
      <c r="BC26" s="108">
        <f t="shared" si="80"/>
        <v>0</v>
      </c>
      <c r="BD26" s="45">
        <f t="shared" si="80"/>
        <v>412.65000000000009</v>
      </c>
      <c r="BE26" s="108">
        <f t="shared" si="80"/>
        <v>0</v>
      </c>
      <c r="BF26" s="45">
        <f t="shared" si="80"/>
        <v>412.65000000000009</v>
      </c>
      <c r="BG26" s="108">
        <f t="shared" si="80"/>
        <v>0</v>
      </c>
      <c r="BH26" s="45">
        <f t="shared" si="80"/>
        <v>412.65000000000009</v>
      </c>
      <c r="BI26" s="108">
        <f t="shared" si="80"/>
        <v>0</v>
      </c>
      <c r="BJ26" s="45">
        <f t="shared" si="80"/>
        <v>412.65000000000009</v>
      </c>
      <c r="BK26" s="108">
        <f t="shared" si="80"/>
        <v>0</v>
      </c>
      <c r="BL26" s="45">
        <f t="shared" si="80"/>
        <v>412.65000000000009</v>
      </c>
      <c r="BM26" s="108">
        <f t="shared" si="80"/>
        <v>0</v>
      </c>
    </row>
    <row r="27" spans="1:65" s="46" customFormat="1">
      <c r="A27" s="186">
        <v>22</v>
      </c>
      <c r="B27" s="47"/>
      <c r="C27" s="50" t="s">
        <v>208</v>
      </c>
      <c r="D27" s="111">
        <f>D9+D18</f>
        <v>90</v>
      </c>
      <c r="E27" s="111">
        <f>E9+E18</f>
        <v>90</v>
      </c>
      <c r="F27" s="58"/>
      <c r="G27" s="45">
        <f t="shared" ref="G27:K27" si="81">G9+G18</f>
        <v>87917.400000000081</v>
      </c>
      <c r="H27" s="108">
        <f t="shared" si="81"/>
        <v>14838600</v>
      </c>
      <c r="I27" s="183">
        <f t="shared" ref="I27:J27" si="82">I9+I18</f>
        <v>43958.700000000041</v>
      </c>
      <c r="J27" s="108">
        <f t="shared" si="82"/>
        <v>7419300</v>
      </c>
      <c r="K27" s="108">
        <f t="shared" si="81"/>
        <v>618275</v>
      </c>
      <c r="L27" s="45">
        <f t="shared" ref="L27:M27" si="83">L9+L18</f>
        <v>43297.200000000048</v>
      </c>
      <c r="M27" s="108">
        <f t="shared" si="83"/>
        <v>7376600.0000000019</v>
      </c>
      <c r="N27" s="108">
        <f t="shared" si="75"/>
        <v>614717</v>
      </c>
      <c r="O27" s="45">
        <f t="shared" ref="O27:P27" si="84">O9+O18</f>
        <v>44620.200000000026</v>
      </c>
      <c r="P27" s="108">
        <f t="shared" si="84"/>
        <v>7461999.9999999981</v>
      </c>
      <c r="Q27" s="108">
        <f t="shared" ref="Q27" si="85">Q9+Q18</f>
        <v>621834</v>
      </c>
      <c r="R27" s="45">
        <f t="shared" ref="R27:S27" si="86">R9+R18</f>
        <v>3608.1000000000031</v>
      </c>
      <c r="S27" s="108">
        <f t="shared" si="86"/>
        <v>524000</v>
      </c>
      <c r="T27" s="45">
        <f t="shared" ref="T27:AA27" si="87">T9+T18</f>
        <v>3608.1000000000031</v>
      </c>
      <c r="U27" s="108">
        <f t="shared" si="87"/>
        <v>524000</v>
      </c>
      <c r="V27" s="45">
        <f t="shared" si="87"/>
        <v>3608.1000000000031</v>
      </c>
      <c r="W27" s="108">
        <f t="shared" si="87"/>
        <v>524000</v>
      </c>
      <c r="X27" s="45">
        <f t="shared" si="87"/>
        <v>3608.1000000000031</v>
      </c>
      <c r="Y27" s="108">
        <f t="shared" si="87"/>
        <v>502100</v>
      </c>
      <c r="Z27" s="45">
        <f t="shared" si="87"/>
        <v>3608.1000000000031</v>
      </c>
      <c r="AA27" s="108">
        <f t="shared" si="87"/>
        <v>522700</v>
      </c>
      <c r="AB27" s="45">
        <f t="shared" ref="AB27:BM27" si="88">AB9+AB18</f>
        <v>3797.1000000000026</v>
      </c>
      <c r="AC27" s="108">
        <f t="shared" si="88"/>
        <v>664000</v>
      </c>
      <c r="AD27" s="45">
        <f t="shared" si="88"/>
        <v>3797.1000000000026</v>
      </c>
      <c r="AE27" s="108">
        <f t="shared" si="88"/>
        <v>696299.99999999953</v>
      </c>
      <c r="AF27" s="45">
        <f t="shared" si="88"/>
        <v>3797.1000000000026</v>
      </c>
      <c r="AG27" s="108">
        <f t="shared" si="88"/>
        <v>737000</v>
      </c>
      <c r="AH27" s="45">
        <f t="shared" si="88"/>
        <v>3797.1000000000026</v>
      </c>
      <c r="AI27" s="108">
        <f t="shared" si="88"/>
        <v>710699.99999999953</v>
      </c>
      <c r="AJ27" s="45">
        <f t="shared" si="88"/>
        <v>3797.1000000000026</v>
      </c>
      <c r="AK27" s="108">
        <f t="shared" si="88"/>
        <v>757499.99999999953</v>
      </c>
      <c r="AL27" s="45">
        <f t="shared" si="88"/>
        <v>3797.1000000000026</v>
      </c>
      <c r="AM27" s="108">
        <f t="shared" si="88"/>
        <v>665700</v>
      </c>
      <c r="AN27" s="45">
        <f t="shared" si="88"/>
        <v>3797.1000000000026</v>
      </c>
      <c r="AO27" s="108">
        <f t="shared" si="88"/>
        <v>634000</v>
      </c>
      <c r="AP27" s="45">
        <f t="shared" si="88"/>
        <v>3608.1000000000031</v>
      </c>
      <c r="AQ27" s="108">
        <f t="shared" si="88"/>
        <v>524000</v>
      </c>
      <c r="AR27" s="45">
        <f t="shared" si="88"/>
        <v>3608.1000000000031</v>
      </c>
      <c r="AS27" s="108">
        <f t="shared" si="88"/>
        <v>524000</v>
      </c>
      <c r="AT27" s="45">
        <f t="shared" si="88"/>
        <v>3608.1000000000031</v>
      </c>
      <c r="AU27" s="108">
        <f t="shared" si="88"/>
        <v>524000</v>
      </c>
      <c r="AV27" s="45">
        <f t="shared" si="88"/>
        <v>3608.1000000000031</v>
      </c>
      <c r="AW27" s="108">
        <f t="shared" si="88"/>
        <v>502100</v>
      </c>
      <c r="AX27" s="45">
        <f t="shared" si="88"/>
        <v>3608.1000000000031</v>
      </c>
      <c r="AY27" s="108">
        <f t="shared" si="88"/>
        <v>522700</v>
      </c>
      <c r="AZ27" s="45">
        <f t="shared" si="88"/>
        <v>3608.1000000000031</v>
      </c>
      <c r="BA27" s="108">
        <f t="shared" si="88"/>
        <v>668999.99999999988</v>
      </c>
      <c r="BB27" s="45">
        <f t="shared" si="88"/>
        <v>3608.1000000000031</v>
      </c>
      <c r="BC27" s="108">
        <f t="shared" si="88"/>
        <v>766500.00000000047</v>
      </c>
      <c r="BD27" s="45">
        <f t="shared" si="88"/>
        <v>3608.1000000000031</v>
      </c>
      <c r="BE27" s="108">
        <f t="shared" si="88"/>
        <v>750900.00000000047</v>
      </c>
      <c r="BF27" s="45">
        <f t="shared" si="88"/>
        <v>3608.1000000000031</v>
      </c>
      <c r="BG27" s="108">
        <f t="shared" si="88"/>
        <v>767100.00000000047</v>
      </c>
      <c r="BH27" s="45">
        <f t="shared" si="88"/>
        <v>3608.1000000000031</v>
      </c>
      <c r="BI27" s="108">
        <f t="shared" si="88"/>
        <v>727100</v>
      </c>
      <c r="BJ27" s="45">
        <f t="shared" si="88"/>
        <v>3608.1000000000031</v>
      </c>
      <c r="BK27" s="108">
        <f t="shared" si="88"/>
        <v>536500</v>
      </c>
      <c r="BL27" s="45">
        <f t="shared" si="88"/>
        <v>3608.1000000000031</v>
      </c>
      <c r="BM27" s="108">
        <f t="shared" si="88"/>
        <v>562700</v>
      </c>
    </row>
    <row r="28" spans="1:65" s="46" customFormat="1">
      <c r="A28" s="186">
        <v>23</v>
      </c>
      <c r="B28" s="47"/>
      <c r="C28" s="50" t="s">
        <v>209</v>
      </c>
      <c r="D28" s="58"/>
      <c r="E28" s="58"/>
      <c r="F28" s="58"/>
      <c r="G28" s="45">
        <f t="shared" ref="G28:K28" si="89">G10+G19</f>
        <v>14371.58</v>
      </c>
      <c r="H28" s="108">
        <f t="shared" si="89"/>
        <v>6427000</v>
      </c>
      <c r="I28" s="183">
        <f t="shared" ref="I28:J28" si="90">I10+I19</f>
        <v>7185.79</v>
      </c>
      <c r="J28" s="108">
        <f t="shared" si="90"/>
        <v>3213500</v>
      </c>
      <c r="K28" s="108">
        <f t="shared" si="89"/>
        <v>267791.66666666669</v>
      </c>
      <c r="L28" s="45">
        <f t="shared" ref="L28:M28" si="91">L10+L19</f>
        <v>6398.2999999999984</v>
      </c>
      <c r="M28" s="108">
        <f t="shared" si="91"/>
        <v>2934999.9999999991</v>
      </c>
      <c r="N28" s="108">
        <f t="shared" si="75"/>
        <v>244584</v>
      </c>
      <c r="O28" s="45">
        <f t="shared" ref="O28:P28" si="92">O10+O19</f>
        <v>7973.2800000000007</v>
      </c>
      <c r="P28" s="108">
        <f t="shared" si="92"/>
        <v>3492000.0000000005</v>
      </c>
      <c r="Q28" s="108">
        <f t="shared" ref="Q28" si="93">Q10+Q19</f>
        <v>291001</v>
      </c>
      <c r="R28" s="45">
        <f t="shared" ref="R28:S28" si="94">R10+R19</f>
        <v>204.92000000000002</v>
      </c>
      <c r="S28" s="108">
        <f t="shared" si="94"/>
        <v>94000</v>
      </c>
      <c r="T28" s="45">
        <f t="shared" ref="T28:AA28" si="95">T10+T19</f>
        <v>204.92000000000002</v>
      </c>
      <c r="U28" s="108">
        <f t="shared" si="95"/>
        <v>94000</v>
      </c>
      <c r="V28" s="45">
        <f t="shared" si="95"/>
        <v>204.92000000000002</v>
      </c>
      <c r="W28" s="108">
        <f t="shared" si="95"/>
        <v>94000</v>
      </c>
      <c r="X28" s="45">
        <f t="shared" si="95"/>
        <v>200.56</v>
      </c>
      <c r="Y28" s="108">
        <f t="shared" si="95"/>
        <v>92000</v>
      </c>
      <c r="Z28" s="45">
        <f t="shared" si="95"/>
        <v>244.16000000000003</v>
      </c>
      <c r="AA28" s="108">
        <f t="shared" si="95"/>
        <v>112000.00000000001</v>
      </c>
      <c r="AB28" s="45">
        <f t="shared" ref="AB28:BM28" si="96">AB10+AB19</f>
        <v>673.9</v>
      </c>
      <c r="AC28" s="108">
        <f t="shared" si="96"/>
        <v>293000</v>
      </c>
      <c r="AD28" s="45">
        <f t="shared" si="96"/>
        <v>1081.0000000000002</v>
      </c>
      <c r="AE28" s="108">
        <f t="shared" si="96"/>
        <v>470000.00000000012</v>
      </c>
      <c r="AF28" s="45">
        <f t="shared" si="96"/>
        <v>1221.3</v>
      </c>
      <c r="AG28" s="108">
        <f t="shared" si="96"/>
        <v>531000</v>
      </c>
      <c r="AH28" s="45">
        <f t="shared" si="96"/>
        <v>1173.0000000000002</v>
      </c>
      <c r="AI28" s="108">
        <f t="shared" si="96"/>
        <v>510000.00000000012</v>
      </c>
      <c r="AJ28" s="45">
        <f t="shared" si="96"/>
        <v>1331.7</v>
      </c>
      <c r="AK28" s="108">
        <f t="shared" si="96"/>
        <v>579000.00000000012</v>
      </c>
      <c r="AL28" s="45">
        <f t="shared" si="96"/>
        <v>885.5</v>
      </c>
      <c r="AM28" s="108">
        <f t="shared" si="96"/>
        <v>385000.00000000006</v>
      </c>
      <c r="AN28" s="45">
        <f t="shared" si="96"/>
        <v>547.40000000000009</v>
      </c>
      <c r="AO28" s="108">
        <f t="shared" si="96"/>
        <v>238000.00000000006</v>
      </c>
      <c r="AP28" s="45">
        <f t="shared" si="96"/>
        <v>204.92000000000002</v>
      </c>
      <c r="AQ28" s="108">
        <f t="shared" si="96"/>
        <v>94000</v>
      </c>
      <c r="AR28" s="45">
        <f t="shared" si="96"/>
        <v>204.92000000000002</v>
      </c>
      <c r="AS28" s="108">
        <f t="shared" si="96"/>
        <v>94000</v>
      </c>
      <c r="AT28" s="45">
        <f t="shared" si="96"/>
        <v>204.92000000000002</v>
      </c>
      <c r="AU28" s="108">
        <f t="shared" si="96"/>
        <v>94000</v>
      </c>
      <c r="AV28" s="45">
        <f t="shared" si="96"/>
        <v>200.56</v>
      </c>
      <c r="AW28" s="108">
        <f t="shared" si="96"/>
        <v>92000</v>
      </c>
      <c r="AX28" s="45">
        <f t="shared" si="96"/>
        <v>244.16000000000003</v>
      </c>
      <c r="AY28" s="108">
        <f t="shared" si="96"/>
        <v>112000.00000000001</v>
      </c>
      <c r="AZ28" s="45">
        <f t="shared" si="96"/>
        <v>630.02000000000021</v>
      </c>
      <c r="BA28" s="108">
        <f t="shared" si="96"/>
        <v>289000.00000000012</v>
      </c>
      <c r="BB28" s="45">
        <f t="shared" si="96"/>
        <v>1146.6799999999994</v>
      </c>
      <c r="BC28" s="108">
        <f t="shared" si="96"/>
        <v>525999.99999999965</v>
      </c>
      <c r="BD28" s="45">
        <f t="shared" si="96"/>
        <v>1111.7999999999993</v>
      </c>
      <c r="BE28" s="108">
        <f t="shared" si="96"/>
        <v>509999.99999999965</v>
      </c>
      <c r="BF28" s="45">
        <f t="shared" si="96"/>
        <v>1161.9399999999996</v>
      </c>
      <c r="BG28" s="108">
        <f t="shared" si="96"/>
        <v>532999.99999999977</v>
      </c>
      <c r="BH28" s="45">
        <f t="shared" si="96"/>
        <v>802.24</v>
      </c>
      <c r="BI28" s="108">
        <f t="shared" si="96"/>
        <v>368000</v>
      </c>
      <c r="BJ28" s="45">
        <f t="shared" si="96"/>
        <v>252.88000000000002</v>
      </c>
      <c r="BK28" s="108">
        <f t="shared" si="96"/>
        <v>116000</v>
      </c>
      <c r="BL28" s="45">
        <f t="shared" si="96"/>
        <v>233.26</v>
      </c>
      <c r="BM28" s="108">
        <f t="shared" si="96"/>
        <v>107000</v>
      </c>
    </row>
    <row r="29" spans="1:65" s="46" customFormat="1">
      <c r="A29" s="186">
        <v>24</v>
      </c>
      <c r="B29" s="47"/>
      <c r="C29" s="50" t="s">
        <v>210</v>
      </c>
      <c r="D29" s="58"/>
      <c r="E29" s="58"/>
      <c r="F29" s="58"/>
      <c r="G29" s="45">
        <f t="shared" ref="G29:K29" si="97">G11+G20</f>
        <v>10891.440000000002</v>
      </c>
      <c r="H29" s="108">
        <f t="shared" si="97"/>
        <v>4186000.0000000005</v>
      </c>
      <c r="I29" s="183">
        <f t="shared" ref="I29:J29" si="98">I11+I20</f>
        <v>5445.7200000000012</v>
      </c>
      <c r="J29" s="108">
        <f t="shared" si="98"/>
        <v>2093000.0000000002</v>
      </c>
      <c r="K29" s="108">
        <f t="shared" si="97"/>
        <v>174416.66666666669</v>
      </c>
      <c r="L29" s="45">
        <f t="shared" ref="L29:M29" si="99">L11+L20</f>
        <v>4599.5399999999991</v>
      </c>
      <c r="M29" s="108">
        <f t="shared" si="99"/>
        <v>1817999.9999999995</v>
      </c>
      <c r="N29" s="108">
        <f t="shared" si="75"/>
        <v>151501</v>
      </c>
      <c r="O29" s="45">
        <f t="shared" ref="O29:P29" si="100">O11+O20</f>
        <v>6291.9000000000024</v>
      </c>
      <c r="P29" s="108">
        <f t="shared" si="100"/>
        <v>2368000.0000000009</v>
      </c>
      <c r="Q29" s="108">
        <f t="shared" ref="Q29" si="101">Q11+Q20</f>
        <v>197334</v>
      </c>
      <c r="R29" s="45">
        <f t="shared" ref="R29:S29" si="102">R11+R20</f>
        <v>101.19999999999999</v>
      </c>
      <c r="S29" s="108">
        <f t="shared" si="102"/>
        <v>40000</v>
      </c>
      <c r="T29" s="45">
        <f t="shared" ref="T29:AA29" si="103">T11+T20</f>
        <v>101.19999999999999</v>
      </c>
      <c r="U29" s="108">
        <f t="shared" si="103"/>
        <v>40000</v>
      </c>
      <c r="V29" s="45">
        <f t="shared" si="103"/>
        <v>101.19999999999999</v>
      </c>
      <c r="W29" s="108">
        <f t="shared" si="103"/>
        <v>40000</v>
      </c>
      <c r="X29" s="45">
        <f t="shared" si="103"/>
        <v>121.43999999999998</v>
      </c>
      <c r="Y29" s="108">
        <f t="shared" si="103"/>
        <v>48000</v>
      </c>
      <c r="Z29" s="45">
        <f t="shared" si="103"/>
        <v>129.02999999999997</v>
      </c>
      <c r="AA29" s="108">
        <f t="shared" si="103"/>
        <v>51000</v>
      </c>
      <c r="AB29" s="45">
        <f t="shared" ref="AB29:BM29" si="104">AB11+AB20</f>
        <v>403.16999999999996</v>
      </c>
      <c r="AC29" s="108">
        <f t="shared" si="104"/>
        <v>151000</v>
      </c>
      <c r="AD29" s="45">
        <f t="shared" si="104"/>
        <v>923.82000000000028</v>
      </c>
      <c r="AE29" s="108">
        <f t="shared" si="104"/>
        <v>346000.00000000012</v>
      </c>
      <c r="AF29" s="45">
        <f t="shared" si="104"/>
        <v>1140.0900000000004</v>
      </c>
      <c r="AG29" s="108">
        <f t="shared" si="104"/>
        <v>427000.00000000017</v>
      </c>
      <c r="AH29" s="45">
        <f t="shared" si="104"/>
        <v>1033.2900000000006</v>
      </c>
      <c r="AI29" s="108">
        <f t="shared" si="104"/>
        <v>387000.00000000023</v>
      </c>
      <c r="AJ29" s="45">
        <f t="shared" si="104"/>
        <v>1292.2800000000009</v>
      </c>
      <c r="AK29" s="108">
        <f t="shared" si="104"/>
        <v>484000.00000000035</v>
      </c>
      <c r="AL29" s="45">
        <f t="shared" si="104"/>
        <v>643.46999999999991</v>
      </c>
      <c r="AM29" s="108">
        <f t="shared" si="104"/>
        <v>240999.99999999997</v>
      </c>
      <c r="AN29" s="45">
        <f t="shared" si="104"/>
        <v>301.70999999999998</v>
      </c>
      <c r="AO29" s="108">
        <f t="shared" si="104"/>
        <v>112999.99999999999</v>
      </c>
      <c r="AP29" s="45">
        <f t="shared" si="104"/>
        <v>101.19999999999999</v>
      </c>
      <c r="AQ29" s="108">
        <f t="shared" si="104"/>
        <v>40000</v>
      </c>
      <c r="AR29" s="45">
        <f t="shared" si="104"/>
        <v>101.19999999999999</v>
      </c>
      <c r="AS29" s="108">
        <f t="shared" si="104"/>
        <v>40000</v>
      </c>
      <c r="AT29" s="45">
        <f t="shared" si="104"/>
        <v>101.19999999999999</v>
      </c>
      <c r="AU29" s="108">
        <f t="shared" si="104"/>
        <v>40000</v>
      </c>
      <c r="AV29" s="45">
        <f t="shared" si="104"/>
        <v>121.43999999999998</v>
      </c>
      <c r="AW29" s="108">
        <f t="shared" si="104"/>
        <v>48000</v>
      </c>
      <c r="AX29" s="45">
        <f t="shared" si="104"/>
        <v>129.02999999999997</v>
      </c>
      <c r="AY29" s="108">
        <f t="shared" si="104"/>
        <v>51000</v>
      </c>
      <c r="AZ29" s="45">
        <f t="shared" si="104"/>
        <v>328.9</v>
      </c>
      <c r="BA29" s="108">
        <f t="shared" si="104"/>
        <v>130000.00000000001</v>
      </c>
      <c r="BB29" s="45">
        <f t="shared" si="104"/>
        <v>996.81999999999948</v>
      </c>
      <c r="BC29" s="108">
        <f t="shared" si="104"/>
        <v>393999.99999999983</v>
      </c>
      <c r="BD29" s="45">
        <f t="shared" si="104"/>
        <v>933.5699999999996</v>
      </c>
      <c r="BE29" s="108">
        <f t="shared" si="104"/>
        <v>368999.99999999988</v>
      </c>
      <c r="BF29" s="45">
        <f t="shared" si="104"/>
        <v>999.34999999999945</v>
      </c>
      <c r="BG29" s="108">
        <f t="shared" si="104"/>
        <v>394999.99999999983</v>
      </c>
      <c r="BH29" s="45">
        <f t="shared" si="104"/>
        <v>511.06000000000006</v>
      </c>
      <c r="BI29" s="108">
        <f t="shared" si="104"/>
        <v>202000.00000000003</v>
      </c>
      <c r="BJ29" s="45">
        <f t="shared" si="104"/>
        <v>144.20999999999998</v>
      </c>
      <c r="BK29" s="108">
        <f t="shared" si="104"/>
        <v>57000</v>
      </c>
      <c r="BL29" s="45">
        <f t="shared" si="104"/>
        <v>131.55999999999997</v>
      </c>
      <c r="BM29" s="108">
        <f t="shared" si="104"/>
        <v>52000</v>
      </c>
    </row>
    <row r="30" spans="1:65" s="46" customFormat="1">
      <c r="A30" s="186">
        <v>25</v>
      </c>
      <c r="B30" s="47"/>
      <c r="C30" s="50" t="s">
        <v>211</v>
      </c>
      <c r="D30" s="58"/>
      <c r="E30" s="58"/>
      <c r="F30" s="58"/>
      <c r="G30" s="45">
        <f t="shared" ref="G30:K30" si="105">G12+G21</f>
        <v>9070.15</v>
      </c>
      <c r="H30" s="108">
        <f t="shared" si="105"/>
        <v>2998000</v>
      </c>
      <c r="I30" s="183">
        <f t="shared" ref="I30:J30" si="106">I12+I21</f>
        <v>4535.0749999999998</v>
      </c>
      <c r="J30" s="108">
        <f t="shared" si="106"/>
        <v>1499000</v>
      </c>
      <c r="K30" s="108">
        <f t="shared" si="105"/>
        <v>124916.66666666666</v>
      </c>
      <c r="L30" s="45">
        <f t="shared" ref="L30:M30" si="107">L12+L21</f>
        <v>3817.3</v>
      </c>
      <c r="M30" s="108">
        <f t="shared" si="107"/>
        <v>1294000</v>
      </c>
      <c r="N30" s="108">
        <f t="shared" si="75"/>
        <v>107834</v>
      </c>
      <c r="O30" s="45">
        <f t="shared" ref="O30:P30" si="108">O12+O21</f>
        <v>5252.8499999999995</v>
      </c>
      <c r="P30" s="108">
        <f t="shared" si="108"/>
        <v>1704000</v>
      </c>
      <c r="Q30" s="108">
        <f t="shared" ref="Q30" si="109">Q12+Q21</f>
        <v>142001</v>
      </c>
      <c r="R30" s="45">
        <f t="shared" ref="R30:S30" si="110">R12+R21</f>
        <v>118</v>
      </c>
      <c r="S30" s="108">
        <f t="shared" si="110"/>
        <v>40000</v>
      </c>
      <c r="T30" s="45">
        <f t="shared" ref="T30:AA30" si="111">T12+T21</f>
        <v>118</v>
      </c>
      <c r="U30" s="108">
        <f t="shared" si="111"/>
        <v>40000</v>
      </c>
      <c r="V30" s="45">
        <f t="shared" si="111"/>
        <v>118</v>
      </c>
      <c r="W30" s="108">
        <f t="shared" si="111"/>
        <v>40000</v>
      </c>
      <c r="X30" s="45">
        <f t="shared" si="111"/>
        <v>109.15</v>
      </c>
      <c r="Y30" s="108">
        <f t="shared" si="111"/>
        <v>37000</v>
      </c>
      <c r="Z30" s="45">
        <f t="shared" si="111"/>
        <v>118</v>
      </c>
      <c r="AA30" s="108">
        <f t="shared" si="111"/>
        <v>40000</v>
      </c>
      <c r="AB30" s="45">
        <f t="shared" ref="AB30:BM30" si="112">AB12+AB21</f>
        <v>204.60000000000002</v>
      </c>
      <c r="AC30" s="108">
        <f t="shared" si="112"/>
        <v>66000</v>
      </c>
      <c r="AD30" s="45">
        <f t="shared" si="112"/>
        <v>756.4</v>
      </c>
      <c r="AE30" s="108">
        <f t="shared" si="112"/>
        <v>244000</v>
      </c>
      <c r="AF30" s="45">
        <f t="shared" si="112"/>
        <v>976.49999999999989</v>
      </c>
      <c r="AG30" s="108">
        <f t="shared" si="112"/>
        <v>314999.99999999994</v>
      </c>
      <c r="AH30" s="45">
        <f t="shared" si="112"/>
        <v>840.1</v>
      </c>
      <c r="AI30" s="108">
        <f t="shared" si="112"/>
        <v>271000</v>
      </c>
      <c r="AJ30" s="45">
        <f t="shared" si="112"/>
        <v>1168.7</v>
      </c>
      <c r="AK30" s="108">
        <f t="shared" si="112"/>
        <v>377000</v>
      </c>
      <c r="AL30" s="45">
        <f t="shared" si="112"/>
        <v>474.3</v>
      </c>
      <c r="AM30" s="108">
        <f t="shared" si="112"/>
        <v>153000</v>
      </c>
      <c r="AN30" s="45">
        <f t="shared" si="112"/>
        <v>251.1</v>
      </c>
      <c r="AO30" s="108">
        <f t="shared" si="112"/>
        <v>81000</v>
      </c>
      <c r="AP30" s="45">
        <f t="shared" si="112"/>
        <v>118</v>
      </c>
      <c r="AQ30" s="108">
        <f t="shared" si="112"/>
        <v>40000</v>
      </c>
      <c r="AR30" s="45">
        <f t="shared" si="112"/>
        <v>118</v>
      </c>
      <c r="AS30" s="108">
        <f t="shared" si="112"/>
        <v>40000</v>
      </c>
      <c r="AT30" s="45">
        <f t="shared" si="112"/>
        <v>118</v>
      </c>
      <c r="AU30" s="108">
        <f t="shared" si="112"/>
        <v>40000</v>
      </c>
      <c r="AV30" s="45">
        <f t="shared" si="112"/>
        <v>109.15</v>
      </c>
      <c r="AW30" s="108">
        <f t="shared" si="112"/>
        <v>37000</v>
      </c>
      <c r="AX30" s="45">
        <f t="shared" si="112"/>
        <v>118</v>
      </c>
      <c r="AY30" s="108">
        <f t="shared" si="112"/>
        <v>40000</v>
      </c>
      <c r="AZ30" s="45">
        <f t="shared" si="112"/>
        <v>179.95</v>
      </c>
      <c r="BA30" s="108">
        <f t="shared" si="112"/>
        <v>61000</v>
      </c>
      <c r="BB30" s="45">
        <f t="shared" si="112"/>
        <v>784.7</v>
      </c>
      <c r="BC30" s="108">
        <f t="shared" si="112"/>
        <v>266000</v>
      </c>
      <c r="BD30" s="45">
        <f t="shared" si="112"/>
        <v>749.3</v>
      </c>
      <c r="BE30" s="108">
        <f t="shared" si="112"/>
        <v>253999.99999999994</v>
      </c>
      <c r="BF30" s="45">
        <f t="shared" si="112"/>
        <v>805.34999999999991</v>
      </c>
      <c r="BG30" s="108">
        <f t="shared" si="112"/>
        <v>272999.99999999994</v>
      </c>
      <c r="BH30" s="45">
        <f t="shared" si="112"/>
        <v>451.35</v>
      </c>
      <c r="BI30" s="108">
        <f t="shared" si="112"/>
        <v>153000</v>
      </c>
      <c r="BJ30" s="45">
        <f t="shared" si="112"/>
        <v>118</v>
      </c>
      <c r="BK30" s="108">
        <f t="shared" si="112"/>
        <v>40000</v>
      </c>
      <c r="BL30" s="45">
        <f t="shared" si="112"/>
        <v>147.5</v>
      </c>
      <c r="BM30" s="108">
        <f t="shared" si="112"/>
        <v>50000</v>
      </c>
    </row>
    <row r="31" spans="1:65" s="46" customFormat="1">
      <c r="A31" s="186">
        <v>26</v>
      </c>
      <c r="B31" s="47"/>
      <c r="C31" s="51" t="s">
        <v>212</v>
      </c>
      <c r="D31" s="58"/>
      <c r="E31" s="58"/>
      <c r="F31" s="58"/>
      <c r="G31" s="45">
        <f t="shared" ref="G31:K31" si="113">G13+G22</f>
        <v>38047.32</v>
      </c>
      <c r="H31" s="108">
        <f t="shared" si="113"/>
        <v>10817000</v>
      </c>
      <c r="I31" s="183">
        <f t="shared" ref="I31:J31" si="114">I13+I22</f>
        <v>19023.66</v>
      </c>
      <c r="J31" s="108">
        <f t="shared" si="114"/>
        <v>5408500</v>
      </c>
      <c r="K31" s="108">
        <f t="shared" si="113"/>
        <v>450708.33333333337</v>
      </c>
      <c r="L31" s="45">
        <f t="shared" ref="L31:M31" si="115">L13+L22</f>
        <v>15824.339999999998</v>
      </c>
      <c r="M31" s="108">
        <f t="shared" si="115"/>
        <v>4627000</v>
      </c>
      <c r="N31" s="108">
        <f t="shared" si="75"/>
        <v>385584</v>
      </c>
      <c r="O31" s="45">
        <f t="shared" ref="O31:P31" si="116">O13+O22</f>
        <v>22222.980000000003</v>
      </c>
      <c r="P31" s="108">
        <f t="shared" si="116"/>
        <v>6190000</v>
      </c>
      <c r="Q31" s="108">
        <f t="shared" ref="Q31" si="117">Q13+Q22</f>
        <v>515834</v>
      </c>
      <c r="R31" s="45">
        <f t="shared" ref="R31:S31" si="118">R13+R22</f>
        <v>198.36</v>
      </c>
      <c r="S31" s="108">
        <f t="shared" si="118"/>
        <v>58000.000000000007</v>
      </c>
      <c r="T31" s="45">
        <f t="shared" ref="T31:AA31" si="119">T13+T22</f>
        <v>198.36</v>
      </c>
      <c r="U31" s="108">
        <f t="shared" si="119"/>
        <v>58000.000000000007</v>
      </c>
      <c r="V31" s="45">
        <f t="shared" si="119"/>
        <v>198.36</v>
      </c>
      <c r="W31" s="108">
        <f t="shared" si="119"/>
        <v>58000.000000000007</v>
      </c>
      <c r="X31" s="45">
        <f t="shared" si="119"/>
        <v>191.51999999999998</v>
      </c>
      <c r="Y31" s="108">
        <f t="shared" si="119"/>
        <v>56000</v>
      </c>
      <c r="Z31" s="45">
        <f t="shared" si="119"/>
        <v>372.78</v>
      </c>
      <c r="AA31" s="108">
        <f t="shared" si="119"/>
        <v>109000</v>
      </c>
      <c r="AB31" s="45">
        <f t="shared" ref="AB31:BM31" si="120">AB13+AB22</f>
        <v>352.8</v>
      </c>
      <c r="AC31" s="108">
        <f t="shared" si="120"/>
        <v>98000</v>
      </c>
      <c r="AD31" s="45">
        <f t="shared" si="120"/>
        <v>2649.6000000000004</v>
      </c>
      <c r="AE31" s="108">
        <f t="shared" si="120"/>
        <v>736000.00000000012</v>
      </c>
      <c r="AF31" s="45">
        <f t="shared" si="120"/>
        <v>4525.2</v>
      </c>
      <c r="AG31" s="108">
        <f t="shared" si="120"/>
        <v>1257000</v>
      </c>
      <c r="AH31" s="45">
        <f t="shared" si="120"/>
        <v>3589.2000000000003</v>
      </c>
      <c r="AI31" s="108">
        <f t="shared" si="120"/>
        <v>997000.00000000012</v>
      </c>
      <c r="AJ31" s="45">
        <f t="shared" si="120"/>
        <v>5623.2000000000007</v>
      </c>
      <c r="AK31" s="108">
        <f t="shared" si="120"/>
        <v>1562000</v>
      </c>
      <c r="AL31" s="45">
        <f t="shared" si="120"/>
        <v>1555.2000000000003</v>
      </c>
      <c r="AM31" s="108">
        <f t="shared" si="120"/>
        <v>432000.00000000006</v>
      </c>
      <c r="AN31" s="45">
        <f t="shared" si="120"/>
        <v>2768.4000000000005</v>
      </c>
      <c r="AO31" s="108">
        <f t="shared" si="120"/>
        <v>769000.00000000012</v>
      </c>
      <c r="AP31" s="45">
        <f t="shared" si="120"/>
        <v>198.36</v>
      </c>
      <c r="AQ31" s="108">
        <f t="shared" si="120"/>
        <v>58000.000000000007</v>
      </c>
      <c r="AR31" s="45">
        <f t="shared" si="120"/>
        <v>198.36</v>
      </c>
      <c r="AS31" s="108">
        <f t="shared" si="120"/>
        <v>58000.000000000007</v>
      </c>
      <c r="AT31" s="45">
        <f t="shared" si="120"/>
        <v>198.36</v>
      </c>
      <c r="AU31" s="108">
        <f t="shared" si="120"/>
        <v>58000.000000000007</v>
      </c>
      <c r="AV31" s="45">
        <f t="shared" si="120"/>
        <v>191.51999999999998</v>
      </c>
      <c r="AW31" s="108">
        <f t="shared" si="120"/>
        <v>56000</v>
      </c>
      <c r="AX31" s="45">
        <f t="shared" si="120"/>
        <v>372.78</v>
      </c>
      <c r="AY31" s="108">
        <f t="shared" si="120"/>
        <v>109000</v>
      </c>
      <c r="AZ31" s="45">
        <f t="shared" si="120"/>
        <v>1354.32</v>
      </c>
      <c r="BA31" s="108">
        <f t="shared" si="120"/>
        <v>396000</v>
      </c>
      <c r="BB31" s="45">
        <f t="shared" si="120"/>
        <v>4045.8599999999997</v>
      </c>
      <c r="BC31" s="108">
        <f t="shared" si="120"/>
        <v>1183000</v>
      </c>
      <c r="BD31" s="45">
        <f t="shared" si="120"/>
        <v>3040.38</v>
      </c>
      <c r="BE31" s="108">
        <f t="shared" si="120"/>
        <v>889000</v>
      </c>
      <c r="BF31" s="45">
        <f t="shared" si="120"/>
        <v>3204.54</v>
      </c>
      <c r="BG31" s="108">
        <f t="shared" si="120"/>
        <v>937000</v>
      </c>
      <c r="BH31" s="45">
        <f t="shared" si="120"/>
        <v>1415.8799999999997</v>
      </c>
      <c r="BI31" s="108">
        <f t="shared" si="120"/>
        <v>413999.99999999994</v>
      </c>
      <c r="BJ31" s="45">
        <f t="shared" si="120"/>
        <v>335.16</v>
      </c>
      <c r="BK31" s="108">
        <f t="shared" si="120"/>
        <v>98000.000000000015</v>
      </c>
      <c r="BL31" s="45">
        <f t="shared" si="120"/>
        <v>1268.82</v>
      </c>
      <c r="BM31" s="108">
        <f t="shared" si="120"/>
        <v>371000</v>
      </c>
    </row>
    <row r="32" spans="1:65" s="105" customFormat="1">
      <c r="A32" s="186">
        <v>27</v>
      </c>
      <c r="B32" s="102"/>
      <c r="C32" s="66" t="s">
        <v>281</v>
      </c>
      <c r="D32" s="103"/>
      <c r="E32" s="103"/>
      <c r="F32" s="103"/>
      <c r="G32" s="106">
        <f t="shared" ref="G32:K32" si="121">SUM(G28:G31)</f>
        <v>72380.490000000005</v>
      </c>
      <c r="H32" s="109">
        <f t="shared" si="121"/>
        <v>24428000</v>
      </c>
      <c r="I32" s="106">
        <f t="shared" ref="I32:J32" si="122">SUM(I28:I31)</f>
        <v>36190.245000000003</v>
      </c>
      <c r="J32" s="109">
        <f t="shared" si="122"/>
        <v>12214000</v>
      </c>
      <c r="K32" s="109">
        <f t="shared" si="121"/>
        <v>1017833.3333333334</v>
      </c>
      <c r="L32" s="106">
        <f t="shared" ref="L32:N32" si="123">SUM(L28:L31)</f>
        <v>30639.479999999996</v>
      </c>
      <c r="M32" s="109">
        <f t="shared" si="123"/>
        <v>10673999.999999998</v>
      </c>
      <c r="N32" s="109">
        <f t="shared" si="123"/>
        <v>889503</v>
      </c>
      <c r="O32" s="106">
        <f t="shared" ref="O32:P32" si="124">SUM(O28:O31)</f>
        <v>41741.010000000009</v>
      </c>
      <c r="P32" s="109">
        <f t="shared" si="124"/>
        <v>13754000.000000002</v>
      </c>
      <c r="Q32" s="109">
        <f t="shared" ref="Q32" si="125">SUM(Q28:Q31)</f>
        <v>1146170</v>
      </c>
      <c r="R32" s="106">
        <f t="shared" ref="R32:S32" si="126">SUM(R28:R31)</f>
        <v>622.48</v>
      </c>
      <c r="S32" s="109">
        <f t="shared" si="126"/>
        <v>232000</v>
      </c>
      <c r="T32" s="106">
        <f t="shared" ref="T32:AA32" si="127">SUM(T28:T31)</f>
        <v>622.48</v>
      </c>
      <c r="U32" s="109">
        <f t="shared" si="127"/>
        <v>232000</v>
      </c>
      <c r="V32" s="106">
        <f t="shared" si="127"/>
        <v>622.48</v>
      </c>
      <c r="W32" s="109">
        <f t="shared" si="127"/>
        <v>232000</v>
      </c>
      <c r="X32" s="106">
        <f t="shared" si="127"/>
        <v>622.66999999999996</v>
      </c>
      <c r="Y32" s="109">
        <f t="shared" si="127"/>
        <v>233000</v>
      </c>
      <c r="Z32" s="106">
        <f t="shared" si="127"/>
        <v>863.97</v>
      </c>
      <c r="AA32" s="109">
        <f t="shared" si="127"/>
        <v>312000</v>
      </c>
      <c r="AB32" s="106">
        <f t="shared" ref="AB32:BM32" si="128">SUM(AB28:AB31)</f>
        <v>1634.47</v>
      </c>
      <c r="AC32" s="109">
        <f t="shared" si="128"/>
        <v>608000</v>
      </c>
      <c r="AD32" s="106">
        <f t="shared" si="128"/>
        <v>5410.8200000000015</v>
      </c>
      <c r="AE32" s="109">
        <f t="shared" si="128"/>
        <v>1796000.0000000005</v>
      </c>
      <c r="AF32" s="106">
        <f t="shared" si="128"/>
        <v>7863.09</v>
      </c>
      <c r="AG32" s="109">
        <f t="shared" si="128"/>
        <v>2530000</v>
      </c>
      <c r="AH32" s="106">
        <f t="shared" si="128"/>
        <v>6635.5900000000011</v>
      </c>
      <c r="AI32" s="109">
        <f t="shared" si="128"/>
        <v>2165000.0000000005</v>
      </c>
      <c r="AJ32" s="106">
        <f t="shared" si="128"/>
        <v>9415.880000000001</v>
      </c>
      <c r="AK32" s="109">
        <f t="shared" si="128"/>
        <v>3002000.0000000005</v>
      </c>
      <c r="AL32" s="106">
        <f t="shared" si="128"/>
        <v>3558.4700000000003</v>
      </c>
      <c r="AM32" s="109">
        <f t="shared" si="128"/>
        <v>1211000</v>
      </c>
      <c r="AN32" s="106">
        <f t="shared" si="128"/>
        <v>3868.6100000000006</v>
      </c>
      <c r="AO32" s="109">
        <f t="shared" si="128"/>
        <v>1201000.0000000002</v>
      </c>
      <c r="AP32" s="106">
        <f t="shared" si="128"/>
        <v>622.48</v>
      </c>
      <c r="AQ32" s="109">
        <f t="shared" si="128"/>
        <v>232000</v>
      </c>
      <c r="AR32" s="106">
        <f t="shared" si="128"/>
        <v>622.48</v>
      </c>
      <c r="AS32" s="109">
        <f t="shared" si="128"/>
        <v>232000</v>
      </c>
      <c r="AT32" s="106">
        <f t="shared" si="128"/>
        <v>622.48</v>
      </c>
      <c r="AU32" s="109">
        <f t="shared" si="128"/>
        <v>232000</v>
      </c>
      <c r="AV32" s="106">
        <f t="shared" si="128"/>
        <v>622.66999999999996</v>
      </c>
      <c r="AW32" s="109">
        <f t="shared" si="128"/>
        <v>233000</v>
      </c>
      <c r="AX32" s="106">
        <f t="shared" si="128"/>
        <v>863.97</v>
      </c>
      <c r="AY32" s="109">
        <f t="shared" si="128"/>
        <v>312000</v>
      </c>
      <c r="AZ32" s="106">
        <f t="shared" si="128"/>
        <v>2493.19</v>
      </c>
      <c r="BA32" s="109">
        <f t="shared" si="128"/>
        <v>876000.00000000012</v>
      </c>
      <c r="BB32" s="106">
        <f t="shared" si="128"/>
        <v>6974.0599999999986</v>
      </c>
      <c r="BC32" s="109">
        <f t="shared" si="128"/>
        <v>2368999.9999999995</v>
      </c>
      <c r="BD32" s="106">
        <f t="shared" si="128"/>
        <v>5835.0499999999993</v>
      </c>
      <c r="BE32" s="109">
        <f t="shared" si="128"/>
        <v>2021999.9999999995</v>
      </c>
      <c r="BF32" s="106">
        <f t="shared" si="128"/>
        <v>6171.1799999999985</v>
      </c>
      <c r="BG32" s="109">
        <f t="shared" si="128"/>
        <v>2137999.9999999995</v>
      </c>
      <c r="BH32" s="106">
        <f t="shared" si="128"/>
        <v>3180.5299999999997</v>
      </c>
      <c r="BI32" s="109">
        <f t="shared" si="128"/>
        <v>1137000</v>
      </c>
      <c r="BJ32" s="106">
        <f t="shared" si="128"/>
        <v>850.25</v>
      </c>
      <c r="BK32" s="109">
        <f t="shared" si="128"/>
        <v>311000</v>
      </c>
      <c r="BL32" s="106">
        <f t="shared" si="128"/>
        <v>1781.1399999999999</v>
      </c>
      <c r="BM32" s="109">
        <f t="shared" si="128"/>
        <v>580000</v>
      </c>
    </row>
    <row r="33" spans="1:65" s="105" customFormat="1" ht="13.5" thickBot="1">
      <c r="A33" s="186">
        <v>28</v>
      </c>
      <c r="B33" s="102"/>
      <c r="C33" s="66" t="s">
        <v>244</v>
      </c>
      <c r="D33" s="103"/>
      <c r="E33" s="103"/>
      <c r="F33" s="103"/>
      <c r="G33" s="100">
        <f t="shared" ref="G33:K33" si="129">G32+G27+G26</f>
        <v>170353.39000000007</v>
      </c>
      <c r="H33" s="107">
        <f t="shared" si="129"/>
        <v>39266600</v>
      </c>
      <c r="I33" s="100">
        <f t="shared" ref="I33:J33" si="130">I32+I27+I26</f>
        <v>85176.695000000036</v>
      </c>
      <c r="J33" s="107">
        <f t="shared" si="130"/>
        <v>19633300</v>
      </c>
      <c r="K33" s="107">
        <f t="shared" si="129"/>
        <v>1636108.3333333335</v>
      </c>
      <c r="L33" s="100">
        <f t="shared" ref="L33:N33" si="131">L32+L27+L26</f>
        <v>78888.480000000054</v>
      </c>
      <c r="M33" s="107">
        <f t="shared" si="131"/>
        <v>18050600</v>
      </c>
      <c r="N33" s="107">
        <f t="shared" si="131"/>
        <v>1504220</v>
      </c>
      <c r="O33" s="100">
        <f t="shared" ref="O33:P33" si="132">O32+O27+O26</f>
        <v>91464.910000000033</v>
      </c>
      <c r="P33" s="107">
        <f t="shared" si="132"/>
        <v>21216000</v>
      </c>
      <c r="Q33" s="107">
        <f t="shared" ref="Q33" si="133">Q32+Q27+Q26</f>
        <v>1768004</v>
      </c>
      <c r="R33" s="100">
        <f t="shared" ref="R33:S33" si="134">R32+R27+R26</f>
        <v>4643.2300000000032</v>
      </c>
      <c r="S33" s="107">
        <f t="shared" si="134"/>
        <v>756000</v>
      </c>
      <c r="T33" s="100">
        <f t="shared" ref="T33:AA33" si="135">T32+T27+T26</f>
        <v>4643.2300000000032</v>
      </c>
      <c r="U33" s="107">
        <f t="shared" si="135"/>
        <v>756000</v>
      </c>
      <c r="V33" s="100">
        <f t="shared" si="135"/>
        <v>4643.2300000000032</v>
      </c>
      <c r="W33" s="107">
        <f t="shared" si="135"/>
        <v>756000</v>
      </c>
      <c r="X33" s="100">
        <f t="shared" si="135"/>
        <v>4643.4200000000037</v>
      </c>
      <c r="Y33" s="107">
        <f t="shared" si="135"/>
        <v>735100</v>
      </c>
      <c r="Z33" s="100">
        <f t="shared" si="135"/>
        <v>4884.720000000003</v>
      </c>
      <c r="AA33" s="107">
        <f t="shared" si="135"/>
        <v>834700</v>
      </c>
      <c r="AB33" s="100">
        <f t="shared" ref="AB33:BM33" si="136">AB32+AB27+AB26</f>
        <v>5865.9200000000028</v>
      </c>
      <c r="AC33" s="107">
        <f t="shared" si="136"/>
        <v>1272000</v>
      </c>
      <c r="AD33" s="100">
        <f t="shared" si="136"/>
        <v>9642.2700000000041</v>
      </c>
      <c r="AE33" s="107">
        <f t="shared" si="136"/>
        <v>2492300</v>
      </c>
      <c r="AF33" s="100">
        <f t="shared" si="136"/>
        <v>12094.540000000003</v>
      </c>
      <c r="AG33" s="107">
        <f t="shared" si="136"/>
        <v>3267000</v>
      </c>
      <c r="AH33" s="100">
        <f t="shared" si="136"/>
        <v>10867.040000000005</v>
      </c>
      <c r="AI33" s="107">
        <f t="shared" si="136"/>
        <v>2875700</v>
      </c>
      <c r="AJ33" s="100">
        <f t="shared" si="136"/>
        <v>13647.330000000004</v>
      </c>
      <c r="AK33" s="107">
        <f t="shared" si="136"/>
        <v>3759500</v>
      </c>
      <c r="AL33" s="100">
        <f t="shared" si="136"/>
        <v>7789.9200000000037</v>
      </c>
      <c r="AM33" s="107">
        <f t="shared" si="136"/>
        <v>1876700</v>
      </c>
      <c r="AN33" s="100">
        <f t="shared" si="136"/>
        <v>8100.0600000000031</v>
      </c>
      <c r="AO33" s="107">
        <f t="shared" si="136"/>
        <v>1835000.0000000002</v>
      </c>
      <c r="AP33" s="100">
        <f t="shared" si="136"/>
        <v>4643.2300000000032</v>
      </c>
      <c r="AQ33" s="107">
        <f t="shared" si="136"/>
        <v>756000</v>
      </c>
      <c r="AR33" s="100">
        <f t="shared" si="136"/>
        <v>4643.2300000000032</v>
      </c>
      <c r="AS33" s="107">
        <f t="shared" si="136"/>
        <v>756000</v>
      </c>
      <c r="AT33" s="100">
        <f t="shared" si="136"/>
        <v>4643.2300000000032</v>
      </c>
      <c r="AU33" s="107">
        <f t="shared" si="136"/>
        <v>756000</v>
      </c>
      <c r="AV33" s="100">
        <f t="shared" si="136"/>
        <v>4643.4200000000037</v>
      </c>
      <c r="AW33" s="107">
        <f t="shared" si="136"/>
        <v>735100</v>
      </c>
      <c r="AX33" s="100">
        <f t="shared" si="136"/>
        <v>4884.720000000003</v>
      </c>
      <c r="AY33" s="107">
        <f t="shared" si="136"/>
        <v>834700</v>
      </c>
      <c r="AZ33" s="100">
        <f t="shared" si="136"/>
        <v>6513.9400000000023</v>
      </c>
      <c r="BA33" s="107">
        <f t="shared" si="136"/>
        <v>1545000</v>
      </c>
      <c r="BB33" s="100">
        <f t="shared" si="136"/>
        <v>10994.810000000001</v>
      </c>
      <c r="BC33" s="107">
        <f t="shared" si="136"/>
        <v>3135500</v>
      </c>
      <c r="BD33" s="100">
        <f t="shared" si="136"/>
        <v>9855.8000000000011</v>
      </c>
      <c r="BE33" s="107">
        <f t="shared" si="136"/>
        <v>2772900</v>
      </c>
      <c r="BF33" s="100">
        <f t="shared" si="136"/>
        <v>10191.930000000002</v>
      </c>
      <c r="BG33" s="107">
        <f t="shared" si="136"/>
        <v>2905100</v>
      </c>
      <c r="BH33" s="100">
        <f t="shared" si="136"/>
        <v>7201.2800000000025</v>
      </c>
      <c r="BI33" s="107">
        <f t="shared" si="136"/>
        <v>1864100</v>
      </c>
      <c r="BJ33" s="100">
        <f t="shared" si="136"/>
        <v>4871.0000000000036</v>
      </c>
      <c r="BK33" s="107">
        <f t="shared" si="136"/>
        <v>847500</v>
      </c>
      <c r="BL33" s="100">
        <f t="shared" si="136"/>
        <v>5801.8900000000031</v>
      </c>
      <c r="BM33" s="107">
        <f t="shared" si="136"/>
        <v>1142700</v>
      </c>
    </row>
    <row r="34" spans="1:65" s="46" customFormat="1" ht="13.5" thickTop="1">
      <c r="A34" s="186">
        <v>29</v>
      </c>
      <c r="B34" s="47"/>
      <c r="D34" s="58"/>
      <c r="E34" s="58"/>
      <c r="F34" s="58"/>
      <c r="G34" s="48"/>
      <c r="H34" s="48"/>
      <c r="I34" s="181"/>
      <c r="J34" s="48"/>
      <c r="K34" s="45"/>
      <c r="L34" s="48"/>
      <c r="M34" s="48"/>
      <c r="N34" s="45"/>
      <c r="O34" s="48"/>
      <c r="P34" s="48"/>
      <c r="Q34" s="45"/>
      <c r="S34" s="95"/>
      <c r="U34" s="95"/>
      <c r="W34" s="95"/>
      <c r="Y34" s="95"/>
      <c r="AA34" s="95"/>
      <c r="AC34" s="95"/>
    </row>
    <row r="35" spans="1:65" s="46" customFormat="1">
      <c r="A35" s="186">
        <v>30</v>
      </c>
      <c r="B35" s="47" t="s">
        <v>216</v>
      </c>
      <c r="D35" s="67"/>
      <c r="E35" s="67"/>
      <c r="F35" s="67"/>
      <c r="G35" s="68"/>
      <c r="H35" s="68"/>
      <c r="I35" s="182"/>
      <c r="J35" s="68"/>
      <c r="K35" s="69"/>
      <c r="L35" s="68"/>
      <c r="M35" s="68"/>
      <c r="N35" s="69"/>
      <c r="O35" s="68"/>
      <c r="P35" s="68"/>
      <c r="Q35" s="69"/>
      <c r="R35" s="70"/>
      <c r="S35" s="98"/>
      <c r="T35" s="70"/>
      <c r="U35" s="98"/>
      <c r="V35" s="70"/>
      <c r="W35" s="98"/>
      <c r="X35" s="70"/>
      <c r="Y35" s="98"/>
      <c r="Z35" s="70"/>
      <c r="AA35" s="98"/>
      <c r="AB35" s="70"/>
      <c r="AC35" s="98"/>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row>
    <row r="36" spans="1:65" s="46" customFormat="1">
      <c r="A36" s="186">
        <v>31</v>
      </c>
      <c r="B36" s="47"/>
      <c r="C36" s="46" t="s">
        <v>6</v>
      </c>
      <c r="D36" s="111">
        <v>1</v>
      </c>
      <c r="E36" s="111">
        <v>1</v>
      </c>
      <c r="F36" s="93"/>
      <c r="G36" s="48"/>
      <c r="H36" s="48"/>
      <c r="I36" s="181"/>
      <c r="J36" s="48"/>
      <c r="K36" s="45"/>
      <c r="L36" s="48"/>
      <c r="M36" s="48"/>
      <c r="N36" s="45"/>
      <c r="O36" s="48"/>
      <c r="P36" s="48"/>
      <c r="Q36" s="45"/>
      <c r="S36" s="95"/>
      <c r="U36" s="95"/>
      <c r="W36" s="95"/>
      <c r="Y36" s="95"/>
      <c r="AA36" s="95"/>
      <c r="AC36" s="95"/>
    </row>
    <row r="37" spans="1:65" s="46" customFormat="1">
      <c r="A37" s="186">
        <v>32</v>
      </c>
      <c r="B37" s="47"/>
      <c r="C37" s="46" t="s">
        <v>286</v>
      </c>
      <c r="D37" s="93"/>
      <c r="E37" s="93"/>
      <c r="F37" s="93"/>
      <c r="G37" s="48"/>
      <c r="H37" s="48"/>
      <c r="I37" s="181"/>
      <c r="J37" s="48"/>
      <c r="K37" s="45"/>
      <c r="L37" s="48"/>
      <c r="M37" s="48"/>
      <c r="N37" s="45"/>
      <c r="O37" s="48"/>
      <c r="P37" s="48"/>
      <c r="Q37" s="45"/>
      <c r="S37" s="95"/>
      <c r="U37" s="95"/>
      <c r="W37" s="95"/>
      <c r="Y37" s="95"/>
      <c r="AA37" s="95"/>
      <c r="AC37" s="95"/>
    </row>
    <row r="38" spans="1:65" s="46" customFormat="1">
      <c r="A38" s="186">
        <v>33</v>
      </c>
      <c r="B38" s="47"/>
      <c r="C38" s="51" t="s">
        <v>291</v>
      </c>
      <c r="D38" s="93"/>
      <c r="E38" s="93"/>
      <c r="F38" s="93"/>
      <c r="G38" s="196">
        <f>L38+O38</f>
        <v>4440</v>
      </c>
      <c r="H38" s="197">
        <f>M38+P38</f>
        <v>840000</v>
      </c>
      <c r="I38" s="198">
        <f t="shared" ref="I38:J39" si="137">G38/2</f>
        <v>2220</v>
      </c>
      <c r="J38" s="197">
        <f t="shared" si="137"/>
        <v>420000</v>
      </c>
      <c r="K38" s="199">
        <f>((H38/24))</f>
        <v>35000</v>
      </c>
      <c r="L38" s="196">
        <f>185*12</f>
        <v>2220</v>
      </c>
      <c r="M38" s="197">
        <f>35000*12</f>
        <v>420000</v>
      </c>
      <c r="N38" s="199">
        <f t="shared" ref="N38:N39" si="138">ROUNDUP((M38/12),0)</f>
        <v>35000</v>
      </c>
      <c r="O38" s="196">
        <f>185*12</f>
        <v>2220</v>
      </c>
      <c r="P38" s="197">
        <f>35000*12</f>
        <v>420000</v>
      </c>
      <c r="Q38" s="199">
        <f>ROUNDUP((P38/12),0)</f>
        <v>35000</v>
      </c>
      <c r="R38" s="45">
        <f t="shared" ref="R38:R39" si="139">AP38</f>
        <v>176</v>
      </c>
      <c r="S38" s="108">
        <f t="shared" ref="S38:S39" si="140">AQ38</f>
        <v>100000</v>
      </c>
      <c r="T38" s="45">
        <f t="shared" ref="T38:T39" si="141">AR38</f>
        <v>176</v>
      </c>
      <c r="U38" s="108">
        <f t="shared" ref="U38:U39" si="142">AS38</f>
        <v>100000</v>
      </c>
      <c r="V38" s="45">
        <f t="shared" ref="V38:V39" si="143">AT38</f>
        <v>176</v>
      </c>
      <c r="W38" s="108">
        <f t="shared" ref="W38:W39" si="144">AU38</f>
        <v>100000</v>
      </c>
      <c r="X38" s="45">
        <f t="shared" ref="X38:X39" si="145">AV38</f>
        <v>176</v>
      </c>
      <c r="Y38" s="108">
        <f t="shared" ref="Y38:Y39" si="146">AW38</f>
        <v>100000</v>
      </c>
      <c r="Z38" s="45">
        <f t="shared" ref="Z38:Z39" si="147">AX38</f>
        <v>176</v>
      </c>
      <c r="AA38" s="108">
        <f t="shared" ref="AA38:AA39" si="148">AY38</f>
        <v>85000</v>
      </c>
      <c r="AB38" s="45">
        <f>'Oct12'!$G$147</f>
        <v>185</v>
      </c>
      <c r="AC38" s="108">
        <f>'Oct12'!$G$154</f>
        <v>38000</v>
      </c>
      <c r="AD38" s="45">
        <f>'Sep12'!$G$147</f>
        <v>185</v>
      </c>
      <c r="AE38" s="108">
        <f>'Sep12'!$G$152</f>
        <v>100000</v>
      </c>
      <c r="AF38" s="45">
        <f>'Aug12'!$G$147</f>
        <v>185</v>
      </c>
      <c r="AG38" s="108">
        <f>'Aug12'!$G$154</f>
        <v>100000</v>
      </c>
      <c r="AH38" s="45">
        <f>'Jul12'!$G$147</f>
        <v>185</v>
      </c>
      <c r="AI38" s="108">
        <f>'Jul12'!$G$152</f>
        <v>97000</v>
      </c>
      <c r="AJ38" s="45">
        <f>'Jun12'!$G$147</f>
        <v>185</v>
      </c>
      <c r="AK38" s="108">
        <f>'Jun12'!$G$152</f>
        <v>100000</v>
      </c>
      <c r="AL38" s="45">
        <f>'May12'!$G$147</f>
        <v>185</v>
      </c>
      <c r="AM38" s="108">
        <f>'May12'!$G$152</f>
        <v>100000</v>
      </c>
      <c r="AN38" s="45">
        <f>'Apr12'!$G$147</f>
        <v>185</v>
      </c>
      <c r="AO38" s="108">
        <f>'Apr12'!$G$152</f>
        <v>100000</v>
      </c>
      <c r="AP38" s="45">
        <f>Mar12recalc!$G$147</f>
        <v>176</v>
      </c>
      <c r="AQ38" s="108">
        <f>Mar12recalc!$G$152</f>
        <v>100000</v>
      </c>
      <c r="AR38" s="45">
        <f>Feb12recalc!$G$147</f>
        <v>176</v>
      </c>
      <c r="AS38" s="108">
        <f>Feb12recalc!$G$152</f>
        <v>100000</v>
      </c>
      <c r="AT38" s="45">
        <f>Jan12recalc!$G$147</f>
        <v>176</v>
      </c>
      <c r="AU38" s="108">
        <f>Jan12recalc!$G$152</f>
        <v>100000</v>
      </c>
      <c r="AV38" s="45">
        <f>'Dec11'!$G$147</f>
        <v>176</v>
      </c>
      <c r="AW38" s="108">
        <f>'Dec11'!$G$152</f>
        <v>100000</v>
      </c>
      <c r="AX38" s="45">
        <f>'Nov11'!$G$147</f>
        <v>176</v>
      </c>
      <c r="AY38" s="108">
        <f>'Nov11'!$G$152</f>
        <v>85000</v>
      </c>
      <c r="AZ38" s="45">
        <f>'Oct11'!$G$147</f>
        <v>176</v>
      </c>
      <c r="BA38" s="108">
        <f>'Oct11'!$G$154</f>
        <v>100000</v>
      </c>
      <c r="BB38" s="45">
        <f>'Sep11'!$G$147</f>
        <v>176</v>
      </c>
      <c r="BC38" s="108">
        <f>'Sep11'!$G$154</f>
        <v>100000</v>
      </c>
      <c r="BD38" s="45">
        <f>'Aug11'!$G$147</f>
        <v>176</v>
      </c>
      <c r="BE38" s="108">
        <f>'Aug11'!$G$154</f>
        <v>100000</v>
      </c>
      <c r="BF38" s="45">
        <f>'Jul11'!$G$147</f>
        <v>176</v>
      </c>
      <c r="BG38" s="108">
        <f>'Jul11'!$G$152</f>
        <v>100000</v>
      </c>
      <c r="BH38" s="45">
        <f>'Jun11'!$G$138</f>
        <v>176</v>
      </c>
      <c r="BI38" s="108">
        <f>'Jun11'!$G$143</f>
        <v>100000</v>
      </c>
      <c r="BJ38" s="45">
        <f>'May11'!$G$138</f>
        <v>176</v>
      </c>
      <c r="BK38" s="108">
        <f>'May11'!$G$143</f>
        <v>100000</v>
      </c>
      <c r="BL38" s="45">
        <f>'Apr11'!$F$138</f>
        <v>176</v>
      </c>
      <c r="BM38" s="108">
        <f>'Apr11'!$F$143</f>
        <v>100000</v>
      </c>
    </row>
    <row r="39" spans="1:65" s="46" customFormat="1">
      <c r="A39" s="186">
        <v>34</v>
      </c>
      <c r="B39" s="47"/>
      <c r="C39" s="50" t="s">
        <v>272</v>
      </c>
      <c r="D39" s="58"/>
      <c r="E39" s="58"/>
      <c r="F39" s="58"/>
      <c r="G39" s="196">
        <f>L39+O39</f>
        <v>0</v>
      </c>
      <c r="H39" s="197">
        <f>M39+P39</f>
        <v>0</v>
      </c>
      <c r="I39" s="198">
        <f t="shared" si="137"/>
        <v>0</v>
      </c>
      <c r="J39" s="197">
        <f t="shared" si="137"/>
        <v>0</v>
      </c>
      <c r="K39" s="199">
        <f>((H39/24))</f>
        <v>0</v>
      </c>
      <c r="L39" s="196">
        <v>0</v>
      </c>
      <c r="M39" s="197">
        <v>0</v>
      </c>
      <c r="N39" s="199">
        <f t="shared" si="138"/>
        <v>0</v>
      </c>
      <c r="O39" s="196">
        <v>0</v>
      </c>
      <c r="P39" s="197">
        <v>0</v>
      </c>
      <c r="Q39" s="199">
        <f t="shared" ref="Q39" si="149">ROUNDUP((P39/12),0)</f>
        <v>0</v>
      </c>
      <c r="R39" s="45">
        <f t="shared" si="139"/>
        <v>153.09</v>
      </c>
      <c r="S39" s="108">
        <f t="shared" si="140"/>
        <v>81000</v>
      </c>
      <c r="T39" s="45">
        <f t="shared" si="141"/>
        <v>153.09</v>
      </c>
      <c r="U39" s="108">
        <f t="shared" si="142"/>
        <v>81000</v>
      </c>
      <c r="V39" s="45">
        <f t="shared" si="143"/>
        <v>153.09</v>
      </c>
      <c r="W39" s="108">
        <f t="shared" si="144"/>
        <v>81000</v>
      </c>
      <c r="X39" s="45">
        <f t="shared" si="145"/>
        <v>173.88</v>
      </c>
      <c r="Y39" s="108">
        <f t="shared" si="146"/>
        <v>92000</v>
      </c>
      <c r="Z39" s="45">
        <f t="shared" si="147"/>
        <v>0</v>
      </c>
      <c r="AA39" s="108">
        <f t="shared" si="148"/>
        <v>0</v>
      </c>
      <c r="AB39" s="45">
        <f>'Oct12'!$H$147</f>
        <v>0</v>
      </c>
      <c r="AC39" s="108">
        <f>'Oct12'!$H$154</f>
        <v>0</v>
      </c>
      <c r="AD39" s="45">
        <f>'Sep12'!$H$147</f>
        <v>15.92</v>
      </c>
      <c r="AE39" s="108">
        <f>'Sep12'!$H$152</f>
        <v>8000</v>
      </c>
      <c r="AF39" s="45">
        <f>'Aug12'!$H$147</f>
        <v>0</v>
      </c>
      <c r="AG39" s="108">
        <f>'Aug12'!$H$154</f>
        <v>0</v>
      </c>
      <c r="AH39" s="45">
        <f>'Jul12'!$H$147</f>
        <v>0</v>
      </c>
      <c r="AI39" s="108">
        <f>'Jul12'!$H$152</f>
        <v>0</v>
      </c>
      <c r="AJ39" s="45">
        <f>'Jun12'!$H$147</f>
        <v>280.58999999999997</v>
      </c>
      <c r="AK39" s="108">
        <f>'Jun12'!$H$152</f>
        <v>141000</v>
      </c>
      <c r="AL39" s="45">
        <f>'May12'!$H$147</f>
        <v>179.1</v>
      </c>
      <c r="AM39" s="108">
        <f>'May12'!$H$152</f>
        <v>90000</v>
      </c>
      <c r="AN39" s="45">
        <f>'Apr12'!$H$147</f>
        <v>202.98</v>
      </c>
      <c r="AO39" s="108">
        <f>'Apr12'!$H$152</f>
        <v>102000</v>
      </c>
      <c r="AP39" s="45">
        <f>Mar12recalc!$H$147</f>
        <v>153.09</v>
      </c>
      <c r="AQ39" s="108">
        <f>Mar12recalc!$H$152</f>
        <v>81000</v>
      </c>
      <c r="AR39" s="45">
        <f>Feb12recalc!$H$147</f>
        <v>153.09</v>
      </c>
      <c r="AS39" s="108">
        <f>Feb12recalc!$H$152</f>
        <v>81000</v>
      </c>
      <c r="AT39" s="45">
        <f>Jan12recalc!$H$147</f>
        <v>153.09</v>
      </c>
      <c r="AU39" s="108">
        <f>Jan12recalc!$H$152</f>
        <v>81000</v>
      </c>
      <c r="AV39" s="45">
        <f>'Dec11'!$H$147</f>
        <v>173.88</v>
      </c>
      <c r="AW39" s="108">
        <f>'Dec11'!$H$152</f>
        <v>92000</v>
      </c>
      <c r="AX39" s="45">
        <f>'Nov11'!$H$147</f>
        <v>0</v>
      </c>
      <c r="AY39" s="108">
        <f>'Nov11'!$H$152</f>
        <v>0</v>
      </c>
      <c r="AZ39" s="45">
        <f>'Oct11'!$H$147</f>
        <v>43.47</v>
      </c>
      <c r="BA39" s="108">
        <f>'Oct11'!$H$154</f>
        <v>23000</v>
      </c>
      <c r="BB39" s="45">
        <f>'Sep11'!$H$147</f>
        <v>349.65</v>
      </c>
      <c r="BC39" s="108">
        <f>'Sep11'!$H$154</f>
        <v>185000</v>
      </c>
      <c r="BD39" s="45">
        <f>'Aug11'!$H$147</f>
        <v>143.63999999999999</v>
      </c>
      <c r="BE39" s="108">
        <f>'Aug11'!$H$154</f>
        <v>76000</v>
      </c>
      <c r="BF39" s="45">
        <f>'Jul11'!$H$147</f>
        <v>160.65</v>
      </c>
      <c r="BG39" s="108">
        <f>'Jul11'!$H$152</f>
        <v>85000.000000000015</v>
      </c>
      <c r="BH39" s="45">
        <f>'Jun11'!$H$138</f>
        <v>158.76</v>
      </c>
      <c r="BI39" s="108">
        <f>'Jun11'!$H$143</f>
        <v>84000</v>
      </c>
      <c r="BJ39" s="45">
        <f>'May11'!$H$138</f>
        <v>68.039999999999992</v>
      </c>
      <c r="BK39" s="108">
        <f>'May11'!$H$143</f>
        <v>36000</v>
      </c>
      <c r="BL39" s="45">
        <f>'Apr11'!$G$138</f>
        <v>257.03999999999996</v>
      </c>
      <c r="BM39" s="108">
        <f>'Apr11'!$G$143</f>
        <v>136000</v>
      </c>
    </row>
    <row r="40" spans="1:65" s="46" customFormat="1">
      <c r="A40" s="186">
        <v>35</v>
      </c>
      <c r="B40" s="47"/>
      <c r="C40" s="66" t="s">
        <v>290</v>
      </c>
      <c r="D40" s="58"/>
      <c r="E40" s="58"/>
      <c r="F40" s="58"/>
      <c r="G40" s="101">
        <f t="shared" ref="G40:K40" si="150">SUM(G39:G39)</f>
        <v>0</v>
      </c>
      <c r="H40" s="109">
        <f t="shared" si="150"/>
        <v>0</v>
      </c>
      <c r="I40" s="106">
        <f t="shared" ref="I40:J40" si="151">SUM(I39:I39)</f>
        <v>0</v>
      </c>
      <c r="J40" s="109">
        <f t="shared" si="151"/>
        <v>0</v>
      </c>
      <c r="K40" s="109">
        <f t="shared" si="150"/>
        <v>0</v>
      </c>
      <c r="L40" s="101">
        <f t="shared" ref="L40:M40" si="152">SUM(L39:L39)</f>
        <v>0</v>
      </c>
      <c r="M40" s="109">
        <f t="shared" si="152"/>
        <v>0</v>
      </c>
      <c r="N40" s="109">
        <f t="shared" ref="N40" si="153">SUM(N39:N39)</f>
        <v>0</v>
      </c>
      <c r="O40" s="101">
        <f t="shared" ref="O40:P40" si="154">SUM(O39:O39)</f>
        <v>0</v>
      </c>
      <c r="P40" s="109">
        <f t="shared" si="154"/>
        <v>0</v>
      </c>
      <c r="Q40" s="109">
        <f t="shared" ref="Q40" si="155">SUM(Q39:Q39)</f>
        <v>0</v>
      </c>
      <c r="R40" s="101">
        <f t="shared" ref="R40:S40" si="156">SUM(R39:R39)</f>
        <v>153.09</v>
      </c>
      <c r="S40" s="109">
        <f t="shared" si="156"/>
        <v>81000</v>
      </c>
      <c r="T40" s="101">
        <f t="shared" ref="T40:AA40" si="157">SUM(T39:T39)</f>
        <v>153.09</v>
      </c>
      <c r="U40" s="109">
        <f t="shared" si="157"/>
        <v>81000</v>
      </c>
      <c r="V40" s="101">
        <f t="shared" si="157"/>
        <v>153.09</v>
      </c>
      <c r="W40" s="109">
        <f t="shared" si="157"/>
        <v>81000</v>
      </c>
      <c r="X40" s="101">
        <f t="shared" si="157"/>
        <v>173.88</v>
      </c>
      <c r="Y40" s="109">
        <f t="shared" si="157"/>
        <v>92000</v>
      </c>
      <c r="Z40" s="101">
        <f t="shared" si="157"/>
        <v>0</v>
      </c>
      <c r="AA40" s="109">
        <f t="shared" si="157"/>
        <v>0</v>
      </c>
      <c r="AB40" s="101">
        <f t="shared" ref="AB40:BM40" si="158">SUM(AB39:AB39)</f>
        <v>0</v>
      </c>
      <c r="AC40" s="109">
        <f t="shared" si="158"/>
        <v>0</v>
      </c>
      <c r="AD40" s="101">
        <f t="shared" si="158"/>
        <v>15.92</v>
      </c>
      <c r="AE40" s="109">
        <f t="shared" si="158"/>
        <v>8000</v>
      </c>
      <c r="AF40" s="101">
        <f t="shared" si="158"/>
        <v>0</v>
      </c>
      <c r="AG40" s="109">
        <f t="shared" si="158"/>
        <v>0</v>
      </c>
      <c r="AH40" s="101">
        <f t="shared" si="158"/>
        <v>0</v>
      </c>
      <c r="AI40" s="109">
        <f t="shared" si="158"/>
        <v>0</v>
      </c>
      <c r="AJ40" s="101">
        <f t="shared" si="158"/>
        <v>280.58999999999997</v>
      </c>
      <c r="AK40" s="109">
        <f t="shared" si="158"/>
        <v>141000</v>
      </c>
      <c r="AL40" s="101">
        <f t="shared" si="158"/>
        <v>179.1</v>
      </c>
      <c r="AM40" s="109">
        <f t="shared" si="158"/>
        <v>90000</v>
      </c>
      <c r="AN40" s="101">
        <f t="shared" si="158"/>
        <v>202.98</v>
      </c>
      <c r="AO40" s="109">
        <f t="shared" si="158"/>
        <v>102000</v>
      </c>
      <c r="AP40" s="101">
        <f t="shared" si="158"/>
        <v>153.09</v>
      </c>
      <c r="AQ40" s="109">
        <f t="shared" si="158"/>
        <v>81000</v>
      </c>
      <c r="AR40" s="101">
        <f t="shared" si="158"/>
        <v>153.09</v>
      </c>
      <c r="AS40" s="109">
        <f t="shared" si="158"/>
        <v>81000</v>
      </c>
      <c r="AT40" s="101">
        <f t="shared" si="158"/>
        <v>153.09</v>
      </c>
      <c r="AU40" s="109">
        <f t="shared" si="158"/>
        <v>81000</v>
      </c>
      <c r="AV40" s="101">
        <f t="shared" si="158"/>
        <v>173.88</v>
      </c>
      <c r="AW40" s="109">
        <f t="shared" si="158"/>
        <v>92000</v>
      </c>
      <c r="AX40" s="101">
        <f t="shared" si="158"/>
        <v>0</v>
      </c>
      <c r="AY40" s="109">
        <f t="shared" si="158"/>
        <v>0</v>
      </c>
      <c r="AZ40" s="101">
        <f t="shared" si="158"/>
        <v>43.47</v>
      </c>
      <c r="BA40" s="109">
        <f t="shared" si="158"/>
        <v>23000</v>
      </c>
      <c r="BB40" s="101">
        <f t="shared" si="158"/>
        <v>349.65</v>
      </c>
      <c r="BC40" s="109">
        <f t="shared" si="158"/>
        <v>185000</v>
      </c>
      <c r="BD40" s="101">
        <f t="shared" si="158"/>
        <v>143.63999999999999</v>
      </c>
      <c r="BE40" s="109">
        <f t="shared" si="158"/>
        <v>76000</v>
      </c>
      <c r="BF40" s="101">
        <f t="shared" si="158"/>
        <v>160.65</v>
      </c>
      <c r="BG40" s="109">
        <f t="shared" si="158"/>
        <v>85000.000000000015</v>
      </c>
      <c r="BH40" s="101">
        <f t="shared" si="158"/>
        <v>158.76</v>
      </c>
      <c r="BI40" s="109">
        <f t="shared" si="158"/>
        <v>84000</v>
      </c>
      <c r="BJ40" s="101">
        <f t="shared" si="158"/>
        <v>68.039999999999992</v>
      </c>
      <c r="BK40" s="109">
        <f t="shared" si="158"/>
        <v>36000</v>
      </c>
      <c r="BL40" s="101">
        <f t="shared" si="158"/>
        <v>257.03999999999996</v>
      </c>
      <c r="BM40" s="109">
        <f t="shared" si="158"/>
        <v>136000</v>
      </c>
    </row>
    <row r="41" spans="1:65" s="46" customFormat="1" ht="13.5" thickBot="1">
      <c r="A41" s="186">
        <v>36</v>
      </c>
      <c r="B41" s="47"/>
      <c r="C41" s="66" t="s">
        <v>245</v>
      </c>
      <c r="D41" s="58"/>
      <c r="E41" s="58"/>
      <c r="F41" s="58"/>
      <c r="G41" s="72">
        <f t="shared" ref="G41:K41" si="159">G40+G38</f>
        <v>4440</v>
      </c>
      <c r="H41" s="107">
        <f t="shared" si="159"/>
        <v>840000</v>
      </c>
      <c r="I41" s="100">
        <f t="shared" ref="I41:J41" si="160">I40+I38</f>
        <v>2220</v>
      </c>
      <c r="J41" s="107">
        <f t="shared" si="160"/>
        <v>420000</v>
      </c>
      <c r="K41" s="107">
        <f t="shared" si="159"/>
        <v>35000</v>
      </c>
      <c r="L41" s="72">
        <f t="shared" ref="L41:M41" si="161">L40+L38</f>
        <v>2220</v>
      </c>
      <c r="M41" s="107">
        <f t="shared" si="161"/>
        <v>420000</v>
      </c>
      <c r="N41" s="107">
        <f t="shared" ref="N41" si="162">N40+N38</f>
        <v>35000</v>
      </c>
      <c r="O41" s="72">
        <f t="shared" ref="O41:P41" si="163">O40+O38</f>
        <v>2220</v>
      </c>
      <c r="P41" s="107">
        <f t="shared" si="163"/>
        <v>420000</v>
      </c>
      <c r="Q41" s="107">
        <f t="shared" ref="Q41" si="164">Q40+Q38</f>
        <v>35000</v>
      </c>
      <c r="R41" s="72">
        <f t="shared" ref="R41:S41" si="165">R40+R38</f>
        <v>329.09000000000003</v>
      </c>
      <c r="S41" s="107">
        <f t="shared" si="165"/>
        <v>181000</v>
      </c>
      <c r="T41" s="72">
        <f t="shared" ref="T41:AA41" si="166">T40+T38</f>
        <v>329.09000000000003</v>
      </c>
      <c r="U41" s="107">
        <f t="shared" si="166"/>
        <v>181000</v>
      </c>
      <c r="V41" s="72">
        <f t="shared" si="166"/>
        <v>329.09000000000003</v>
      </c>
      <c r="W41" s="107">
        <f t="shared" si="166"/>
        <v>181000</v>
      </c>
      <c r="X41" s="72">
        <f t="shared" si="166"/>
        <v>349.88</v>
      </c>
      <c r="Y41" s="107">
        <f t="shared" si="166"/>
        <v>192000</v>
      </c>
      <c r="Z41" s="72">
        <f t="shared" si="166"/>
        <v>176</v>
      </c>
      <c r="AA41" s="107">
        <f t="shared" si="166"/>
        <v>85000</v>
      </c>
      <c r="AB41" s="72">
        <f t="shared" ref="AB41:BM41" si="167">AB40+AB38</f>
        <v>185</v>
      </c>
      <c r="AC41" s="107">
        <f t="shared" si="167"/>
        <v>38000</v>
      </c>
      <c r="AD41" s="72">
        <f t="shared" si="167"/>
        <v>200.92</v>
      </c>
      <c r="AE41" s="107">
        <f t="shared" si="167"/>
        <v>108000</v>
      </c>
      <c r="AF41" s="72">
        <f t="shared" si="167"/>
        <v>185</v>
      </c>
      <c r="AG41" s="107">
        <f t="shared" si="167"/>
        <v>100000</v>
      </c>
      <c r="AH41" s="72">
        <f t="shared" si="167"/>
        <v>185</v>
      </c>
      <c r="AI41" s="107">
        <f t="shared" si="167"/>
        <v>97000</v>
      </c>
      <c r="AJ41" s="72">
        <f t="shared" si="167"/>
        <v>465.59</v>
      </c>
      <c r="AK41" s="107">
        <f t="shared" si="167"/>
        <v>241000</v>
      </c>
      <c r="AL41" s="72">
        <f t="shared" si="167"/>
        <v>364.1</v>
      </c>
      <c r="AM41" s="107">
        <f t="shared" si="167"/>
        <v>190000</v>
      </c>
      <c r="AN41" s="72">
        <f t="shared" si="167"/>
        <v>387.98</v>
      </c>
      <c r="AO41" s="107">
        <f t="shared" si="167"/>
        <v>202000</v>
      </c>
      <c r="AP41" s="72">
        <f t="shared" si="167"/>
        <v>329.09000000000003</v>
      </c>
      <c r="AQ41" s="107">
        <f t="shared" si="167"/>
        <v>181000</v>
      </c>
      <c r="AR41" s="72">
        <f t="shared" si="167"/>
        <v>329.09000000000003</v>
      </c>
      <c r="AS41" s="107">
        <f t="shared" si="167"/>
        <v>181000</v>
      </c>
      <c r="AT41" s="72">
        <f t="shared" si="167"/>
        <v>329.09000000000003</v>
      </c>
      <c r="AU41" s="107">
        <f t="shared" si="167"/>
        <v>181000</v>
      </c>
      <c r="AV41" s="72">
        <f t="shared" si="167"/>
        <v>349.88</v>
      </c>
      <c r="AW41" s="107">
        <f t="shared" si="167"/>
        <v>192000</v>
      </c>
      <c r="AX41" s="72">
        <f t="shared" si="167"/>
        <v>176</v>
      </c>
      <c r="AY41" s="107">
        <f t="shared" si="167"/>
        <v>85000</v>
      </c>
      <c r="AZ41" s="72">
        <f t="shared" si="167"/>
        <v>219.47</v>
      </c>
      <c r="BA41" s="107">
        <f t="shared" si="167"/>
        <v>123000</v>
      </c>
      <c r="BB41" s="72">
        <f t="shared" si="167"/>
        <v>525.65</v>
      </c>
      <c r="BC41" s="107">
        <f t="shared" si="167"/>
        <v>285000</v>
      </c>
      <c r="BD41" s="72">
        <f t="shared" si="167"/>
        <v>319.64</v>
      </c>
      <c r="BE41" s="107">
        <f t="shared" si="167"/>
        <v>176000</v>
      </c>
      <c r="BF41" s="72">
        <f t="shared" si="167"/>
        <v>336.65</v>
      </c>
      <c r="BG41" s="107">
        <f t="shared" si="167"/>
        <v>185000</v>
      </c>
      <c r="BH41" s="72">
        <f t="shared" si="167"/>
        <v>334.76</v>
      </c>
      <c r="BI41" s="107">
        <f t="shared" si="167"/>
        <v>184000</v>
      </c>
      <c r="BJ41" s="72">
        <f t="shared" si="167"/>
        <v>244.04</v>
      </c>
      <c r="BK41" s="107">
        <f t="shared" si="167"/>
        <v>136000</v>
      </c>
      <c r="BL41" s="72">
        <f t="shared" si="167"/>
        <v>433.03999999999996</v>
      </c>
      <c r="BM41" s="107">
        <f t="shared" si="167"/>
        <v>236000</v>
      </c>
    </row>
    <row r="42" spans="1:65" s="46" customFormat="1" ht="13.5" thickTop="1">
      <c r="A42" s="186">
        <v>37</v>
      </c>
      <c r="B42" s="47"/>
      <c r="C42" s="65"/>
      <c r="D42" s="58"/>
      <c r="E42" s="58"/>
      <c r="F42" s="58"/>
      <c r="G42" s="58"/>
      <c r="H42" s="58"/>
      <c r="I42" s="184"/>
      <c r="J42" s="58"/>
      <c r="K42" s="58"/>
      <c r="L42" s="58"/>
      <c r="M42" s="58"/>
      <c r="N42" s="58"/>
      <c r="O42" s="58"/>
      <c r="P42" s="58"/>
      <c r="Q42" s="58"/>
      <c r="S42" s="95"/>
      <c r="U42" s="95"/>
      <c r="W42" s="95"/>
      <c r="Y42" s="95"/>
      <c r="AA42" s="95"/>
      <c r="AC42" s="95"/>
      <c r="AE42" s="95"/>
      <c r="AG42" s="95"/>
      <c r="AI42" s="95"/>
      <c r="AK42" s="95"/>
      <c r="AM42" s="95"/>
      <c r="AO42" s="95"/>
      <c r="AQ42" s="95"/>
      <c r="AS42" s="95"/>
      <c r="AU42" s="95"/>
      <c r="AW42" s="95"/>
      <c r="AY42" s="95"/>
      <c r="BA42" s="95"/>
      <c r="BC42" s="95"/>
      <c r="BE42" s="95"/>
      <c r="BG42" s="95"/>
      <c r="BI42" s="95"/>
      <c r="BK42" s="95"/>
      <c r="BM42" s="95"/>
    </row>
    <row r="43" spans="1:65" s="46" customFormat="1">
      <c r="A43" s="186">
        <v>38</v>
      </c>
      <c r="B43" s="47" t="s">
        <v>284</v>
      </c>
      <c r="C43" s="65"/>
      <c r="D43" s="111">
        <f>D36+D27+D26</f>
        <v>126</v>
      </c>
      <c r="E43" s="111">
        <f>E36+E27+E26</f>
        <v>126</v>
      </c>
      <c r="F43" s="58"/>
      <c r="G43" s="45">
        <f t="shared" ref="G43:K43" si="168">G33+G41</f>
        <v>174793.39000000007</v>
      </c>
      <c r="H43" s="108">
        <f t="shared" si="168"/>
        <v>40106600</v>
      </c>
      <c r="I43" s="183">
        <f t="shared" ref="I43:J43" si="169">I33+I41</f>
        <v>87396.695000000036</v>
      </c>
      <c r="J43" s="108">
        <f t="shared" si="169"/>
        <v>20053300</v>
      </c>
      <c r="K43" s="108">
        <f t="shared" si="168"/>
        <v>1671108.3333333335</v>
      </c>
      <c r="L43" s="45">
        <f t="shared" ref="L43:N43" si="170">L33+L41</f>
        <v>81108.480000000054</v>
      </c>
      <c r="M43" s="108">
        <f t="shared" si="170"/>
        <v>18470600</v>
      </c>
      <c r="N43" s="108">
        <f t="shared" si="170"/>
        <v>1539220</v>
      </c>
      <c r="O43" s="45">
        <f t="shared" ref="O43:Q43" si="171">O33+O41</f>
        <v>93684.910000000033</v>
      </c>
      <c r="P43" s="108">
        <f t="shared" si="171"/>
        <v>21636000</v>
      </c>
      <c r="Q43" s="108">
        <f t="shared" si="171"/>
        <v>1803004</v>
      </c>
      <c r="R43" s="45">
        <f t="shared" ref="R43:S43" si="172">R33+R41</f>
        <v>4972.3200000000033</v>
      </c>
      <c r="S43" s="108">
        <f t="shared" si="172"/>
        <v>937000</v>
      </c>
      <c r="T43" s="45">
        <f t="shared" ref="T43:Z43" si="173">T33+T41</f>
        <v>4972.3200000000033</v>
      </c>
      <c r="U43" s="108">
        <f t="shared" si="173"/>
        <v>937000</v>
      </c>
      <c r="V43" s="45">
        <f t="shared" si="173"/>
        <v>4972.3200000000033</v>
      </c>
      <c r="W43" s="108">
        <f t="shared" si="173"/>
        <v>937000</v>
      </c>
      <c r="X43" s="45">
        <f t="shared" si="173"/>
        <v>4993.3000000000038</v>
      </c>
      <c r="Y43" s="108">
        <f t="shared" si="173"/>
        <v>927100</v>
      </c>
      <c r="Z43" s="45">
        <f t="shared" si="173"/>
        <v>5060.720000000003</v>
      </c>
      <c r="AA43" s="108">
        <f>AA33+AA41</f>
        <v>919700</v>
      </c>
      <c r="AB43" s="45">
        <f t="shared" ref="AB43:BM43" si="174">AB33+AB41</f>
        <v>6050.9200000000028</v>
      </c>
      <c r="AC43" s="108">
        <f t="shared" si="174"/>
        <v>1310000</v>
      </c>
      <c r="AD43" s="45">
        <f t="shared" si="174"/>
        <v>9843.1900000000041</v>
      </c>
      <c r="AE43" s="108">
        <f t="shared" si="174"/>
        <v>2600300</v>
      </c>
      <c r="AF43" s="45">
        <f t="shared" si="174"/>
        <v>12279.540000000003</v>
      </c>
      <c r="AG43" s="108">
        <f t="shared" si="174"/>
        <v>3367000</v>
      </c>
      <c r="AH43" s="45">
        <f t="shared" si="174"/>
        <v>11052.040000000005</v>
      </c>
      <c r="AI43" s="108">
        <f t="shared" si="174"/>
        <v>2972700</v>
      </c>
      <c r="AJ43" s="45">
        <f t="shared" si="174"/>
        <v>14112.920000000004</v>
      </c>
      <c r="AK43" s="108">
        <f t="shared" si="174"/>
        <v>4000500</v>
      </c>
      <c r="AL43" s="45">
        <f t="shared" si="174"/>
        <v>8154.0200000000041</v>
      </c>
      <c r="AM43" s="108">
        <f t="shared" si="174"/>
        <v>2066700</v>
      </c>
      <c r="AN43" s="45">
        <f t="shared" si="174"/>
        <v>8488.0400000000027</v>
      </c>
      <c r="AO43" s="108">
        <f t="shared" si="174"/>
        <v>2037000.0000000002</v>
      </c>
      <c r="AP43" s="45">
        <f t="shared" si="174"/>
        <v>4972.3200000000033</v>
      </c>
      <c r="AQ43" s="108">
        <f t="shared" si="174"/>
        <v>937000</v>
      </c>
      <c r="AR43" s="45">
        <f t="shared" si="174"/>
        <v>4972.3200000000033</v>
      </c>
      <c r="AS43" s="108">
        <f t="shared" si="174"/>
        <v>937000</v>
      </c>
      <c r="AT43" s="45">
        <f t="shared" si="174"/>
        <v>4972.3200000000033</v>
      </c>
      <c r="AU43" s="108">
        <f t="shared" si="174"/>
        <v>937000</v>
      </c>
      <c r="AV43" s="45">
        <f t="shared" si="174"/>
        <v>4993.3000000000038</v>
      </c>
      <c r="AW43" s="108">
        <f t="shared" si="174"/>
        <v>927100</v>
      </c>
      <c r="AX43" s="45">
        <f t="shared" si="174"/>
        <v>5060.720000000003</v>
      </c>
      <c r="AY43" s="108">
        <f t="shared" si="174"/>
        <v>919700</v>
      </c>
      <c r="AZ43" s="45">
        <f t="shared" si="174"/>
        <v>6733.4100000000026</v>
      </c>
      <c r="BA43" s="108">
        <f t="shared" si="174"/>
        <v>1668000</v>
      </c>
      <c r="BB43" s="45">
        <f t="shared" si="174"/>
        <v>11520.460000000001</v>
      </c>
      <c r="BC43" s="108">
        <f t="shared" si="174"/>
        <v>3420500</v>
      </c>
      <c r="BD43" s="45">
        <f t="shared" si="174"/>
        <v>10175.44</v>
      </c>
      <c r="BE43" s="108">
        <f t="shared" si="174"/>
        <v>2948900</v>
      </c>
      <c r="BF43" s="45">
        <f t="shared" si="174"/>
        <v>10528.580000000002</v>
      </c>
      <c r="BG43" s="108">
        <f t="shared" si="174"/>
        <v>3090100</v>
      </c>
      <c r="BH43" s="45">
        <f t="shared" si="174"/>
        <v>7536.0400000000027</v>
      </c>
      <c r="BI43" s="108">
        <f t="shared" si="174"/>
        <v>2048100</v>
      </c>
      <c r="BJ43" s="45">
        <f t="shared" si="174"/>
        <v>5115.0400000000036</v>
      </c>
      <c r="BK43" s="108">
        <f t="shared" si="174"/>
        <v>983500</v>
      </c>
      <c r="BL43" s="45">
        <f t="shared" si="174"/>
        <v>6234.930000000003</v>
      </c>
      <c r="BM43" s="108">
        <f t="shared" si="174"/>
        <v>1378700</v>
      </c>
    </row>
    <row r="44" spans="1:65" s="46" customFormat="1">
      <c r="A44" s="186">
        <v>39</v>
      </c>
      <c r="B44" s="47"/>
      <c r="C44" s="65"/>
      <c r="D44" s="58"/>
      <c r="E44" s="58"/>
      <c r="F44" s="58"/>
      <c r="G44" s="58"/>
      <c r="H44" s="58"/>
      <c r="I44" s="184"/>
      <c r="J44" s="58"/>
      <c r="K44" s="58"/>
      <c r="L44" s="58"/>
      <c r="M44" s="58"/>
      <c r="N44" s="58"/>
      <c r="O44" s="58"/>
      <c r="P44" s="58"/>
      <c r="Q44" s="58"/>
      <c r="S44" s="108"/>
      <c r="U44" s="108"/>
      <c r="W44" s="108"/>
      <c r="Y44" s="108"/>
      <c r="AA44" s="108"/>
      <c r="AC44" s="108"/>
      <c r="AE44" s="108"/>
      <c r="AG44" s="108"/>
      <c r="AI44" s="108"/>
      <c r="AK44" s="108"/>
      <c r="AM44" s="108"/>
      <c r="AO44" s="108"/>
      <c r="AQ44" s="108"/>
      <c r="AS44" s="108"/>
      <c r="AU44" s="108"/>
      <c r="AW44" s="108"/>
      <c r="AY44" s="108"/>
      <c r="BA44" s="108"/>
      <c r="BC44" s="108"/>
      <c r="BE44" s="108"/>
      <c r="BG44" s="108"/>
      <c r="BI44" s="108"/>
      <c r="BK44" s="108"/>
      <c r="BM44" s="108"/>
    </row>
    <row r="45" spans="1:65" s="46" customFormat="1">
      <c r="A45" s="186">
        <v>40</v>
      </c>
      <c r="B45" s="47" t="s">
        <v>282</v>
      </c>
      <c r="C45" s="65"/>
      <c r="D45" s="58"/>
      <c r="E45" s="58"/>
      <c r="F45" s="58"/>
      <c r="G45" s="45">
        <f t="shared" ref="G45:K45" si="175">G26+G27+G38</f>
        <v>102412.90000000008</v>
      </c>
      <c r="H45" s="108">
        <f t="shared" si="175"/>
        <v>15678600</v>
      </c>
      <c r="I45" s="183">
        <f t="shared" ref="I45:J45" si="176">I26+I27+I38</f>
        <v>51206.450000000041</v>
      </c>
      <c r="J45" s="108">
        <f t="shared" si="176"/>
        <v>7839300</v>
      </c>
      <c r="K45" s="108">
        <f t="shared" si="175"/>
        <v>653275</v>
      </c>
      <c r="L45" s="45">
        <f t="shared" ref="L45:N45" si="177">L26+L27+L38</f>
        <v>50469.000000000051</v>
      </c>
      <c r="M45" s="108">
        <f t="shared" si="177"/>
        <v>7796600.0000000019</v>
      </c>
      <c r="N45" s="108">
        <f t="shared" si="177"/>
        <v>649717</v>
      </c>
      <c r="O45" s="45">
        <f t="shared" ref="O45:P45" si="178">O26+O27+O38</f>
        <v>51943.900000000023</v>
      </c>
      <c r="P45" s="108">
        <f t="shared" si="178"/>
        <v>7881999.9999999981</v>
      </c>
      <c r="Q45" s="108">
        <f t="shared" ref="Q45" si="179">Q26+Q27+Q38</f>
        <v>656834</v>
      </c>
      <c r="R45" s="45">
        <f t="shared" ref="R45:S45" si="180">R26+R27+R38</f>
        <v>4196.7500000000036</v>
      </c>
      <c r="S45" s="108">
        <f t="shared" si="180"/>
        <v>624000</v>
      </c>
      <c r="T45" s="45">
        <f t="shared" ref="T45:AA45" si="181">T26+T27+T38</f>
        <v>4196.7500000000036</v>
      </c>
      <c r="U45" s="108">
        <f t="shared" si="181"/>
        <v>624000</v>
      </c>
      <c r="V45" s="45">
        <f t="shared" si="181"/>
        <v>4196.7500000000036</v>
      </c>
      <c r="W45" s="108">
        <f t="shared" si="181"/>
        <v>624000</v>
      </c>
      <c r="X45" s="45">
        <f t="shared" si="181"/>
        <v>4196.7500000000036</v>
      </c>
      <c r="Y45" s="108">
        <f t="shared" si="181"/>
        <v>602100</v>
      </c>
      <c r="Z45" s="45">
        <f t="shared" si="181"/>
        <v>4196.7500000000036</v>
      </c>
      <c r="AA45" s="108">
        <f t="shared" si="181"/>
        <v>607700</v>
      </c>
      <c r="AB45" s="45">
        <f t="shared" ref="AB45:BM45" si="182">AB26+AB27+AB38</f>
        <v>4416.4500000000025</v>
      </c>
      <c r="AC45" s="108">
        <f t="shared" si="182"/>
        <v>702000</v>
      </c>
      <c r="AD45" s="45">
        <f t="shared" si="182"/>
        <v>4416.4500000000025</v>
      </c>
      <c r="AE45" s="108">
        <f t="shared" si="182"/>
        <v>796299.99999999953</v>
      </c>
      <c r="AF45" s="45">
        <f t="shared" si="182"/>
        <v>4416.4500000000025</v>
      </c>
      <c r="AG45" s="108">
        <f t="shared" si="182"/>
        <v>837000</v>
      </c>
      <c r="AH45" s="45">
        <f t="shared" si="182"/>
        <v>4416.4500000000025</v>
      </c>
      <c r="AI45" s="108">
        <f t="shared" si="182"/>
        <v>807699.99999999953</v>
      </c>
      <c r="AJ45" s="45">
        <f t="shared" si="182"/>
        <v>4416.4500000000025</v>
      </c>
      <c r="AK45" s="108">
        <f t="shared" si="182"/>
        <v>857499.99999999953</v>
      </c>
      <c r="AL45" s="45">
        <f t="shared" si="182"/>
        <v>4416.4500000000025</v>
      </c>
      <c r="AM45" s="108">
        <f t="shared" si="182"/>
        <v>765700</v>
      </c>
      <c r="AN45" s="45">
        <f t="shared" si="182"/>
        <v>4416.4500000000025</v>
      </c>
      <c r="AO45" s="108">
        <f t="shared" si="182"/>
        <v>734000</v>
      </c>
      <c r="AP45" s="45">
        <f t="shared" si="182"/>
        <v>4196.7500000000036</v>
      </c>
      <c r="AQ45" s="108">
        <f t="shared" si="182"/>
        <v>624000</v>
      </c>
      <c r="AR45" s="45">
        <f t="shared" si="182"/>
        <v>4196.7500000000036</v>
      </c>
      <c r="AS45" s="108">
        <f t="shared" si="182"/>
        <v>624000</v>
      </c>
      <c r="AT45" s="45">
        <f t="shared" si="182"/>
        <v>4196.7500000000036</v>
      </c>
      <c r="AU45" s="108">
        <f t="shared" si="182"/>
        <v>624000</v>
      </c>
      <c r="AV45" s="45">
        <f t="shared" si="182"/>
        <v>4196.7500000000036</v>
      </c>
      <c r="AW45" s="108">
        <f t="shared" si="182"/>
        <v>602100</v>
      </c>
      <c r="AX45" s="45">
        <f t="shared" si="182"/>
        <v>4196.7500000000036</v>
      </c>
      <c r="AY45" s="108">
        <f t="shared" si="182"/>
        <v>607700</v>
      </c>
      <c r="AZ45" s="45">
        <f t="shared" si="182"/>
        <v>4196.7500000000036</v>
      </c>
      <c r="BA45" s="108">
        <f t="shared" si="182"/>
        <v>768999.99999999988</v>
      </c>
      <c r="BB45" s="45">
        <f t="shared" si="182"/>
        <v>4196.7500000000036</v>
      </c>
      <c r="BC45" s="108">
        <f t="shared" si="182"/>
        <v>866500.00000000047</v>
      </c>
      <c r="BD45" s="45">
        <f t="shared" si="182"/>
        <v>4196.7500000000036</v>
      </c>
      <c r="BE45" s="108">
        <f t="shared" si="182"/>
        <v>850900.00000000047</v>
      </c>
      <c r="BF45" s="45">
        <f t="shared" si="182"/>
        <v>4196.7500000000036</v>
      </c>
      <c r="BG45" s="108">
        <f t="shared" si="182"/>
        <v>867100.00000000047</v>
      </c>
      <c r="BH45" s="45">
        <f t="shared" si="182"/>
        <v>4196.7500000000036</v>
      </c>
      <c r="BI45" s="108">
        <f t="shared" si="182"/>
        <v>827100</v>
      </c>
      <c r="BJ45" s="45">
        <f t="shared" si="182"/>
        <v>4196.7500000000036</v>
      </c>
      <c r="BK45" s="108">
        <f t="shared" si="182"/>
        <v>636500</v>
      </c>
      <c r="BL45" s="45">
        <f t="shared" si="182"/>
        <v>4196.7500000000036</v>
      </c>
      <c r="BM45" s="108">
        <f t="shared" si="182"/>
        <v>662700</v>
      </c>
    </row>
    <row r="46" spans="1:65" s="46" customFormat="1">
      <c r="A46" s="186">
        <v>41</v>
      </c>
      <c r="B46" s="47" t="s">
        <v>283</v>
      </c>
      <c r="C46" s="65"/>
      <c r="D46" s="58"/>
      <c r="E46" s="58"/>
      <c r="F46" s="58"/>
      <c r="G46" s="45">
        <f t="shared" ref="G46:K46" si="183">G32+G40</f>
        <v>72380.490000000005</v>
      </c>
      <c r="H46" s="108">
        <f t="shared" si="183"/>
        <v>24428000</v>
      </c>
      <c r="I46" s="183">
        <f t="shared" ref="I46:J46" si="184">I32+I40</f>
        <v>36190.245000000003</v>
      </c>
      <c r="J46" s="108">
        <f t="shared" si="184"/>
        <v>12214000</v>
      </c>
      <c r="K46" s="108">
        <f t="shared" si="183"/>
        <v>1017833.3333333334</v>
      </c>
      <c r="L46" s="45">
        <f t="shared" ref="L46:N46" si="185">L32+L40</f>
        <v>30639.479999999996</v>
      </c>
      <c r="M46" s="108">
        <f t="shared" si="185"/>
        <v>10673999.999999998</v>
      </c>
      <c r="N46" s="108">
        <f t="shared" si="185"/>
        <v>889503</v>
      </c>
      <c r="O46" s="45">
        <f t="shared" ref="O46:P46" si="186">O32+O40</f>
        <v>41741.010000000009</v>
      </c>
      <c r="P46" s="108">
        <f t="shared" si="186"/>
        <v>13754000.000000002</v>
      </c>
      <c r="Q46" s="108">
        <f t="shared" ref="Q46" si="187">Q32+Q40</f>
        <v>1146170</v>
      </c>
      <c r="R46" s="45">
        <f t="shared" ref="R46:S46" si="188">R32+R40</f>
        <v>775.57</v>
      </c>
      <c r="S46" s="108">
        <f t="shared" si="188"/>
        <v>313000</v>
      </c>
      <c r="T46" s="45">
        <f t="shared" ref="T46:AA46" si="189">T32+T40</f>
        <v>775.57</v>
      </c>
      <c r="U46" s="108">
        <f t="shared" si="189"/>
        <v>313000</v>
      </c>
      <c r="V46" s="45">
        <f t="shared" si="189"/>
        <v>775.57</v>
      </c>
      <c r="W46" s="108">
        <f t="shared" si="189"/>
        <v>313000</v>
      </c>
      <c r="X46" s="45">
        <f t="shared" si="189"/>
        <v>796.55</v>
      </c>
      <c r="Y46" s="108">
        <f t="shared" si="189"/>
        <v>325000</v>
      </c>
      <c r="Z46" s="45">
        <f t="shared" si="189"/>
        <v>863.97</v>
      </c>
      <c r="AA46" s="108">
        <f t="shared" si="189"/>
        <v>312000</v>
      </c>
      <c r="AB46" s="45">
        <f t="shared" ref="AB46:BM46" si="190">AB32+AB40</f>
        <v>1634.47</v>
      </c>
      <c r="AC46" s="108">
        <f t="shared" si="190"/>
        <v>608000</v>
      </c>
      <c r="AD46" s="45">
        <f t="shared" si="190"/>
        <v>5426.7400000000016</v>
      </c>
      <c r="AE46" s="108">
        <f t="shared" si="190"/>
        <v>1804000.0000000005</v>
      </c>
      <c r="AF46" s="45">
        <f t="shared" si="190"/>
        <v>7863.09</v>
      </c>
      <c r="AG46" s="108">
        <f t="shared" si="190"/>
        <v>2530000</v>
      </c>
      <c r="AH46" s="45">
        <f t="shared" si="190"/>
        <v>6635.5900000000011</v>
      </c>
      <c r="AI46" s="108">
        <f t="shared" si="190"/>
        <v>2165000.0000000005</v>
      </c>
      <c r="AJ46" s="45">
        <f t="shared" si="190"/>
        <v>9696.4700000000012</v>
      </c>
      <c r="AK46" s="108">
        <f t="shared" si="190"/>
        <v>3143000.0000000005</v>
      </c>
      <c r="AL46" s="45">
        <f t="shared" si="190"/>
        <v>3737.57</v>
      </c>
      <c r="AM46" s="108">
        <f t="shared" si="190"/>
        <v>1301000</v>
      </c>
      <c r="AN46" s="45">
        <f t="shared" si="190"/>
        <v>4071.5900000000006</v>
      </c>
      <c r="AO46" s="108">
        <f t="shared" si="190"/>
        <v>1303000.0000000002</v>
      </c>
      <c r="AP46" s="45">
        <f t="shared" si="190"/>
        <v>775.57</v>
      </c>
      <c r="AQ46" s="108">
        <f t="shared" si="190"/>
        <v>313000</v>
      </c>
      <c r="AR46" s="45">
        <f t="shared" si="190"/>
        <v>775.57</v>
      </c>
      <c r="AS46" s="108">
        <f t="shared" si="190"/>
        <v>313000</v>
      </c>
      <c r="AT46" s="45">
        <f t="shared" si="190"/>
        <v>775.57</v>
      </c>
      <c r="AU46" s="108">
        <f t="shared" si="190"/>
        <v>313000</v>
      </c>
      <c r="AV46" s="45">
        <f t="shared" si="190"/>
        <v>796.55</v>
      </c>
      <c r="AW46" s="108">
        <f t="shared" si="190"/>
        <v>325000</v>
      </c>
      <c r="AX46" s="45">
        <f t="shared" si="190"/>
        <v>863.97</v>
      </c>
      <c r="AY46" s="108">
        <f t="shared" si="190"/>
        <v>312000</v>
      </c>
      <c r="AZ46" s="45">
        <f t="shared" si="190"/>
        <v>2536.66</v>
      </c>
      <c r="BA46" s="108">
        <f t="shared" si="190"/>
        <v>899000.00000000012</v>
      </c>
      <c r="BB46" s="45">
        <f t="shared" si="190"/>
        <v>7323.7099999999982</v>
      </c>
      <c r="BC46" s="108">
        <f t="shared" si="190"/>
        <v>2553999.9999999995</v>
      </c>
      <c r="BD46" s="45">
        <f t="shared" si="190"/>
        <v>5978.69</v>
      </c>
      <c r="BE46" s="108">
        <f t="shared" si="190"/>
        <v>2097999.9999999995</v>
      </c>
      <c r="BF46" s="45">
        <f t="shared" si="190"/>
        <v>6331.8299999999981</v>
      </c>
      <c r="BG46" s="108">
        <f t="shared" si="190"/>
        <v>2222999.9999999995</v>
      </c>
      <c r="BH46" s="45">
        <f t="shared" si="190"/>
        <v>3339.29</v>
      </c>
      <c r="BI46" s="108">
        <f t="shared" si="190"/>
        <v>1221000</v>
      </c>
      <c r="BJ46" s="45">
        <f t="shared" si="190"/>
        <v>918.29</v>
      </c>
      <c r="BK46" s="108">
        <f t="shared" si="190"/>
        <v>347000</v>
      </c>
      <c r="BL46" s="45">
        <f t="shared" si="190"/>
        <v>2038.1799999999998</v>
      </c>
      <c r="BM46" s="108">
        <f t="shared" si="190"/>
        <v>716000</v>
      </c>
    </row>
    <row r="47" spans="1:65" s="46" customFormat="1">
      <c r="A47" s="186">
        <v>42</v>
      </c>
      <c r="B47" s="47"/>
      <c r="C47" s="65" t="s">
        <v>285</v>
      </c>
      <c r="D47" s="58"/>
      <c r="E47" s="58"/>
      <c r="F47" s="58"/>
      <c r="G47" s="101">
        <f t="shared" ref="G47:K47" si="191">G46+G45</f>
        <v>174793.39000000007</v>
      </c>
      <c r="H47" s="109">
        <f t="shared" si="191"/>
        <v>40106600</v>
      </c>
      <c r="I47" s="106">
        <f t="shared" ref="I47:J47" si="192">I46+I45</f>
        <v>87396.695000000036</v>
      </c>
      <c r="J47" s="109">
        <f t="shared" si="192"/>
        <v>20053300</v>
      </c>
      <c r="K47" s="109">
        <f t="shared" si="191"/>
        <v>1671108.3333333335</v>
      </c>
      <c r="L47" s="101">
        <f t="shared" ref="L47:N47" si="193">L46+L45</f>
        <v>81108.48000000004</v>
      </c>
      <c r="M47" s="109">
        <f t="shared" si="193"/>
        <v>18470600</v>
      </c>
      <c r="N47" s="109">
        <f t="shared" si="193"/>
        <v>1539220</v>
      </c>
      <c r="O47" s="101">
        <f t="shared" ref="O47:P47" si="194">O46+O45</f>
        <v>93684.910000000033</v>
      </c>
      <c r="P47" s="109">
        <f t="shared" si="194"/>
        <v>21636000</v>
      </c>
      <c r="Q47" s="109">
        <f t="shared" ref="Q47" si="195">Q46+Q45</f>
        <v>1803004</v>
      </c>
      <c r="R47" s="101">
        <f t="shared" ref="R47:S47" si="196">R46+R45</f>
        <v>4972.3200000000033</v>
      </c>
      <c r="S47" s="109">
        <f t="shared" si="196"/>
        <v>937000</v>
      </c>
      <c r="T47" s="101">
        <f t="shared" ref="T47:AA47" si="197">T46+T45</f>
        <v>4972.3200000000033</v>
      </c>
      <c r="U47" s="109">
        <f t="shared" si="197"/>
        <v>937000</v>
      </c>
      <c r="V47" s="101">
        <f t="shared" si="197"/>
        <v>4972.3200000000033</v>
      </c>
      <c r="W47" s="109">
        <f t="shared" si="197"/>
        <v>937000</v>
      </c>
      <c r="X47" s="101">
        <f t="shared" si="197"/>
        <v>4993.3000000000038</v>
      </c>
      <c r="Y47" s="109">
        <f t="shared" si="197"/>
        <v>927100</v>
      </c>
      <c r="Z47" s="101">
        <f t="shared" si="197"/>
        <v>5060.7200000000039</v>
      </c>
      <c r="AA47" s="109">
        <f t="shared" si="197"/>
        <v>919700</v>
      </c>
      <c r="AB47" s="101">
        <f t="shared" ref="AB47:BM47" si="198">AB46+AB45</f>
        <v>6050.9200000000028</v>
      </c>
      <c r="AC47" s="109">
        <f t="shared" si="198"/>
        <v>1310000</v>
      </c>
      <c r="AD47" s="101">
        <f t="shared" si="198"/>
        <v>9843.1900000000041</v>
      </c>
      <c r="AE47" s="109">
        <f t="shared" si="198"/>
        <v>2600300</v>
      </c>
      <c r="AF47" s="101">
        <f t="shared" si="198"/>
        <v>12279.540000000003</v>
      </c>
      <c r="AG47" s="109">
        <f t="shared" si="198"/>
        <v>3367000</v>
      </c>
      <c r="AH47" s="101">
        <f t="shared" si="198"/>
        <v>11052.040000000005</v>
      </c>
      <c r="AI47" s="109">
        <f t="shared" si="198"/>
        <v>2972700</v>
      </c>
      <c r="AJ47" s="101">
        <f t="shared" si="198"/>
        <v>14112.920000000004</v>
      </c>
      <c r="AK47" s="109">
        <f t="shared" si="198"/>
        <v>4000500</v>
      </c>
      <c r="AL47" s="101">
        <f t="shared" si="198"/>
        <v>8154.0200000000023</v>
      </c>
      <c r="AM47" s="109">
        <f t="shared" si="198"/>
        <v>2066700</v>
      </c>
      <c r="AN47" s="101">
        <f t="shared" si="198"/>
        <v>8488.0400000000027</v>
      </c>
      <c r="AO47" s="109">
        <f t="shared" si="198"/>
        <v>2037000.0000000002</v>
      </c>
      <c r="AP47" s="101">
        <f t="shared" si="198"/>
        <v>4972.3200000000033</v>
      </c>
      <c r="AQ47" s="109">
        <f t="shared" si="198"/>
        <v>937000</v>
      </c>
      <c r="AR47" s="101">
        <f t="shared" si="198"/>
        <v>4972.3200000000033</v>
      </c>
      <c r="AS47" s="109">
        <f t="shared" si="198"/>
        <v>937000</v>
      </c>
      <c r="AT47" s="101">
        <f t="shared" si="198"/>
        <v>4972.3200000000033</v>
      </c>
      <c r="AU47" s="109">
        <f t="shared" si="198"/>
        <v>937000</v>
      </c>
      <c r="AV47" s="101">
        <f t="shared" si="198"/>
        <v>4993.3000000000038</v>
      </c>
      <c r="AW47" s="109">
        <f t="shared" si="198"/>
        <v>927100</v>
      </c>
      <c r="AX47" s="101">
        <f t="shared" si="198"/>
        <v>5060.7200000000039</v>
      </c>
      <c r="AY47" s="109">
        <f t="shared" si="198"/>
        <v>919700</v>
      </c>
      <c r="AZ47" s="101">
        <f t="shared" si="198"/>
        <v>6733.4100000000035</v>
      </c>
      <c r="BA47" s="109">
        <f t="shared" si="198"/>
        <v>1668000</v>
      </c>
      <c r="BB47" s="101">
        <f t="shared" si="198"/>
        <v>11520.460000000003</v>
      </c>
      <c r="BC47" s="109">
        <f t="shared" si="198"/>
        <v>3420500</v>
      </c>
      <c r="BD47" s="101">
        <f t="shared" si="198"/>
        <v>10175.440000000002</v>
      </c>
      <c r="BE47" s="109">
        <f t="shared" si="198"/>
        <v>2948900</v>
      </c>
      <c r="BF47" s="101">
        <f t="shared" si="198"/>
        <v>10528.580000000002</v>
      </c>
      <c r="BG47" s="109">
        <f t="shared" si="198"/>
        <v>3090100</v>
      </c>
      <c r="BH47" s="101">
        <f t="shared" si="198"/>
        <v>7536.0400000000036</v>
      </c>
      <c r="BI47" s="109">
        <f t="shared" si="198"/>
        <v>2048100</v>
      </c>
      <c r="BJ47" s="101">
        <f t="shared" si="198"/>
        <v>5115.0400000000036</v>
      </c>
      <c r="BK47" s="109">
        <f t="shared" si="198"/>
        <v>983500</v>
      </c>
      <c r="BL47" s="101">
        <f t="shared" si="198"/>
        <v>6234.9300000000039</v>
      </c>
      <c r="BM47" s="109">
        <f t="shared" si="198"/>
        <v>1378700</v>
      </c>
    </row>
    <row r="48" spans="1:65" s="46" customFormat="1">
      <c r="A48" s="186">
        <v>43</v>
      </c>
      <c r="B48" s="47"/>
      <c r="C48" s="65"/>
      <c r="D48" s="58"/>
      <c r="E48" s="58"/>
      <c r="F48" s="58"/>
      <c r="G48" s="58"/>
      <c r="H48" s="58"/>
      <c r="I48" s="184"/>
      <c r="J48" s="58"/>
      <c r="K48" s="58"/>
      <c r="L48" s="58"/>
      <c r="M48" s="58"/>
      <c r="N48" s="58"/>
      <c r="O48" s="58"/>
      <c r="P48" s="58"/>
      <c r="Q48" s="58"/>
      <c r="S48" s="95"/>
      <c r="U48" s="95"/>
      <c r="W48" s="95"/>
      <c r="Y48" s="95"/>
      <c r="AA48" s="95"/>
      <c r="AC48" s="95"/>
    </row>
    <row r="49" spans="1:65" s="46" customFormat="1">
      <c r="A49" s="186">
        <v>44</v>
      </c>
      <c r="B49" s="47" t="s">
        <v>277</v>
      </c>
      <c r="C49" s="65"/>
      <c r="D49" s="58"/>
      <c r="E49" s="58"/>
      <c r="F49" s="58"/>
      <c r="G49" s="58"/>
      <c r="H49" s="58"/>
      <c r="I49" s="184"/>
      <c r="J49" s="58"/>
      <c r="K49" s="58"/>
      <c r="L49" s="58"/>
      <c r="M49" s="58"/>
      <c r="N49" s="58"/>
      <c r="O49" s="58"/>
      <c r="P49" s="58"/>
      <c r="Q49" s="58"/>
      <c r="S49" s="95"/>
      <c r="U49" s="95"/>
      <c r="W49" s="95"/>
      <c r="Y49" s="95"/>
      <c r="AA49" s="95"/>
      <c r="AC49" s="95"/>
    </row>
    <row r="50" spans="1:65" s="46" customFormat="1">
      <c r="A50" s="186">
        <v>45</v>
      </c>
      <c r="B50" s="47"/>
      <c r="C50" s="46" t="s">
        <v>214</v>
      </c>
      <c r="D50" s="110" t="s">
        <v>294</v>
      </c>
      <c r="E50" s="110" t="s">
        <v>294</v>
      </c>
      <c r="F50" s="58"/>
      <c r="G50" s="148">
        <f t="shared" ref="G50:H52" si="199">L50+O50</f>
        <v>4511.4162073672305</v>
      </c>
      <c r="H50" s="149">
        <f t="shared" si="199"/>
        <v>2659446.0431654677</v>
      </c>
      <c r="I50" s="181">
        <f t="shared" ref="I50:J52" si="200">G50/2</f>
        <v>2255.7081036836153</v>
      </c>
      <c r="J50" s="149">
        <f t="shared" si="200"/>
        <v>1329723.0215827338</v>
      </c>
      <c r="K50" s="108">
        <f>((H50/24))</f>
        <v>110810.25179856115</v>
      </c>
      <c r="L50" s="148">
        <f t="shared" ref="L50:L52" si="201">AP50+AR50+AT50+AV50+AX50+AZ50+BB50+BD50+BF50+BH50+BJ50+BL50</f>
        <v>4048.1887787958021</v>
      </c>
      <c r="M50" s="149">
        <f t="shared" ref="M50:M52" si="202">AQ50+AS50+AU50+AW50+AY50+BA50+BC50+BE50+BG50+BI50+BK50+BM50</f>
        <v>1555446.0431654674</v>
      </c>
      <c r="N50" s="108">
        <f t="shared" ref="N50:N52" si="203">ROUNDUP((M50/12),0)</f>
        <v>129621</v>
      </c>
      <c r="O50" s="148">
        <f t="shared" ref="O50:P52" si="204">R50+T50+V50+X50+Z50+AB50+AD50+AF50+AH50+AJ50+AL50+AN50</f>
        <v>463.22742857142862</v>
      </c>
      <c r="P50" s="149">
        <f t="shared" si="204"/>
        <v>1104000</v>
      </c>
      <c r="Q50" s="108">
        <f t="shared" ref="Q50:Q52" si="205">ROUNDUP((P50/12),0)</f>
        <v>92000</v>
      </c>
      <c r="R50" s="45">
        <f t="shared" ref="R50:R52" si="206">AP50</f>
        <v>0</v>
      </c>
      <c r="S50" s="108">
        <f t="shared" ref="S50:S52" si="207">AQ50</f>
        <v>0</v>
      </c>
      <c r="T50" s="45">
        <f t="shared" ref="T50:T52" si="208">AR50</f>
        <v>0</v>
      </c>
      <c r="U50" s="108">
        <f t="shared" ref="U50:U52" si="209">AS50</f>
        <v>0</v>
      </c>
      <c r="V50" s="45">
        <f t="shared" ref="V50:V52" si="210">AT50</f>
        <v>0</v>
      </c>
      <c r="W50" s="108">
        <f t="shared" ref="W50:W52" si="211">AU50</f>
        <v>0</v>
      </c>
      <c r="X50" s="45">
        <f t="shared" ref="X50:X52" si="212">AV50</f>
        <v>0</v>
      </c>
      <c r="Y50" s="108">
        <f t="shared" ref="Y50:Y52" si="213">AW50</f>
        <v>0</v>
      </c>
      <c r="Z50" s="45">
        <f t="shared" ref="Z50:Z52" si="214">AX50</f>
        <v>0</v>
      </c>
      <c r="AA50" s="108">
        <f t="shared" ref="AA50:AA52" si="215">AY50</f>
        <v>0</v>
      </c>
      <c r="AB50" s="45">
        <f>'Oct12'!$E$143</f>
        <v>213.10080000000002</v>
      </c>
      <c r="AC50" s="108">
        <f>'Oct12'!$E$152</f>
        <v>80000</v>
      </c>
      <c r="AD50" s="45">
        <f>'Sep12'!$E$143</f>
        <v>0</v>
      </c>
      <c r="AE50" s="108">
        <f>'Sep12'!$E$150</f>
        <v>0</v>
      </c>
      <c r="AF50" s="45">
        <f>'Aug12'!$E$143</f>
        <v>250.12662857142857</v>
      </c>
      <c r="AG50" s="108">
        <f>'Aug12'!$E$152</f>
        <v>1023999.9999999999</v>
      </c>
      <c r="AH50" s="45">
        <f>'Jul12'!$E$143</f>
        <v>0</v>
      </c>
      <c r="AI50" s="108">
        <f>'Jul12'!$E$150</f>
        <v>0</v>
      </c>
      <c r="AJ50" s="45">
        <f>'Jun12'!$E$143</f>
        <v>0</v>
      </c>
      <c r="AK50" s="108">
        <f>'Jun12'!$E$150</f>
        <v>0</v>
      </c>
      <c r="AL50" s="45">
        <f>'May12'!$E$143</f>
        <v>0</v>
      </c>
      <c r="AM50" s="108">
        <f>'May12'!$E$150</f>
        <v>0</v>
      </c>
      <c r="AN50" s="45">
        <f>'Apr12'!$E$143</f>
        <v>0</v>
      </c>
      <c r="AO50" s="108">
        <f>'Apr12'!$E$150</f>
        <v>0</v>
      </c>
      <c r="AP50" s="45">
        <f>Mar12recalc!$E$143</f>
        <v>0</v>
      </c>
      <c r="AQ50" s="108">
        <f>Mar12recalc!$E$150</f>
        <v>0</v>
      </c>
      <c r="AR50" s="45">
        <f>Feb12recalc!$E$143</f>
        <v>0</v>
      </c>
      <c r="AS50" s="108">
        <f>Feb12recalc!$E$150</f>
        <v>0</v>
      </c>
      <c r="AT50" s="45">
        <f>Jan12recalc!$E$143</f>
        <v>0</v>
      </c>
      <c r="AU50" s="108">
        <f>Jan12recalc!$E$150</f>
        <v>0</v>
      </c>
      <c r="AV50" s="45">
        <f>'Dec11'!$E$143</f>
        <v>0</v>
      </c>
      <c r="AW50" s="108">
        <f>'Dec11'!$E$150</f>
        <v>0</v>
      </c>
      <c r="AX50" s="45">
        <f>'Nov11'!$E$143</f>
        <v>0</v>
      </c>
      <c r="AY50" s="108">
        <f>'Nov11'!$E$150</f>
        <v>0</v>
      </c>
      <c r="AZ50" s="45">
        <f>'Oct11'!$E$143</f>
        <v>1824.2698741007191</v>
      </c>
      <c r="BA50" s="108">
        <f>'Oct11'!$E$152</f>
        <v>307446.04316546762</v>
      </c>
      <c r="BB50" s="45">
        <f>'Sep11'!$E$143</f>
        <v>935.13510395707567</v>
      </c>
      <c r="BC50" s="108">
        <f>'Sep11'!$E$152</f>
        <v>723999.99999999988</v>
      </c>
      <c r="BD50" s="45">
        <f>'Aug11'!$E$143</f>
        <v>1288.7838007380071</v>
      </c>
      <c r="BE50" s="108">
        <f>'Aug11'!$E$152</f>
        <v>523999.99999999994</v>
      </c>
      <c r="BF50" s="45">
        <f>'Jul11'!$E$143</f>
        <v>0</v>
      </c>
      <c r="BG50" s="108">
        <f>'Jul11'!$E$150</f>
        <v>0</v>
      </c>
      <c r="BH50" s="45">
        <f>'Jun11'!$E$134</f>
        <v>0</v>
      </c>
      <c r="BI50" s="108">
        <f>'Jun11'!$E$141</f>
        <v>0</v>
      </c>
      <c r="BJ50" s="45">
        <f>'May11'!$E$134</f>
        <v>0</v>
      </c>
      <c r="BK50" s="108">
        <f>'May11'!$E$141</f>
        <v>0</v>
      </c>
      <c r="BL50" s="45">
        <f>'Apr11'!$E$134</f>
        <v>0</v>
      </c>
      <c r="BM50" s="108">
        <f>'Apr11'!$E$141</f>
        <v>0</v>
      </c>
    </row>
    <row r="51" spans="1:65" s="46" customFormat="1">
      <c r="A51" s="186">
        <v>46</v>
      </c>
      <c r="B51" s="47"/>
      <c r="C51" s="46" t="s">
        <v>215</v>
      </c>
      <c r="D51" s="110" t="s">
        <v>294</v>
      </c>
      <c r="E51" s="110" t="s">
        <v>294</v>
      </c>
      <c r="F51" s="58"/>
      <c r="G51" s="148">
        <f t="shared" si="199"/>
        <v>2769.8277873445777</v>
      </c>
      <c r="H51" s="149">
        <f t="shared" si="199"/>
        <v>1590812.9496402878</v>
      </c>
      <c r="I51" s="181">
        <f t="shared" si="200"/>
        <v>1384.9138936722889</v>
      </c>
      <c r="J51" s="149">
        <f t="shared" si="200"/>
        <v>795406.47482014389</v>
      </c>
      <c r="K51" s="108">
        <f>((H51/24))</f>
        <v>66283.872901678653</v>
      </c>
      <c r="L51" s="148">
        <f t="shared" si="201"/>
        <v>2558.1152159160065</v>
      </c>
      <c r="M51" s="149">
        <f t="shared" si="202"/>
        <v>1169812.9496402878</v>
      </c>
      <c r="N51" s="108">
        <f t="shared" si="203"/>
        <v>97485</v>
      </c>
      <c r="O51" s="148">
        <f t="shared" si="204"/>
        <v>211.71257142857144</v>
      </c>
      <c r="P51" s="149">
        <f t="shared" si="204"/>
        <v>421000</v>
      </c>
      <c r="Q51" s="108">
        <f t="shared" si="205"/>
        <v>35084</v>
      </c>
      <c r="R51" s="45">
        <f t="shared" si="206"/>
        <v>0</v>
      </c>
      <c r="S51" s="108">
        <f t="shared" si="207"/>
        <v>0</v>
      </c>
      <c r="T51" s="45">
        <f t="shared" si="208"/>
        <v>0</v>
      </c>
      <c r="U51" s="108">
        <f t="shared" si="209"/>
        <v>0</v>
      </c>
      <c r="V51" s="45">
        <f t="shared" si="210"/>
        <v>0</v>
      </c>
      <c r="W51" s="108">
        <f t="shared" si="211"/>
        <v>0</v>
      </c>
      <c r="X51" s="45">
        <f t="shared" si="212"/>
        <v>0</v>
      </c>
      <c r="Y51" s="108">
        <f t="shared" si="213"/>
        <v>0</v>
      </c>
      <c r="Z51" s="45">
        <f t="shared" si="214"/>
        <v>0</v>
      </c>
      <c r="AA51" s="108">
        <f t="shared" si="215"/>
        <v>0</v>
      </c>
      <c r="AB51" s="45">
        <f>'Oct12'!$E$144</f>
        <v>119.86920000000001</v>
      </c>
      <c r="AC51" s="108">
        <f>'Oct12'!$E$153</f>
        <v>45000</v>
      </c>
      <c r="AD51" s="45">
        <f>'Sep12'!$E$144</f>
        <v>0</v>
      </c>
      <c r="AE51" s="108">
        <f>'Sep12'!$E$151</f>
        <v>0</v>
      </c>
      <c r="AF51" s="45">
        <f>'Aug12'!$E$144</f>
        <v>91.84337142857143</v>
      </c>
      <c r="AG51" s="108">
        <f>'Aug12'!$E$153</f>
        <v>376000</v>
      </c>
      <c r="AH51" s="45">
        <f>'Jul12'!$E$144</f>
        <v>0</v>
      </c>
      <c r="AI51" s="108">
        <f>'Jul12'!$E$151</f>
        <v>0</v>
      </c>
      <c r="AJ51" s="45">
        <f>'Jun12'!$E$144</f>
        <v>0</v>
      </c>
      <c r="AK51" s="108">
        <f>'Jun12'!$E$151</f>
        <v>0</v>
      </c>
      <c r="AL51" s="45">
        <f>'May12'!$E$144</f>
        <v>0</v>
      </c>
      <c r="AM51" s="108">
        <f>'May12'!$E$151</f>
        <v>0</v>
      </c>
      <c r="AN51" s="45">
        <f>'Apr12'!$E$144</f>
        <v>0</v>
      </c>
      <c r="AO51" s="108">
        <f>'Apr12'!$E$151</f>
        <v>0</v>
      </c>
      <c r="AP51" s="45">
        <f>Mar12recalc!$E$144</f>
        <v>0</v>
      </c>
      <c r="AQ51" s="108">
        <f>Mar12recalc!$E$151</f>
        <v>0</v>
      </c>
      <c r="AR51" s="45">
        <f>Feb12recalc!$E$144</f>
        <v>0</v>
      </c>
      <c r="AS51" s="108">
        <f>Feb12recalc!$E$151</f>
        <v>0</v>
      </c>
      <c r="AT51" s="45">
        <f>Jan12recalc!$E$144</f>
        <v>0</v>
      </c>
      <c r="AU51" s="108">
        <f>Jan12recalc!$E$151</f>
        <v>0</v>
      </c>
      <c r="AV51" s="45">
        <f>'Dec11'!$E$144</f>
        <v>0</v>
      </c>
      <c r="AW51" s="108">
        <f>'Dec11'!$E$151</f>
        <v>0</v>
      </c>
      <c r="AX51" s="45">
        <f>'Nov11'!$E$144</f>
        <v>0</v>
      </c>
      <c r="AY51" s="108">
        <f>'Nov11'!$E$151</f>
        <v>0</v>
      </c>
      <c r="AZ51" s="45">
        <f>'Oct11'!$E$144</f>
        <v>615.98723021582737</v>
      </c>
      <c r="BA51" s="108">
        <f>'Oct11'!$E$153</f>
        <v>103812.9496402878</v>
      </c>
      <c r="BB51" s="45">
        <f>'Sep11'!$E$144</f>
        <v>751.72462776659961</v>
      </c>
      <c r="BC51" s="108">
        <f>'Sep11'!$E$153</f>
        <v>582000</v>
      </c>
      <c r="BD51" s="45">
        <f>'Aug11'!$E$144</f>
        <v>1190.4033579335794</v>
      </c>
      <c r="BE51" s="108">
        <f>'Aug11'!$E$153</f>
        <v>484000.00000000006</v>
      </c>
      <c r="BF51" s="45">
        <f>'Jul11'!$E$144</f>
        <v>0</v>
      </c>
      <c r="BG51" s="108">
        <f>'Jul11'!$E$151</f>
        <v>0</v>
      </c>
      <c r="BH51" s="45">
        <f>'Jun11'!$E$135</f>
        <v>0</v>
      </c>
      <c r="BI51" s="108">
        <f>'Jun11'!$E$142</f>
        <v>0</v>
      </c>
      <c r="BJ51" s="45">
        <f>'May11'!$E$135</f>
        <v>0</v>
      </c>
      <c r="BK51" s="108">
        <f>'May11'!$E$142</f>
        <v>0</v>
      </c>
      <c r="BL51" s="45">
        <f>'Apr11'!$E$135</f>
        <v>0</v>
      </c>
      <c r="BM51" s="108">
        <f>'Apr11'!$E$142</f>
        <v>0</v>
      </c>
    </row>
    <row r="52" spans="1:65" s="46" customFormat="1">
      <c r="A52" s="186">
        <v>47</v>
      </c>
      <c r="B52" s="47"/>
      <c r="C52" s="94" t="s">
        <v>6</v>
      </c>
      <c r="D52" s="110">
        <v>1</v>
      </c>
      <c r="E52" s="110">
        <v>1</v>
      </c>
      <c r="F52" s="58"/>
      <c r="G52" s="148">
        <f t="shared" si="199"/>
        <v>620.14600528819108</v>
      </c>
      <c r="H52" s="149">
        <f t="shared" si="199"/>
        <v>293741.00719424465</v>
      </c>
      <c r="I52" s="181">
        <f t="shared" si="200"/>
        <v>310.07300264409554</v>
      </c>
      <c r="J52" s="149">
        <f t="shared" si="200"/>
        <v>146870.50359712233</v>
      </c>
      <c r="K52" s="108">
        <f>((H52/24))</f>
        <v>12239.208633093527</v>
      </c>
      <c r="L52" s="148">
        <f t="shared" si="201"/>
        <v>620.14600528819108</v>
      </c>
      <c r="M52" s="149">
        <f t="shared" si="202"/>
        <v>293741.00719424465</v>
      </c>
      <c r="N52" s="108">
        <f t="shared" si="203"/>
        <v>24479</v>
      </c>
      <c r="O52" s="148">
        <f t="shared" si="204"/>
        <v>0</v>
      </c>
      <c r="P52" s="149">
        <f t="shared" si="204"/>
        <v>0</v>
      </c>
      <c r="Q52" s="108">
        <f t="shared" si="205"/>
        <v>0</v>
      </c>
      <c r="R52" s="45">
        <f t="shared" si="206"/>
        <v>0</v>
      </c>
      <c r="S52" s="108">
        <f t="shared" si="207"/>
        <v>0</v>
      </c>
      <c r="T52" s="45">
        <f t="shared" si="208"/>
        <v>0</v>
      </c>
      <c r="U52" s="108">
        <f t="shared" si="209"/>
        <v>0</v>
      </c>
      <c r="V52" s="45">
        <f t="shared" si="210"/>
        <v>0</v>
      </c>
      <c r="W52" s="108">
        <f t="shared" si="211"/>
        <v>0</v>
      </c>
      <c r="X52" s="45">
        <f t="shared" si="212"/>
        <v>0</v>
      </c>
      <c r="Y52" s="108">
        <f t="shared" si="213"/>
        <v>0</v>
      </c>
      <c r="Z52" s="45">
        <f t="shared" si="214"/>
        <v>0</v>
      </c>
      <c r="AA52" s="108">
        <f t="shared" si="215"/>
        <v>0</v>
      </c>
      <c r="AB52" s="45">
        <f>'Oct12'!$E$147</f>
        <v>0</v>
      </c>
      <c r="AC52" s="108">
        <f>'Oct12'!$E$154</f>
        <v>0</v>
      </c>
      <c r="AD52" s="45">
        <f>'Sep12'!$E$147</f>
        <v>0</v>
      </c>
      <c r="AE52" s="108">
        <f>'Sep12'!$E$152</f>
        <v>0</v>
      </c>
      <c r="AF52" s="45">
        <f>'Aug12'!$E$147</f>
        <v>0</v>
      </c>
      <c r="AG52" s="108">
        <f>'Aug12'!$E$154</f>
        <v>0</v>
      </c>
      <c r="AH52" s="45">
        <f>'Jul12'!$E$147</f>
        <v>0</v>
      </c>
      <c r="AI52" s="108">
        <f>'Jul12'!$E$152</f>
        <v>0</v>
      </c>
      <c r="AJ52" s="45">
        <f>'Jun12'!$E$147</f>
        <v>0</v>
      </c>
      <c r="AK52" s="108">
        <f>'Jun12'!$E$152</f>
        <v>0</v>
      </c>
      <c r="AL52" s="45">
        <f>'May12'!$E$147</f>
        <v>0</v>
      </c>
      <c r="AM52" s="108">
        <f>'May12'!$E$152</f>
        <v>0</v>
      </c>
      <c r="AN52" s="45">
        <f>'Apr12'!$E$147</f>
        <v>0</v>
      </c>
      <c r="AO52" s="108">
        <f>'Apr12'!$E$152</f>
        <v>0</v>
      </c>
      <c r="AP52" s="45">
        <f>Mar12recalc!$E$147</f>
        <v>0</v>
      </c>
      <c r="AQ52" s="108">
        <f>Mar12recalc!$E$152</f>
        <v>0</v>
      </c>
      <c r="AR52" s="45">
        <f>Feb12recalc!$E$147</f>
        <v>0</v>
      </c>
      <c r="AS52" s="108">
        <f>Feb12recalc!$E$152</f>
        <v>0</v>
      </c>
      <c r="AT52" s="45">
        <f>Jan12recalc!$E$147</f>
        <v>0</v>
      </c>
      <c r="AU52" s="108">
        <f>Jan12recalc!$E$152</f>
        <v>0</v>
      </c>
      <c r="AV52" s="45">
        <f>'Dec11'!$E$147</f>
        <v>0</v>
      </c>
      <c r="AW52" s="108">
        <f>'Dec11'!$E$152</f>
        <v>0</v>
      </c>
      <c r="AX52" s="45">
        <f>'Nov11'!$E$147</f>
        <v>0</v>
      </c>
      <c r="AY52" s="108">
        <f>'Nov11'!$E$152</f>
        <v>0</v>
      </c>
      <c r="AZ52" s="45">
        <f>'Oct11'!$E$147</f>
        <v>194.27289568345324</v>
      </c>
      <c r="BA52" s="108">
        <f>'Oct11'!$E$154</f>
        <v>32741.007194244616</v>
      </c>
      <c r="BB52" s="45">
        <f>'Sep11'!$E$147</f>
        <v>238.95026827632461</v>
      </c>
      <c r="BC52" s="108">
        <f>'Sep11'!$E$154</f>
        <v>185000</v>
      </c>
      <c r="BD52" s="45">
        <f>'Aug11'!$E$147</f>
        <v>186.92284132841328</v>
      </c>
      <c r="BE52" s="108">
        <f>'Aug11'!$E$154</f>
        <v>76000.000000000015</v>
      </c>
      <c r="BF52" s="45">
        <f>'Jul11'!$E$147</f>
        <v>0</v>
      </c>
      <c r="BG52" s="108">
        <f>'Jul11'!$E$152</f>
        <v>0</v>
      </c>
      <c r="BH52" s="45">
        <f>'Jun11'!$E$138</f>
        <v>0</v>
      </c>
      <c r="BI52" s="108">
        <f>'Jun11'!$E$143</f>
        <v>0</v>
      </c>
      <c r="BJ52" s="45">
        <f>'May11'!$E$138</f>
        <v>0</v>
      </c>
      <c r="BK52" s="108">
        <f>'May11'!$E$143</f>
        <v>0</v>
      </c>
      <c r="BL52" s="45">
        <f>'Apr11'!$E$138</f>
        <v>0</v>
      </c>
      <c r="BM52" s="108">
        <f>'Apr11'!$E$143</f>
        <v>0</v>
      </c>
    </row>
    <row r="53" spans="1:65" s="46" customFormat="1" ht="13.5" thickBot="1">
      <c r="A53" s="186">
        <v>48</v>
      </c>
      <c r="B53" s="47"/>
      <c r="C53" s="66" t="s">
        <v>289</v>
      </c>
      <c r="D53" s="58"/>
      <c r="E53" s="58"/>
      <c r="F53" s="58"/>
      <c r="G53" s="72">
        <f t="shared" ref="G53:K53" si="216">SUM(G50:G52)</f>
        <v>7901.3899999999994</v>
      </c>
      <c r="H53" s="107">
        <f t="shared" si="216"/>
        <v>4544000</v>
      </c>
      <c r="I53" s="100">
        <f t="shared" ref="I53" si="217">SUM(I50:I52)</f>
        <v>3950.6949999999997</v>
      </c>
      <c r="J53" s="107">
        <f t="shared" si="216"/>
        <v>2272000</v>
      </c>
      <c r="K53" s="107">
        <f t="shared" si="216"/>
        <v>189333.33333333331</v>
      </c>
      <c r="L53" s="72">
        <f t="shared" ref="L53:N53" si="218">SUM(L50:L52)</f>
        <v>7226.45</v>
      </c>
      <c r="M53" s="107">
        <f t="shared" si="218"/>
        <v>3019000</v>
      </c>
      <c r="N53" s="107">
        <f t="shared" si="218"/>
        <v>251585</v>
      </c>
      <c r="O53" s="72">
        <f t="shared" ref="O53:Q53" si="219">SUM(O50:O52)</f>
        <v>674.94</v>
      </c>
      <c r="P53" s="107">
        <f t="shared" si="219"/>
        <v>1525000</v>
      </c>
      <c r="Q53" s="107">
        <f t="shared" si="219"/>
        <v>127084</v>
      </c>
      <c r="R53" s="72">
        <f t="shared" ref="R53:S53" si="220">SUM(R50:R52)</f>
        <v>0</v>
      </c>
      <c r="S53" s="107">
        <f t="shared" si="220"/>
        <v>0</v>
      </c>
      <c r="T53" s="72">
        <f t="shared" ref="T53:AA53" si="221">SUM(T50:T52)</f>
        <v>0</v>
      </c>
      <c r="U53" s="107">
        <f t="shared" si="221"/>
        <v>0</v>
      </c>
      <c r="V53" s="72">
        <f t="shared" si="221"/>
        <v>0</v>
      </c>
      <c r="W53" s="107">
        <f t="shared" si="221"/>
        <v>0</v>
      </c>
      <c r="X53" s="72">
        <f t="shared" si="221"/>
        <v>0</v>
      </c>
      <c r="Y53" s="107">
        <f t="shared" si="221"/>
        <v>0</v>
      </c>
      <c r="Z53" s="72">
        <f t="shared" si="221"/>
        <v>0</v>
      </c>
      <c r="AA53" s="107">
        <f t="shared" si="221"/>
        <v>0</v>
      </c>
      <c r="AB53" s="72">
        <f t="shared" ref="AB53:BM53" si="222">SUM(AB50:AB52)</f>
        <v>332.97</v>
      </c>
      <c r="AC53" s="107">
        <f t="shared" si="222"/>
        <v>125000</v>
      </c>
      <c r="AD53" s="72">
        <f t="shared" si="222"/>
        <v>0</v>
      </c>
      <c r="AE53" s="107">
        <f t="shared" si="222"/>
        <v>0</v>
      </c>
      <c r="AF53" s="72">
        <f t="shared" si="222"/>
        <v>341.97</v>
      </c>
      <c r="AG53" s="107">
        <f t="shared" si="222"/>
        <v>1400000</v>
      </c>
      <c r="AH53" s="72">
        <f t="shared" si="222"/>
        <v>0</v>
      </c>
      <c r="AI53" s="107">
        <f t="shared" si="222"/>
        <v>0</v>
      </c>
      <c r="AJ53" s="72">
        <f t="shared" si="222"/>
        <v>0</v>
      </c>
      <c r="AK53" s="107">
        <f t="shared" si="222"/>
        <v>0</v>
      </c>
      <c r="AL53" s="72">
        <f t="shared" si="222"/>
        <v>0</v>
      </c>
      <c r="AM53" s="107">
        <f t="shared" si="222"/>
        <v>0</v>
      </c>
      <c r="AN53" s="72">
        <f t="shared" si="222"/>
        <v>0</v>
      </c>
      <c r="AO53" s="107">
        <f t="shared" si="222"/>
        <v>0</v>
      </c>
      <c r="AP53" s="72">
        <f t="shared" si="222"/>
        <v>0</v>
      </c>
      <c r="AQ53" s="107">
        <f t="shared" si="222"/>
        <v>0</v>
      </c>
      <c r="AR53" s="72">
        <f t="shared" si="222"/>
        <v>0</v>
      </c>
      <c r="AS53" s="107">
        <f t="shared" si="222"/>
        <v>0</v>
      </c>
      <c r="AT53" s="72">
        <f t="shared" si="222"/>
        <v>0</v>
      </c>
      <c r="AU53" s="107">
        <f t="shared" si="222"/>
        <v>0</v>
      </c>
      <c r="AV53" s="72">
        <f t="shared" si="222"/>
        <v>0</v>
      </c>
      <c r="AW53" s="107">
        <f t="shared" si="222"/>
        <v>0</v>
      </c>
      <c r="AX53" s="72">
        <f t="shared" si="222"/>
        <v>0</v>
      </c>
      <c r="AY53" s="107">
        <f t="shared" si="222"/>
        <v>0</v>
      </c>
      <c r="AZ53" s="72">
        <f t="shared" si="222"/>
        <v>2634.5299999999993</v>
      </c>
      <c r="BA53" s="107">
        <f t="shared" si="222"/>
        <v>444000</v>
      </c>
      <c r="BB53" s="72">
        <f t="shared" si="222"/>
        <v>1925.81</v>
      </c>
      <c r="BC53" s="107">
        <f t="shared" si="222"/>
        <v>1491000</v>
      </c>
      <c r="BD53" s="72">
        <f t="shared" si="222"/>
        <v>2666.1099999999997</v>
      </c>
      <c r="BE53" s="107">
        <f t="shared" si="222"/>
        <v>1084000</v>
      </c>
      <c r="BF53" s="72">
        <f t="shared" si="222"/>
        <v>0</v>
      </c>
      <c r="BG53" s="107">
        <f t="shared" si="222"/>
        <v>0</v>
      </c>
      <c r="BH53" s="72">
        <f t="shared" si="222"/>
        <v>0</v>
      </c>
      <c r="BI53" s="107">
        <f t="shared" si="222"/>
        <v>0</v>
      </c>
      <c r="BJ53" s="72">
        <f t="shared" si="222"/>
        <v>0</v>
      </c>
      <c r="BK53" s="107">
        <f t="shared" si="222"/>
        <v>0</v>
      </c>
      <c r="BL53" s="72">
        <f t="shared" si="222"/>
        <v>0</v>
      </c>
      <c r="BM53" s="107">
        <f t="shared" si="222"/>
        <v>0</v>
      </c>
    </row>
    <row r="54" spans="1:65" s="46" customFormat="1" ht="13.5" thickTop="1">
      <c r="A54" s="186">
        <v>49</v>
      </c>
      <c r="B54" s="47"/>
      <c r="C54" s="66"/>
      <c r="D54" s="58"/>
      <c r="E54" s="58"/>
      <c r="F54" s="58"/>
      <c r="G54" s="58"/>
      <c r="H54" s="58"/>
      <c r="I54" s="184"/>
      <c r="J54" s="58"/>
      <c r="K54" s="58"/>
      <c r="L54" s="58"/>
      <c r="M54" s="58"/>
      <c r="N54" s="58"/>
      <c r="O54" s="58"/>
      <c r="P54" s="58"/>
      <c r="Q54" s="58"/>
      <c r="R54" s="104"/>
      <c r="S54" s="113"/>
      <c r="T54" s="104"/>
      <c r="U54" s="113"/>
      <c r="V54" s="104"/>
      <c r="W54" s="113"/>
      <c r="X54" s="104"/>
      <c r="Y54" s="113"/>
      <c r="Z54" s="104"/>
      <c r="AA54" s="113"/>
      <c r="AB54" s="104"/>
      <c r="AC54" s="113"/>
      <c r="AD54" s="104"/>
      <c r="AE54" s="113"/>
      <c r="AF54" s="104"/>
      <c r="AG54" s="113"/>
      <c r="AH54" s="104"/>
      <c r="AI54" s="113"/>
      <c r="AJ54" s="104"/>
      <c r="AK54" s="113"/>
      <c r="AL54" s="104"/>
      <c r="AM54" s="113"/>
      <c r="AN54" s="104"/>
      <c r="AO54" s="113"/>
      <c r="AP54" s="104"/>
      <c r="AQ54" s="113"/>
      <c r="AR54" s="104"/>
      <c r="AS54" s="113"/>
      <c r="AT54" s="104"/>
      <c r="AU54" s="113"/>
      <c r="AV54" s="104"/>
      <c r="AW54" s="113"/>
      <c r="AX54" s="104"/>
      <c r="AY54" s="113"/>
      <c r="AZ54" s="104"/>
      <c r="BA54" s="113"/>
      <c r="BB54" s="104"/>
      <c r="BC54" s="113"/>
      <c r="BD54" s="104"/>
      <c r="BE54" s="113"/>
      <c r="BF54" s="104"/>
      <c r="BG54" s="113"/>
      <c r="BH54" s="104"/>
      <c r="BI54" s="113"/>
      <c r="BJ54" s="104"/>
      <c r="BK54" s="113"/>
      <c r="BL54" s="104"/>
      <c r="BM54" s="113"/>
    </row>
    <row r="55" spans="1:65" s="46" customFormat="1">
      <c r="A55" s="186">
        <v>50</v>
      </c>
      <c r="B55" s="47"/>
      <c r="C55" s="112" t="s">
        <v>296</v>
      </c>
      <c r="D55" s="58"/>
      <c r="E55" s="58"/>
      <c r="F55" s="58"/>
      <c r="G55" s="58"/>
      <c r="H55" s="58"/>
      <c r="I55" s="184"/>
      <c r="J55" s="58"/>
      <c r="K55" s="58"/>
      <c r="L55" s="58"/>
      <c r="M55" s="58"/>
      <c r="N55" s="58"/>
      <c r="O55" s="58"/>
      <c r="P55" s="58"/>
      <c r="Q55" s="58"/>
      <c r="R55" s="45">
        <f t="shared" ref="R55" si="223">(R47+T47+V47+X47+Z47+AB47+AD47+AF47+AH47+AJ47+AL47+AN47)/12</f>
        <v>7912.6375000000035</v>
      </c>
      <c r="S55" s="108">
        <f t="shared" ref="S55" si="224">(S47+U47+W47+Y47+AA47+AC47+AE47+AG47+AI47+AK47+AM47+AO47)/12</f>
        <v>1917666.6666666667</v>
      </c>
      <c r="T55" s="45">
        <f t="shared" ref="T55" si="225">(T47+V47+X47+Z47+AB47+AD47+AF47+AH47+AJ47+AL47+AN47+AP47)/12</f>
        <v>7912.6375000000035</v>
      </c>
      <c r="U55" s="108">
        <f t="shared" ref="U55" si="226">(U47+W47+Y47+AA47+AC47+AE47+AG47+AI47+AK47+AM47+AO47+AQ47)/12</f>
        <v>1917666.6666666667</v>
      </c>
      <c r="V55" s="45">
        <f t="shared" ref="V55" si="227">(V47+X47+Z47+AB47+AD47+AF47+AH47+AJ47+AL47+AN47+AP47+AR47)/12</f>
        <v>7912.6375000000044</v>
      </c>
      <c r="W55" s="108">
        <f t="shared" ref="W55" si="228">(W47+Y47+AA47+AC47+AE47+AG47+AI47+AK47+AM47+AO47+AQ47+AS47)/12</f>
        <v>1917666.6666666667</v>
      </c>
      <c r="X55" s="45">
        <f t="shared" ref="X55" si="229">(X47+Z47+AB47+AD47+AF47+AH47+AJ47+AL47+AN47+AP47+AR47+AT47)/12</f>
        <v>7912.6375000000044</v>
      </c>
      <c r="Y55" s="108">
        <f t="shared" ref="Y55" si="230">(Y47+AA47+AC47+AE47+AG47+AI47+AK47+AM47+AO47+AQ47+AS47+AU47)/12</f>
        <v>1917666.6666666667</v>
      </c>
      <c r="Z55" s="45">
        <f t="shared" ref="Z55" si="231">(Z47+AB47+AD47+AF47+AH47+AJ47+AL47+AN47+AP47+AR47+AT47+AV47)/12</f>
        <v>7912.6375000000044</v>
      </c>
      <c r="AA55" s="108">
        <f t="shared" ref="AA55" si="232">(AA47+AC47+AE47+AG47+AI47+AK47+AM47+AO47+AQ47+AS47+AU47+AW47)/12</f>
        <v>1917666.6666666667</v>
      </c>
      <c r="AB55" s="45">
        <f t="shared" ref="AB55:AQ55" si="233">(AB47+AD47+AF47+AH47+AJ47+AL47+AN47+AP47+AR47+AT47+AV47+AX47)/12</f>
        <v>7912.6375000000044</v>
      </c>
      <c r="AC55" s="108">
        <f t="shared" si="233"/>
        <v>1917666.6666666667</v>
      </c>
      <c r="AD55" s="45">
        <f t="shared" si="233"/>
        <v>7969.51166666667</v>
      </c>
      <c r="AE55" s="108">
        <f t="shared" si="233"/>
        <v>1947500</v>
      </c>
      <c r="AF55" s="45">
        <f t="shared" si="233"/>
        <v>8109.2841666666709</v>
      </c>
      <c r="AG55" s="108">
        <f t="shared" si="233"/>
        <v>2015850</v>
      </c>
      <c r="AH55" s="45">
        <f t="shared" si="233"/>
        <v>7933.9425000000037</v>
      </c>
      <c r="AI55" s="108">
        <f t="shared" si="233"/>
        <v>1981008.3333333333</v>
      </c>
      <c r="AJ55" s="45">
        <f t="shared" si="233"/>
        <v>7890.3208333333378</v>
      </c>
      <c r="AK55" s="108">
        <f t="shared" si="233"/>
        <v>1990791.6666666667</v>
      </c>
      <c r="AL55" s="45">
        <f t="shared" si="233"/>
        <v>7342.247500000004</v>
      </c>
      <c r="AM55" s="108">
        <f t="shared" si="233"/>
        <v>1828091.6666666667</v>
      </c>
      <c r="AN55" s="45">
        <f t="shared" si="233"/>
        <v>7088.999166666671</v>
      </c>
      <c r="AO55" s="108">
        <f t="shared" si="233"/>
        <v>1737825</v>
      </c>
      <c r="AP55" s="45">
        <f t="shared" si="233"/>
        <v>6901.2400000000043</v>
      </c>
      <c r="AQ55" s="108">
        <f t="shared" si="233"/>
        <v>1682966.6666666667</v>
      </c>
      <c r="AR55" s="45"/>
      <c r="AS55" s="108"/>
      <c r="AT55" s="45"/>
      <c r="AU55" s="108"/>
      <c r="AV55" s="45"/>
      <c r="AW55" s="108"/>
      <c r="AX55" s="45"/>
      <c r="AY55" s="108"/>
      <c r="AZ55" s="45"/>
      <c r="BA55" s="108"/>
    </row>
    <row r="56" spans="1:65" s="46" customFormat="1">
      <c r="A56" s="186"/>
      <c r="B56" s="47"/>
      <c r="C56" s="65" t="s">
        <v>295</v>
      </c>
      <c r="D56" s="58"/>
      <c r="E56" s="58"/>
      <c r="F56" s="58"/>
      <c r="G56" s="58"/>
      <c r="H56" s="58"/>
      <c r="I56" s="184"/>
      <c r="J56" s="58"/>
      <c r="K56" s="58"/>
      <c r="N56" s="58"/>
      <c r="O56" s="58"/>
      <c r="P56" s="58"/>
      <c r="Q56" s="58"/>
      <c r="R56" s="45"/>
      <c r="S56" s="45"/>
      <c r="T56" s="45"/>
      <c r="U56" s="45"/>
      <c r="V56" s="45"/>
      <c r="W56" s="45"/>
      <c r="X56" s="45"/>
      <c r="Y56" s="45"/>
      <c r="Z56" s="45"/>
      <c r="AA56" s="112"/>
      <c r="AC56" s="95"/>
    </row>
    <row r="57" spans="1:65">
      <c r="A57" s="186"/>
    </row>
    <row r="58" spans="1:65">
      <c r="A58" s="186"/>
      <c r="C58" s="58" t="s">
        <v>409</v>
      </c>
      <c r="E58" s="217">
        <f>SUM(G58:AY58)</f>
        <v>21216000</v>
      </c>
      <c r="Y58" s="216"/>
      <c r="AA58" s="216">
        <f>AA33</f>
        <v>834700</v>
      </c>
      <c r="AC58" s="216">
        <f>AC33</f>
        <v>1272000</v>
      </c>
      <c r="AE58" s="216">
        <f>AE33</f>
        <v>2492300</v>
      </c>
      <c r="AG58" s="216">
        <f>AG33</f>
        <v>3267000</v>
      </c>
      <c r="AI58" s="216">
        <f>AI33</f>
        <v>2875700</v>
      </c>
      <c r="AK58" s="216">
        <f>AK33</f>
        <v>3759500</v>
      </c>
      <c r="AM58" s="216">
        <f>AM33</f>
        <v>1876700</v>
      </c>
      <c r="AO58" s="216">
        <f>AO33</f>
        <v>1835000.0000000002</v>
      </c>
      <c r="AQ58" s="216">
        <f>AQ33</f>
        <v>756000</v>
      </c>
      <c r="AS58" s="216">
        <f>AS33</f>
        <v>756000</v>
      </c>
      <c r="AU58" s="216">
        <f>AU33</f>
        <v>756000</v>
      </c>
      <c r="AW58" s="216">
        <f>AW33</f>
        <v>735100</v>
      </c>
      <c r="AY58" s="216"/>
    </row>
    <row r="59" spans="1:65">
      <c r="A59" s="186"/>
      <c r="C59" s="58" t="s">
        <v>410</v>
      </c>
      <c r="E59" s="217">
        <f>SUM(G59:AY59)</f>
        <v>1796000</v>
      </c>
      <c r="L59" s="192"/>
      <c r="M59" s="192"/>
      <c r="Y59" s="216"/>
      <c r="AA59" s="216">
        <f>AA41</f>
        <v>85000</v>
      </c>
      <c r="AC59" s="216">
        <f>AC41</f>
        <v>38000</v>
      </c>
      <c r="AE59" s="216">
        <f>AE41</f>
        <v>108000</v>
      </c>
      <c r="AG59" s="216">
        <f>AG41</f>
        <v>100000</v>
      </c>
      <c r="AI59" s="216">
        <f>AI41</f>
        <v>97000</v>
      </c>
      <c r="AK59" s="216">
        <f>AK41</f>
        <v>241000</v>
      </c>
      <c r="AM59" s="216">
        <f>AM41</f>
        <v>190000</v>
      </c>
      <c r="AO59" s="216">
        <f>AO41</f>
        <v>202000</v>
      </c>
      <c r="AQ59" s="216">
        <f>AQ41</f>
        <v>181000</v>
      </c>
      <c r="AS59" s="216">
        <f>AS41</f>
        <v>181000</v>
      </c>
      <c r="AU59" s="216">
        <f>AU41</f>
        <v>181000</v>
      </c>
      <c r="AW59" s="216">
        <f>AW41</f>
        <v>192000</v>
      </c>
      <c r="AY59" s="216"/>
    </row>
    <row r="60" spans="1:65" ht="13.5" thickBot="1">
      <c r="A60" s="186"/>
      <c r="C60" s="58" t="s">
        <v>411</v>
      </c>
      <c r="E60" s="218">
        <f>E58+E59</f>
        <v>23012000</v>
      </c>
      <c r="AA60" s="216">
        <f>SUM(AA58:AA59)</f>
        <v>919700</v>
      </c>
      <c r="AC60" s="216">
        <f>SUM(AC58:AC59)</f>
        <v>1310000</v>
      </c>
      <c r="AE60" s="216">
        <f>SUM(AE58:AE59)</f>
        <v>2600300</v>
      </c>
      <c r="AG60" s="216">
        <f>SUM(AG58:AG59)</f>
        <v>3367000</v>
      </c>
      <c r="AI60" s="216">
        <f>SUM(AI58:AI59)</f>
        <v>2972700</v>
      </c>
      <c r="AK60" s="216">
        <f>SUM(AK58:AK59)</f>
        <v>4000500</v>
      </c>
      <c r="AM60" s="216">
        <f>SUM(AM58:AM59)</f>
        <v>2066700</v>
      </c>
      <c r="AO60" s="216">
        <f>SUM(AO58:AO59)</f>
        <v>2037000.0000000002</v>
      </c>
      <c r="AQ60" s="216">
        <f>SUM(AQ58:AQ59)</f>
        <v>937000</v>
      </c>
      <c r="AS60" s="216">
        <f>SUM(AS58:AS59)</f>
        <v>937000</v>
      </c>
      <c r="AU60" s="216">
        <f>SUM(AU58:AU59)</f>
        <v>937000</v>
      </c>
      <c r="AW60" s="216">
        <f>SUM(AW58:AW59)</f>
        <v>927100</v>
      </c>
    </row>
    <row r="61" spans="1:65" ht="13.5" thickTop="1"/>
  </sheetData>
  <mergeCells count="38">
    <mergeCell ref="BF3:BG3"/>
    <mergeCell ref="AT3:AU3"/>
    <mergeCell ref="BL3:BM3"/>
    <mergeCell ref="A3:A5"/>
    <mergeCell ref="B3:C5"/>
    <mergeCell ref="AP3:AQ3"/>
    <mergeCell ref="AP4:AQ4"/>
    <mergeCell ref="AR4:AS4"/>
    <mergeCell ref="AT4:AU4"/>
    <mergeCell ref="BJ3:BK3"/>
    <mergeCell ref="O3:Q3"/>
    <mergeCell ref="L3:N3"/>
    <mergeCell ref="G3:K3"/>
    <mergeCell ref="AX3:AY3"/>
    <mergeCell ref="AZ3:BA3"/>
    <mergeCell ref="BB3:BC3"/>
    <mergeCell ref="BD3:BE3"/>
    <mergeCell ref="Z4:AA4"/>
    <mergeCell ref="BH3:BI3"/>
    <mergeCell ref="R3:S3"/>
    <mergeCell ref="T3:U3"/>
    <mergeCell ref="V3:W3"/>
    <mergeCell ref="AV3:AW3"/>
    <mergeCell ref="X3:Y3"/>
    <mergeCell ref="Z3:AA3"/>
    <mergeCell ref="AB3:AC3"/>
    <mergeCell ref="AD3:AE3"/>
    <mergeCell ref="AF3:AG3"/>
    <mergeCell ref="AH3:AI3"/>
    <mergeCell ref="AJ3:AK3"/>
    <mergeCell ref="AL3:AM3"/>
    <mergeCell ref="AN3:AO3"/>
    <mergeCell ref="AR3:AS3"/>
    <mergeCell ref="C1:C2"/>
    <mergeCell ref="R4:S4"/>
    <mergeCell ref="T4:U4"/>
    <mergeCell ref="V4:W4"/>
    <mergeCell ref="X4:Y4"/>
  </mergeCells>
  <pageMargins left="0.7" right="0.7" top="0.75" bottom="0.75" header="0.3" footer="0.3"/>
  <pageSetup paperSize="119" scale="39" fitToWidth="2" orientation="landscape" horizontalDpi="4294967293" r:id="rId1"/>
  <headerFooter>
    <oddHeader>&amp;LHi-Country
Customer Usage Summary</oddHeader>
    <oddFooter>&amp;L&amp;A
&amp;F&amp;Rpage &amp;P of &amp;N</oddFooter>
  </headerFooter>
  <colBreaks count="5" manualBreakCount="5">
    <brk id="14" max="1048575" man="1"/>
    <brk id="25" max="1048575" man="1"/>
    <brk id="37" max="1048575" man="1"/>
    <brk id="49" max="1048575" man="1"/>
    <brk id="61" max="1048575" man="1"/>
  </col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161"/>
  <sheetViews>
    <sheetView zoomScale="90" zoomScaleNormal="90" zoomScalePageLayoutView="25"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7" ht="46.5">
      <c r="A1" s="2" t="s">
        <v>141</v>
      </c>
    </row>
    <row r="2" spans="1:17" ht="28.5">
      <c r="A2" s="3" t="s">
        <v>142</v>
      </c>
    </row>
    <row r="4" spans="1:17">
      <c r="A4" s="1" t="s">
        <v>143</v>
      </c>
      <c r="B4" s="23">
        <v>41183</v>
      </c>
      <c r="D4" s="1" t="s">
        <v>146</v>
      </c>
      <c r="G4" s="1" t="s">
        <v>156</v>
      </c>
      <c r="J4" s="1" t="s">
        <v>163</v>
      </c>
      <c r="K4" s="5">
        <v>42.19</v>
      </c>
      <c r="M4" s="1" t="s">
        <v>164</v>
      </c>
      <c r="N4" s="5">
        <v>12.41</v>
      </c>
      <c r="O4" s="1" t="s">
        <v>149</v>
      </c>
      <c r="P4" s="1">
        <f>SUM(F11:F136)</f>
        <v>1307000</v>
      </c>
      <c r="Q4" s="1">
        <f>P4/90</f>
        <v>14522.222222222223</v>
      </c>
    </row>
    <row r="5" spans="1:17">
      <c r="A5" s="1" t="s">
        <v>165</v>
      </c>
      <c r="B5" s="24">
        <v>41213</v>
      </c>
      <c r="D5" s="1" t="s">
        <v>144</v>
      </c>
      <c r="E5" s="1">
        <v>0</v>
      </c>
      <c r="G5" s="1" t="s">
        <v>155</v>
      </c>
      <c r="H5" s="1">
        <v>1</v>
      </c>
      <c r="J5" s="1" t="s">
        <v>166</v>
      </c>
      <c r="K5" s="5">
        <v>2.2999999999999998</v>
      </c>
      <c r="M5" s="1" t="s">
        <v>6</v>
      </c>
      <c r="N5" s="5">
        <v>185</v>
      </c>
      <c r="O5" s="1" t="s">
        <v>154</v>
      </c>
      <c r="P5" s="1">
        <f>P4-F16</f>
        <v>1272000</v>
      </c>
    </row>
    <row r="6" spans="1:17">
      <c r="B6" s="4"/>
      <c r="D6" s="1" t="s">
        <v>145</v>
      </c>
      <c r="E6" s="1">
        <v>0</v>
      </c>
      <c r="G6" s="1" t="s">
        <v>158</v>
      </c>
      <c r="H6" s="91">
        <v>10000</v>
      </c>
      <c r="J6" s="1" t="s">
        <v>167</v>
      </c>
      <c r="K6" s="5">
        <v>2.67</v>
      </c>
      <c r="M6" s="1" t="s">
        <v>168</v>
      </c>
      <c r="N6" s="5">
        <v>1.99</v>
      </c>
      <c r="O6" s="1" t="s">
        <v>160</v>
      </c>
      <c r="P6" s="1">
        <f>SUMIF(F11:F15,"&gt;" &amp; $H$6)+SUMIF(F17:F136,"&gt;" &amp; $H$6)+SUMIF(F16,"&gt;" &amp; $H$7)</f>
        <v>1053000</v>
      </c>
    </row>
    <row r="7" spans="1:17">
      <c r="B7" s="4"/>
      <c r="D7" s="1" t="s">
        <v>150</v>
      </c>
      <c r="E7" s="12">
        <v>0</v>
      </c>
      <c r="G7" s="1" t="s">
        <v>159</v>
      </c>
      <c r="H7" s="204">
        <v>10000</v>
      </c>
      <c r="J7" s="1" t="s">
        <v>169</v>
      </c>
      <c r="K7" s="5">
        <v>3.1</v>
      </c>
      <c r="M7" s="1" t="s">
        <v>170</v>
      </c>
      <c r="N7" s="5">
        <v>1755</v>
      </c>
      <c r="O7" s="1" t="s">
        <v>161</v>
      </c>
      <c r="P7" s="1">
        <f>(SUMIF(F11:F15,"&gt;" &amp; $H$6)-(COUNTIF(F11:F15,"&gt;" &amp; $H$6)*$H$6))+(SUMIF(F17:F136,"&gt;" &amp; $H$6)-(COUNTIF(F17:F136,"&gt;" &amp; $H$6)*$H$6))+(SUMIF(F16,"&gt;" &amp; $H$7)-(COUNTIF(F16,"&gt;" &amp; $H$7)*$H$7))</f>
        <v>633000</v>
      </c>
    </row>
    <row r="8" spans="1:17">
      <c r="D8" s="1" t="s">
        <v>147</v>
      </c>
      <c r="E8" s="25">
        <v>332.97</v>
      </c>
      <c r="H8" s="6"/>
      <c r="J8" s="1" t="s">
        <v>171</v>
      </c>
      <c r="K8" s="5">
        <v>3.6</v>
      </c>
    </row>
    <row r="9" spans="1:17">
      <c r="D9" s="1" t="s">
        <v>204</v>
      </c>
    </row>
    <row r="10" spans="1:17">
      <c r="A10" s="7" t="s">
        <v>0</v>
      </c>
      <c r="B10" s="10" t="s">
        <v>137</v>
      </c>
      <c r="C10" s="13" t="s">
        <v>195</v>
      </c>
      <c r="D10" s="26" t="s">
        <v>205</v>
      </c>
      <c r="E10" s="10" t="s">
        <v>140</v>
      </c>
      <c r="F10" s="10" t="s">
        <v>157</v>
      </c>
      <c r="G10" s="21" t="s">
        <v>132</v>
      </c>
      <c r="H10" s="21" t="s">
        <v>128</v>
      </c>
      <c r="I10" s="21" t="s">
        <v>129</v>
      </c>
      <c r="J10" s="22" t="s">
        <v>130</v>
      </c>
      <c r="K10" s="22" t="s">
        <v>131</v>
      </c>
      <c r="L10" s="22" t="s">
        <v>162</v>
      </c>
      <c r="M10" s="22" t="s">
        <v>148</v>
      </c>
      <c r="N10" s="22" t="s">
        <v>135</v>
      </c>
      <c r="O10" s="9" t="s">
        <v>127</v>
      </c>
    </row>
    <row r="11" spans="1:17">
      <c r="A11" s="1" t="s">
        <v>1</v>
      </c>
      <c r="B11" s="11"/>
      <c r="C11" s="11">
        <v>9515000</v>
      </c>
      <c r="D11" s="11">
        <v>9665000</v>
      </c>
      <c r="E11" s="11">
        <v>0</v>
      </c>
      <c r="F11" s="11">
        <v>26000</v>
      </c>
      <c r="G11" s="17">
        <f>IF(OR($F11&gt;0,$B11=""),$K$4,$N$4)</f>
        <v>42.19</v>
      </c>
      <c r="H11" s="17">
        <f>IF(AND((($F11-10000)&gt;=0),(($F11-10000)&lt;= 10000)),($F11-10000)/1000*$K$5,IF(($F11-10000)&gt;=10000,$K$5*10,0))</f>
        <v>23</v>
      </c>
      <c r="I11" s="17">
        <f>IF(AND((($F11-20000)&gt;=0),(($F11-20000)&lt;=10000)),($F11-20000)/1000*$K$6,IF(($F11-20000)&gt;=10000,$K$6*10,0))</f>
        <v>16.02</v>
      </c>
      <c r="J11" s="18">
        <f>IF(AND((($F11-30000)&gt;=0),(($F11-30000)&lt;=10000)),($F11-30000)/1000*$K$7,IF(($F11-30000)&gt;=10000,$K$7*10,0))</f>
        <v>0</v>
      </c>
      <c r="K11" s="18">
        <f>IF((($F11-40000)&gt;=0),($F11-40000)/1000*$K$8,0)</f>
        <v>0</v>
      </c>
      <c r="L11" s="18">
        <f>SUM(G11:K11)</f>
        <v>81.209999999999994</v>
      </c>
      <c r="M11" s="18">
        <f>IF(   $H$5=1,    IF((F11-$H$6)&gt;0,((F11-$H$6)/$P$7)*$E$8,0),   IF(F11&gt;0,(F11/$P$4)*$E$8,0)    )</f>
        <v>8.4163033175355455</v>
      </c>
      <c r="N11" s="18">
        <f>SUM(L11:M11)</f>
        <v>89.626303317535545</v>
      </c>
      <c r="O11" s="8"/>
    </row>
    <row r="12" spans="1:17">
      <c r="A12" s="1" t="s">
        <v>2</v>
      </c>
      <c r="B12" s="11"/>
      <c r="C12" s="11">
        <v>7052000</v>
      </c>
      <c r="D12" s="11">
        <v>7052000</v>
      </c>
      <c r="E12" s="11">
        <v>0</v>
      </c>
      <c r="F12" s="11">
        <f t="shared" ref="F12:F75" si="0">($D12-$C12)+$E12</f>
        <v>0</v>
      </c>
      <c r="G12" s="17">
        <f>IF(OR($F12&gt;0,$B12=""),$K$4,$N$4)</f>
        <v>42.19</v>
      </c>
      <c r="H12" s="17">
        <f>IF(AND((($F12-10000)&gt;=0),(($F12-10000)&lt;= 10000)),($F12-10000)/1000*$K$5,IF(($F12-10000)&gt;=10000,$K$5*10,0))</f>
        <v>0</v>
      </c>
      <c r="I12" s="17">
        <f>IF(AND((($F12-20000)&gt;=0),(($F12-20000)&lt;=10000)),($F12-20000)/1000*$K$6,IF(($F12-20000)&gt;=10000,$K$6*10,0))</f>
        <v>0</v>
      </c>
      <c r="J12" s="18">
        <f>IF(AND((($F12-30000)&gt;=0),(($F12-30000)&lt;=10000)),($F12-30000)/1000*$K$7,IF(($F12-30000)&gt;=10000,$K$7*10,0))</f>
        <v>0</v>
      </c>
      <c r="K12" s="18">
        <f>IF((($F12-40000)&gt;=0),($F12-40000)/1000*$K$8,0)</f>
        <v>0</v>
      </c>
      <c r="L12" s="18">
        <f t="shared" ref="L12:L75" si="1">SUM(G12:K12)</f>
        <v>42.19</v>
      </c>
      <c r="M12" s="18">
        <f>IF(   $H$5=1,    IF((F12-$H$6)&gt;0,((F12-$H$6)/$P$7)*$E$8,0),   IF(F12&gt;0,(F12/$P$4)*$E$8,0)    )</f>
        <v>0</v>
      </c>
      <c r="N12" s="18">
        <f t="shared" ref="N12:N75" si="2">SUM(L12:M12)</f>
        <v>42.19</v>
      </c>
      <c r="O12" s="8"/>
    </row>
    <row r="13" spans="1:17">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IF((F13-$H$6)&gt;0,((F13-$H$6)/$P$7)*$E$8,0),   IF(F13&gt;0,(F13/$P$4)*$E$8,0)    )</f>
        <v>0</v>
      </c>
      <c r="N13" s="18">
        <f t="shared" si="2"/>
        <v>42.19</v>
      </c>
      <c r="O13" s="8" t="s">
        <v>134</v>
      </c>
    </row>
    <row r="14" spans="1:17">
      <c r="A14" s="1" t="s">
        <v>4</v>
      </c>
      <c r="B14" s="11"/>
      <c r="C14" s="11">
        <v>3718000</v>
      </c>
      <c r="D14" s="11">
        <v>3718000</v>
      </c>
      <c r="E14" s="11">
        <v>0</v>
      </c>
      <c r="F14" s="11">
        <f t="shared" si="0"/>
        <v>0</v>
      </c>
      <c r="G14" s="17">
        <f>IF(OR($F14&gt;0,$B14=""),$K$4,$N$4)</f>
        <v>42.19</v>
      </c>
      <c r="H14" s="17">
        <f>IF(AND((($F14-10000)&gt;=0),(($F14-10000)&lt;= 10000)),($F14-10000)/1000*$K$5,IF(($F14-10000)&gt;=10000,$K$5*10,0))</f>
        <v>0</v>
      </c>
      <c r="I14" s="17">
        <f>IF(AND((($F14-20000)&gt;=0),(($F14-20000)&lt;=10000)),($F14-20000)/1000*$K$6,IF(($F14-20000)&gt;=10000,$K$6*10,0))</f>
        <v>0</v>
      </c>
      <c r="J14" s="18">
        <f>IF(AND((($F14-30000)&gt;=0),(($F14-30000)&lt;=10000)),($F14-30000)/1000*$K$7,IF(($F14-30000)&gt;=10000,$K$7*10,0))</f>
        <v>0</v>
      </c>
      <c r="K14" s="18">
        <f>IF((($F14-40000)&gt;=0),($F14-40000)/1000*$K$8,0)</f>
        <v>0</v>
      </c>
      <c r="L14" s="18">
        <f t="shared" si="1"/>
        <v>42.19</v>
      </c>
      <c r="M14" s="18">
        <f>IF(   $H$5=1,    IF((F14-$H$6)&gt;0,((F14-$H$6)/$P$7)*$E$8,0),   IF(F14&gt;0,(F14/$P$4)*$E$8,0)    )</f>
        <v>0</v>
      </c>
      <c r="N14" s="18">
        <f t="shared" si="2"/>
        <v>42.19</v>
      </c>
      <c r="O14" s="8"/>
    </row>
    <row r="15" spans="1:17">
      <c r="A15" s="1" t="s">
        <v>5</v>
      </c>
      <c r="B15" s="11"/>
      <c r="C15" s="11">
        <v>2944000</v>
      </c>
      <c r="D15" s="11">
        <v>3011000</v>
      </c>
      <c r="E15" s="11">
        <v>0</v>
      </c>
      <c r="F15" s="11">
        <f t="shared" si="0"/>
        <v>67000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97.2</v>
      </c>
      <c r="L15" s="18">
        <f t="shared" si="1"/>
        <v>220.09</v>
      </c>
      <c r="M15" s="18">
        <f>IF(   $H$5=1,    IF((F15-$H$6)&gt;0,((F15-$H$6)/$P$7)*$E$8,0),   IF(F15&gt;0,(F15/$P$4)*$E$8,0)    )</f>
        <v>29.983080568720382</v>
      </c>
      <c r="N15" s="18">
        <f t="shared" si="2"/>
        <v>250.0730805687204</v>
      </c>
      <c r="O15" s="8"/>
    </row>
    <row r="16" spans="1:17">
      <c r="A16" s="1" t="s">
        <v>6</v>
      </c>
      <c r="B16" s="11"/>
      <c r="C16" s="11">
        <v>26608000</v>
      </c>
      <c r="D16" s="11">
        <v>26646000</v>
      </c>
      <c r="E16" s="11">
        <v>0</v>
      </c>
      <c r="F16" s="83">
        <v>35000</v>
      </c>
      <c r="G16" s="17">
        <f>$N$5</f>
        <v>185</v>
      </c>
      <c r="H16" s="17">
        <f>IF(($F16-100000)&gt;=0,($F16-100000)/1000*$N$6,0)</f>
        <v>0</v>
      </c>
      <c r="I16" s="17"/>
      <c r="J16" s="18"/>
      <c r="K16" s="18"/>
      <c r="L16" s="18">
        <f t="shared" si="1"/>
        <v>185</v>
      </c>
      <c r="M16" s="18">
        <f>IF(   $H$5=1,     IF((F16-$H$7)&gt;0,((F16-$H$7)/$P$7)*$E$8,0),   IF(F16&gt;0,(F16/$P$4)*$E$8,0)    )</f>
        <v>13.150473933649291</v>
      </c>
      <c r="N16" s="18">
        <f t="shared" si="2"/>
        <v>198.15047393364929</v>
      </c>
      <c r="O16" s="8" t="s">
        <v>133</v>
      </c>
    </row>
    <row r="17" spans="1:15">
      <c r="A17" s="1" t="s">
        <v>7</v>
      </c>
      <c r="B17" s="11"/>
      <c r="C17" s="11">
        <v>669000</v>
      </c>
      <c r="D17" s="11">
        <v>681000</v>
      </c>
      <c r="E17" s="11">
        <v>0</v>
      </c>
      <c r="F17" s="11">
        <f t="shared" si="0"/>
        <v>12000</v>
      </c>
      <c r="G17" s="17">
        <f t="shared" ref="G17:G80" si="3">IF(OR($F17&gt;0,$B17=""),$K$4,$N$4)</f>
        <v>42.19</v>
      </c>
      <c r="H17" s="17">
        <f t="shared" ref="H17:H80" si="4">IF(AND((($F17-10000)&gt;=0),(($F17-10000)&lt;= 10000)),($F17-10000)/1000*$K$5,IF(($F17-10000)&gt;=10000,$K$5*10,0))</f>
        <v>4.5999999999999996</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46.79</v>
      </c>
      <c r="M17" s="18">
        <f t="shared" ref="M17:M80" si="8">IF(   $H$5=1,    IF((F17-$H$6)&gt;0,((F17-$H$6)/$P$7)*$E$8,0),   IF(F17&gt;0,(F17/$P$4)*$E$8,0)    )</f>
        <v>1.0520379146919432</v>
      </c>
      <c r="N17" s="18">
        <f t="shared" si="2"/>
        <v>47.842037914691943</v>
      </c>
      <c r="O17" s="8"/>
    </row>
    <row r="18" spans="1:15">
      <c r="A18" s="1" t="s">
        <v>8</v>
      </c>
      <c r="B18" s="11"/>
      <c r="C18" s="11">
        <v>556000</v>
      </c>
      <c r="D18" s="11">
        <v>598000</v>
      </c>
      <c r="E18" s="11">
        <v>0</v>
      </c>
      <c r="F18" s="11">
        <f t="shared" si="0"/>
        <v>42000</v>
      </c>
      <c r="G18" s="17">
        <f t="shared" si="3"/>
        <v>42.19</v>
      </c>
      <c r="H18" s="17">
        <f t="shared" si="4"/>
        <v>23</v>
      </c>
      <c r="I18" s="17">
        <f t="shared" si="5"/>
        <v>26.7</v>
      </c>
      <c r="J18" s="18">
        <f t="shared" si="6"/>
        <v>31</v>
      </c>
      <c r="K18" s="18">
        <f t="shared" si="7"/>
        <v>7.2</v>
      </c>
      <c r="L18" s="18">
        <f t="shared" si="1"/>
        <v>130.09</v>
      </c>
      <c r="M18" s="18">
        <f t="shared" si="8"/>
        <v>16.832606635071091</v>
      </c>
      <c r="N18" s="18">
        <f t="shared" si="2"/>
        <v>146.92260663507111</v>
      </c>
      <c r="O18" s="8" t="s">
        <v>174</v>
      </c>
    </row>
    <row r="19" spans="1:15">
      <c r="A19" s="1" t="s">
        <v>9</v>
      </c>
      <c r="B19" s="11"/>
      <c r="C19" s="11">
        <v>495000</v>
      </c>
      <c r="D19" s="11">
        <v>517000</v>
      </c>
      <c r="E19" s="11">
        <v>0</v>
      </c>
      <c r="F19" s="11">
        <f t="shared" si="0"/>
        <v>22000</v>
      </c>
      <c r="G19" s="17">
        <f t="shared" si="3"/>
        <v>42.19</v>
      </c>
      <c r="H19" s="17">
        <f t="shared" si="4"/>
        <v>23</v>
      </c>
      <c r="I19" s="17">
        <f t="shared" si="5"/>
        <v>5.34</v>
      </c>
      <c r="J19" s="18">
        <f t="shared" si="6"/>
        <v>0</v>
      </c>
      <c r="K19" s="18">
        <f t="shared" si="7"/>
        <v>0</v>
      </c>
      <c r="L19" s="18">
        <f t="shared" si="1"/>
        <v>70.53</v>
      </c>
      <c r="M19" s="18">
        <f t="shared" si="8"/>
        <v>6.3122274881516596</v>
      </c>
      <c r="N19" s="18">
        <f t="shared" si="2"/>
        <v>76.842227488151664</v>
      </c>
      <c r="O19" s="8"/>
    </row>
    <row r="20" spans="1:15">
      <c r="A20" s="1" t="s">
        <v>10</v>
      </c>
      <c r="B20" s="11"/>
      <c r="C20" s="11">
        <v>1695000</v>
      </c>
      <c r="D20" s="11">
        <v>1711000</v>
      </c>
      <c r="E20" s="11">
        <v>0</v>
      </c>
      <c r="F20" s="11">
        <f t="shared" si="0"/>
        <v>16000</v>
      </c>
      <c r="G20" s="17">
        <f t="shared" si="3"/>
        <v>42.19</v>
      </c>
      <c r="H20" s="17">
        <f t="shared" si="4"/>
        <v>13.799999999999999</v>
      </c>
      <c r="I20" s="17">
        <f t="shared" si="5"/>
        <v>0</v>
      </c>
      <c r="J20" s="18">
        <f t="shared" si="6"/>
        <v>0</v>
      </c>
      <c r="K20" s="18">
        <f t="shared" si="7"/>
        <v>0</v>
      </c>
      <c r="L20" s="18">
        <f t="shared" si="1"/>
        <v>55.989999999999995</v>
      </c>
      <c r="M20" s="18">
        <f t="shared" si="8"/>
        <v>3.1561137440758298</v>
      </c>
      <c r="N20" s="18">
        <f t="shared" si="2"/>
        <v>59.146113744075826</v>
      </c>
      <c r="O20" s="8"/>
    </row>
    <row r="21" spans="1:15">
      <c r="A21" s="1" t="s">
        <v>11</v>
      </c>
      <c r="B21" s="11"/>
      <c r="C21" s="11">
        <v>2112000</v>
      </c>
      <c r="D21" s="11">
        <v>2136000</v>
      </c>
      <c r="E21" s="11">
        <v>0</v>
      </c>
      <c r="F21" s="11">
        <f t="shared" si="0"/>
        <v>24000</v>
      </c>
      <c r="G21" s="17">
        <f t="shared" si="3"/>
        <v>42.19</v>
      </c>
      <c r="H21" s="17">
        <f t="shared" si="4"/>
        <v>23</v>
      </c>
      <c r="I21" s="17">
        <f t="shared" si="5"/>
        <v>10.68</v>
      </c>
      <c r="J21" s="18">
        <f t="shared" si="6"/>
        <v>0</v>
      </c>
      <c r="K21" s="18">
        <f t="shared" si="7"/>
        <v>0</v>
      </c>
      <c r="L21" s="18">
        <f t="shared" si="1"/>
        <v>75.87</v>
      </c>
      <c r="M21" s="18">
        <f t="shared" si="8"/>
        <v>7.3642654028436025</v>
      </c>
      <c r="N21" s="18">
        <f t="shared" si="2"/>
        <v>83.234265402843604</v>
      </c>
      <c r="O21" s="8"/>
    </row>
    <row r="22" spans="1:15">
      <c r="A22" s="1" t="s">
        <v>12</v>
      </c>
      <c r="B22" s="11"/>
      <c r="C22" s="11">
        <v>2393000</v>
      </c>
      <c r="D22" s="11">
        <v>2400000</v>
      </c>
      <c r="E22" s="11">
        <v>0</v>
      </c>
      <c r="F22" s="11">
        <f t="shared" si="0"/>
        <v>7000</v>
      </c>
      <c r="G22" s="17">
        <f t="shared" si="3"/>
        <v>42.19</v>
      </c>
      <c r="H22" s="17">
        <f t="shared" si="4"/>
        <v>0</v>
      </c>
      <c r="I22" s="17">
        <f t="shared" si="5"/>
        <v>0</v>
      </c>
      <c r="J22" s="18">
        <f t="shared" si="6"/>
        <v>0</v>
      </c>
      <c r="K22" s="18">
        <f t="shared" si="7"/>
        <v>0</v>
      </c>
      <c r="L22" s="18">
        <f t="shared" si="1"/>
        <v>42.19</v>
      </c>
      <c r="M22" s="18">
        <f t="shared" si="8"/>
        <v>0</v>
      </c>
      <c r="N22" s="18">
        <f t="shared" si="2"/>
        <v>42.19</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6905000</v>
      </c>
      <c r="D24" s="11">
        <v>6931000</v>
      </c>
      <c r="E24" s="11">
        <v>0</v>
      </c>
      <c r="F24" s="11">
        <f t="shared" si="0"/>
        <v>26000</v>
      </c>
      <c r="G24" s="17">
        <f t="shared" si="3"/>
        <v>42.19</v>
      </c>
      <c r="H24" s="17">
        <f t="shared" si="4"/>
        <v>23</v>
      </c>
      <c r="I24" s="17">
        <f t="shared" si="5"/>
        <v>16.02</v>
      </c>
      <c r="J24" s="18">
        <f t="shared" si="6"/>
        <v>0</v>
      </c>
      <c r="K24" s="18">
        <f t="shared" si="7"/>
        <v>0</v>
      </c>
      <c r="L24" s="18">
        <f t="shared" si="1"/>
        <v>81.209999999999994</v>
      </c>
      <c r="M24" s="18">
        <f t="shared" si="8"/>
        <v>8.4163033175355455</v>
      </c>
      <c r="N24" s="18">
        <f t="shared" si="2"/>
        <v>89.626303317535545</v>
      </c>
      <c r="O24" s="8"/>
    </row>
    <row r="25" spans="1:15">
      <c r="A25" s="1" t="s">
        <v>15</v>
      </c>
      <c r="B25" s="11"/>
      <c r="C25" s="11">
        <v>2820000</v>
      </c>
      <c r="D25" s="11">
        <v>2832000</v>
      </c>
      <c r="E25" s="11">
        <v>0</v>
      </c>
      <c r="F25" s="11">
        <f t="shared" si="0"/>
        <v>12000</v>
      </c>
      <c r="G25" s="17">
        <f t="shared" si="3"/>
        <v>42.19</v>
      </c>
      <c r="H25" s="17">
        <f t="shared" si="4"/>
        <v>4.5999999999999996</v>
      </c>
      <c r="I25" s="17">
        <f t="shared" si="5"/>
        <v>0</v>
      </c>
      <c r="J25" s="18">
        <f t="shared" si="6"/>
        <v>0</v>
      </c>
      <c r="K25" s="18">
        <f t="shared" si="7"/>
        <v>0</v>
      </c>
      <c r="L25" s="18">
        <f t="shared" si="1"/>
        <v>46.79</v>
      </c>
      <c r="M25" s="18">
        <f t="shared" si="8"/>
        <v>1.0520379146919432</v>
      </c>
      <c r="N25" s="18">
        <f t="shared" si="2"/>
        <v>47.842037914691943</v>
      </c>
      <c r="O25" s="8"/>
    </row>
    <row r="26" spans="1:15">
      <c r="A26" s="1" t="s">
        <v>16</v>
      </c>
      <c r="B26" s="11"/>
      <c r="C26" s="11">
        <v>1768000</v>
      </c>
      <c r="D26" s="11">
        <v>1788000</v>
      </c>
      <c r="E26" s="11">
        <v>0</v>
      </c>
      <c r="F26" s="11">
        <f t="shared" si="0"/>
        <v>20000</v>
      </c>
      <c r="G26" s="17">
        <f t="shared" si="3"/>
        <v>42.19</v>
      </c>
      <c r="H26" s="17">
        <f t="shared" si="4"/>
        <v>23</v>
      </c>
      <c r="I26" s="17">
        <f t="shared" si="5"/>
        <v>0</v>
      </c>
      <c r="J26" s="18">
        <f t="shared" si="6"/>
        <v>0</v>
      </c>
      <c r="K26" s="18">
        <f t="shared" si="7"/>
        <v>0</v>
      </c>
      <c r="L26" s="18">
        <f t="shared" si="1"/>
        <v>65.19</v>
      </c>
      <c r="M26" s="18">
        <f t="shared" si="8"/>
        <v>5.2601895734597157</v>
      </c>
      <c r="N26" s="18">
        <f t="shared" si="2"/>
        <v>70.45018957345971</v>
      </c>
      <c r="O26" s="8"/>
    </row>
    <row r="27" spans="1:15">
      <c r="A27" s="1" t="s">
        <v>17</v>
      </c>
      <c r="B27" s="11"/>
      <c r="C27" s="11">
        <v>1232000</v>
      </c>
      <c r="D27" s="11">
        <v>1239000</v>
      </c>
      <c r="E27" s="11">
        <v>0</v>
      </c>
      <c r="F27" s="11">
        <f t="shared" si="0"/>
        <v>7000</v>
      </c>
      <c r="G27" s="17">
        <f t="shared" si="3"/>
        <v>42.19</v>
      </c>
      <c r="H27" s="17">
        <f t="shared" si="4"/>
        <v>0</v>
      </c>
      <c r="I27" s="17">
        <f t="shared" si="5"/>
        <v>0</v>
      </c>
      <c r="J27" s="18">
        <f t="shared" si="6"/>
        <v>0</v>
      </c>
      <c r="K27" s="18">
        <f t="shared" si="7"/>
        <v>0</v>
      </c>
      <c r="L27" s="18">
        <f t="shared" si="1"/>
        <v>42.19</v>
      </c>
      <c r="M27" s="18">
        <f t="shared" si="8"/>
        <v>0</v>
      </c>
      <c r="N27" s="18">
        <f t="shared" si="2"/>
        <v>42.19</v>
      </c>
      <c r="O27" s="8"/>
    </row>
    <row r="28" spans="1:15">
      <c r="A28" s="1" t="s">
        <v>18</v>
      </c>
      <c r="B28" s="11"/>
      <c r="C28" s="11">
        <v>4123000</v>
      </c>
      <c r="D28" s="11">
        <v>4128000</v>
      </c>
      <c r="E28" s="11">
        <v>0</v>
      </c>
      <c r="F28" s="11">
        <f t="shared" si="0"/>
        <v>5000</v>
      </c>
      <c r="G28" s="17">
        <f t="shared" si="3"/>
        <v>42.19</v>
      </c>
      <c r="H28" s="17">
        <f t="shared" si="4"/>
        <v>0</v>
      </c>
      <c r="I28" s="17">
        <f t="shared" si="5"/>
        <v>0</v>
      </c>
      <c r="J28" s="18">
        <f t="shared" si="6"/>
        <v>0</v>
      </c>
      <c r="K28" s="18">
        <f t="shared" si="7"/>
        <v>0</v>
      </c>
      <c r="L28" s="18">
        <f t="shared" si="1"/>
        <v>42.19</v>
      </c>
      <c r="M28" s="18">
        <f t="shared" si="8"/>
        <v>0</v>
      </c>
      <c r="N28" s="18">
        <f t="shared" si="2"/>
        <v>42.19</v>
      </c>
      <c r="O28" s="8"/>
    </row>
    <row r="29" spans="1:15">
      <c r="A29" s="1" t="s">
        <v>19</v>
      </c>
      <c r="B29" s="11"/>
      <c r="C29" s="11">
        <v>1418000</v>
      </c>
      <c r="D29" s="11">
        <v>1427000</v>
      </c>
      <c r="E29" s="11">
        <v>0</v>
      </c>
      <c r="F29" s="11">
        <f t="shared" si="0"/>
        <v>9000</v>
      </c>
      <c r="G29" s="17">
        <f t="shared" si="3"/>
        <v>42.19</v>
      </c>
      <c r="H29" s="17">
        <f t="shared" si="4"/>
        <v>0</v>
      </c>
      <c r="I29" s="17">
        <f t="shared" si="5"/>
        <v>0</v>
      </c>
      <c r="J29" s="18">
        <f t="shared" si="6"/>
        <v>0</v>
      </c>
      <c r="K29" s="18">
        <f t="shared" si="7"/>
        <v>0</v>
      </c>
      <c r="L29" s="18">
        <f t="shared" si="1"/>
        <v>42.19</v>
      </c>
      <c r="M29" s="18">
        <f t="shared" si="8"/>
        <v>0</v>
      </c>
      <c r="N29" s="18">
        <f t="shared" si="2"/>
        <v>42.19</v>
      </c>
      <c r="O29" s="8"/>
    </row>
    <row r="30" spans="1:15">
      <c r="A30" s="1" t="s">
        <v>20</v>
      </c>
      <c r="B30" s="11"/>
      <c r="C30" s="11">
        <v>2262000</v>
      </c>
      <c r="D30" s="11">
        <v>2264000</v>
      </c>
      <c r="E30" s="11">
        <v>0</v>
      </c>
      <c r="F30" s="11">
        <f t="shared" si="0"/>
        <v>2000</v>
      </c>
      <c r="G30" s="17">
        <f t="shared" si="3"/>
        <v>42.19</v>
      </c>
      <c r="H30" s="17">
        <f t="shared" si="4"/>
        <v>0</v>
      </c>
      <c r="I30" s="17">
        <f t="shared" si="5"/>
        <v>0</v>
      </c>
      <c r="J30" s="18">
        <f t="shared" si="6"/>
        <v>0</v>
      </c>
      <c r="K30" s="18">
        <f t="shared" si="7"/>
        <v>0</v>
      </c>
      <c r="L30" s="18">
        <f t="shared" si="1"/>
        <v>42.19</v>
      </c>
      <c r="M30" s="18">
        <f t="shared" si="8"/>
        <v>0</v>
      </c>
      <c r="N30" s="18">
        <f t="shared" si="2"/>
        <v>42.19</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739000</v>
      </c>
      <c r="D32" s="11">
        <v>751000</v>
      </c>
      <c r="E32" s="11">
        <v>0</v>
      </c>
      <c r="F32" s="11">
        <f t="shared" si="0"/>
        <v>12000</v>
      </c>
      <c r="G32" s="17">
        <f t="shared" si="3"/>
        <v>42.19</v>
      </c>
      <c r="H32" s="17">
        <f t="shared" si="4"/>
        <v>4.5999999999999996</v>
      </c>
      <c r="I32" s="17">
        <f t="shared" si="5"/>
        <v>0</v>
      </c>
      <c r="J32" s="18">
        <f t="shared" si="6"/>
        <v>0</v>
      </c>
      <c r="K32" s="18">
        <f t="shared" si="7"/>
        <v>0</v>
      </c>
      <c r="L32" s="18">
        <f t="shared" si="1"/>
        <v>46.79</v>
      </c>
      <c r="M32" s="18">
        <f t="shared" si="8"/>
        <v>1.0520379146919432</v>
      </c>
      <c r="N32" s="18">
        <f t="shared" si="2"/>
        <v>47.842037914691943</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2725000</v>
      </c>
      <c r="D35" s="11">
        <v>2744000</v>
      </c>
      <c r="E35" s="11">
        <v>0</v>
      </c>
      <c r="F35" s="11">
        <f t="shared" si="0"/>
        <v>19000</v>
      </c>
      <c r="G35" s="17">
        <f t="shared" si="3"/>
        <v>42.19</v>
      </c>
      <c r="H35" s="17">
        <f t="shared" si="4"/>
        <v>20.7</v>
      </c>
      <c r="I35" s="17">
        <f t="shared" si="5"/>
        <v>0</v>
      </c>
      <c r="J35" s="18">
        <f t="shared" si="6"/>
        <v>0</v>
      </c>
      <c r="K35" s="18">
        <f t="shared" si="7"/>
        <v>0</v>
      </c>
      <c r="L35" s="18">
        <f t="shared" si="1"/>
        <v>62.89</v>
      </c>
      <c r="M35" s="18">
        <f t="shared" si="8"/>
        <v>4.7341706161137447</v>
      </c>
      <c r="N35" s="18">
        <f t="shared" si="2"/>
        <v>67.624170616113744</v>
      </c>
      <c r="O35" s="8"/>
    </row>
    <row r="36" spans="1:15">
      <c r="A36" s="1" t="s">
        <v>26</v>
      </c>
      <c r="B36" s="11"/>
      <c r="C36" s="11">
        <v>558000</v>
      </c>
      <c r="D36" s="11">
        <v>569000</v>
      </c>
      <c r="E36" s="11">
        <v>0</v>
      </c>
      <c r="F36" s="11">
        <f t="shared" si="0"/>
        <v>11000</v>
      </c>
      <c r="G36" s="17">
        <f t="shared" si="3"/>
        <v>42.19</v>
      </c>
      <c r="H36" s="17">
        <f t="shared" si="4"/>
        <v>2.2999999999999998</v>
      </c>
      <c r="I36" s="17">
        <f t="shared" si="5"/>
        <v>0</v>
      </c>
      <c r="J36" s="18">
        <f t="shared" si="6"/>
        <v>0</v>
      </c>
      <c r="K36" s="18">
        <f t="shared" si="7"/>
        <v>0</v>
      </c>
      <c r="L36" s="18">
        <f t="shared" si="1"/>
        <v>44.489999999999995</v>
      </c>
      <c r="M36" s="18">
        <f t="shared" si="8"/>
        <v>0.52601895734597159</v>
      </c>
      <c r="N36" s="18">
        <f t="shared" si="2"/>
        <v>45.016018957345963</v>
      </c>
      <c r="O36" s="8"/>
    </row>
    <row r="37" spans="1:15">
      <c r="A37" s="1" t="s">
        <v>27</v>
      </c>
      <c r="B37" s="11"/>
      <c r="C37" s="11">
        <v>2172000</v>
      </c>
      <c r="D37" s="11">
        <v>2176000</v>
      </c>
      <c r="E37" s="11">
        <v>0</v>
      </c>
      <c r="F37" s="11">
        <f t="shared" si="0"/>
        <v>4000</v>
      </c>
      <c r="G37" s="17">
        <f t="shared" si="3"/>
        <v>42.19</v>
      </c>
      <c r="H37" s="17">
        <f t="shared" si="4"/>
        <v>0</v>
      </c>
      <c r="I37" s="17">
        <f t="shared" si="5"/>
        <v>0</v>
      </c>
      <c r="J37" s="18">
        <f t="shared" si="6"/>
        <v>0</v>
      </c>
      <c r="K37" s="18">
        <f t="shared" si="7"/>
        <v>0</v>
      </c>
      <c r="L37" s="18">
        <f t="shared" si="1"/>
        <v>42.19</v>
      </c>
      <c r="M37" s="18">
        <f t="shared" si="8"/>
        <v>0</v>
      </c>
      <c r="N37" s="18">
        <f t="shared" si="2"/>
        <v>42.19</v>
      </c>
      <c r="O37" s="8"/>
    </row>
    <row r="38" spans="1:15">
      <c r="A38" s="1" t="s">
        <v>28</v>
      </c>
      <c r="B38" s="11"/>
      <c r="C38" s="11">
        <v>1429000</v>
      </c>
      <c r="D38" s="11">
        <v>1436000</v>
      </c>
      <c r="E38" s="11">
        <v>0</v>
      </c>
      <c r="F38" s="11">
        <f t="shared" si="0"/>
        <v>7000</v>
      </c>
      <c r="G38" s="17">
        <f t="shared" si="3"/>
        <v>42.19</v>
      </c>
      <c r="H38" s="17">
        <f t="shared" si="4"/>
        <v>0</v>
      </c>
      <c r="I38" s="17">
        <f t="shared" si="5"/>
        <v>0</v>
      </c>
      <c r="J38" s="18">
        <f t="shared" si="6"/>
        <v>0</v>
      </c>
      <c r="K38" s="18">
        <f t="shared" si="7"/>
        <v>0</v>
      </c>
      <c r="L38" s="18">
        <f t="shared" si="1"/>
        <v>42.19</v>
      </c>
      <c r="M38" s="18">
        <f t="shared" si="8"/>
        <v>0</v>
      </c>
      <c r="N38" s="18">
        <f t="shared" si="2"/>
        <v>42.19</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577000</v>
      </c>
      <c r="D41" s="11">
        <v>581000</v>
      </c>
      <c r="E41" s="11">
        <v>0</v>
      </c>
      <c r="F41" s="11">
        <f t="shared" si="0"/>
        <v>4000</v>
      </c>
      <c r="G41" s="17">
        <f t="shared" si="3"/>
        <v>42.19</v>
      </c>
      <c r="H41" s="17">
        <f t="shared" si="4"/>
        <v>0</v>
      </c>
      <c r="I41" s="17">
        <f t="shared" si="5"/>
        <v>0</v>
      </c>
      <c r="J41" s="18">
        <f t="shared" si="6"/>
        <v>0</v>
      </c>
      <c r="K41" s="18">
        <f t="shared" si="7"/>
        <v>0</v>
      </c>
      <c r="L41" s="18">
        <f t="shared" si="1"/>
        <v>42.19</v>
      </c>
      <c r="M41" s="18">
        <f t="shared" si="8"/>
        <v>0</v>
      </c>
      <c r="N41" s="18">
        <f t="shared" si="2"/>
        <v>42.19</v>
      </c>
      <c r="O41" s="8"/>
    </row>
    <row r="42" spans="1:15">
      <c r="A42" s="1" t="s">
        <v>32</v>
      </c>
      <c r="B42" s="11"/>
      <c r="C42" s="11">
        <v>3958000</v>
      </c>
      <c r="D42" s="11">
        <v>3967000</v>
      </c>
      <c r="E42" s="11">
        <v>0</v>
      </c>
      <c r="F42" s="11">
        <f t="shared" si="0"/>
        <v>9000</v>
      </c>
      <c r="G42" s="17">
        <f t="shared" si="3"/>
        <v>42.19</v>
      </c>
      <c r="H42" s="17">
        <f t="shared" si="4"/>
        <v>0</v>
      </c>
      <c r="I42" s="17">
        <f t="shared" si="5"/>
        <v>0</v>
      </c>
      <c r="J42" s="18">
        <f t="shared" si="6"/>
        <v>0</v>
      </c>
      <c r="K42" s="18">
        <f t="shared" si="7"/>
        <v>0</v>
      </c>
      <c r="L42" s="18">
        <f t="shared" si="1"/>
        <v>42.19</v>
      </c>
      <c r="M42" s="18">
        <f t="shared" si="8"/>
        <v>0</v>
      </c>
      <c r="N42" s="18">
        <f t="shared" si="2"/>
        <v>42.19</v>
      </c>
      <c r="O42" s="8"/>
    </row>
    <row r="43" spans="1:15">
      <c r="A43" s="1" t="s">
        <v>33</v>
      </c>
      <c r="B43" s="11"/>
      <c r="C43" s="11">
        <v>1282000</v>
      </c>
      <c r="D43" s="11">
        <v>1286000</v>
      </c>
      <c r="E43" s="11">
        <v>0</v>
      </c>
      <c r="F43" s="11">
        <f t="shared" si="0"/>
        <v>4000</v>
      </c>
      <c r="G43" s="17">
        <f t="shared" si="3"/>
        <v>42.19</v>
      </c>
      <c r="H43" s="17">
        <f t="shared" si="4"/>
        <v>0</v>
      </c>
      <c r="I43" s="17">
        <f t="shared" si="5"/>
        <v>0</v>
      </c>
      <c r="J43" s="18">
        <f t="shared" si="6"/>
        <v>0</v>
      </c>
      <c r="K43" s="18">
        <f t="shared" si="7"/>
        <v>0</v>
      </c>
      <c r="L43" s="18">
        <f t="shared" si="1"/>
        <v>42.19</v>
      </c>
      <c r="M43" s="18">
        <f t="shared" si="8"/>
        <v>0</v>
      </c>
      <c r="N43" s="18">
        <f t="shared" si="2"/>
        <v>42.19</v>
      </c>
      <c r="O43" s="8"/>
    </row>
    <row r="44" spans="1:15">
      <c r="A44" s="1" t="s">
        <v>34</v>
      </c>
      <c r="B44" s="11"/>
      <c r="C44" s="11">
        <v>571000</v>
      </c>
      <c r="D44" s="11">
        <v>591000</v>
      </c>
      <c r="E44" s="11">
        <v>0</v>
      </c>
      <c r="F44" s="11">
        <f t="shared" si="0"/>
        <v>20000</v>
      </c>
      <c r="G44" s="17">
        <f t="shared" si="3"/>
        <v>42.19</v>
      </c>
      <c r="H44" s="17">
        <f t="shared" si="4"/>
        <v>23</v>
      </c>
      <c r="I44" s="17">
        <f t="shared" si="5"/>
        <v>0</v>
      </c>
      <c r="J44" s="18">
        <f t="shared" si="6"/>
        <v>0</v>
      </c>
      <c r="K44" s="18">
        <f t="shared" si="7"/>
        <v>0</v>
      </c>
      <c r="L44" s="18">
        <f t="shared" si="1"/>
        <v>65.19</v>
      </c>
      <c r="M44" s="18">
        <f t="shared" si="8"/>
        <v>5.2601895734597157</v>
      </c>
      <c r="N44" s="18">
        <f t="shared" si="2"/>
        <v>70.45018957345971</v>
      </c>
      <c r="O44" s="8" t="s">
        <v>175</v>
      </c>
    </row>
    <row r="45" spans="1:15">
      <c r="A45" s="1" t="s">
        <v>35</v>
      </c>
      <c r="B45" s="11"/>
      <c r="C45" s="11">
        <v>1955000</v>
      </c>
      <c r="D45" s="11">
        <v>1997000</v>
      </c>
      <c r="E45" s="11">
        <v>0</v>
      </c>
      <c r="F45" s="11">
        <f t="shared" si="0"/>
        <v>42000</v>
      </c>
      <c r="G45" s="17">
        <f t="shared" si="3"/>
        <v>42.19</v>
      </c>
      <c r="H45" s="17">
        <f t="shared" si="4"/>
        <v>23</v>
      </c>
      <c r="I45" s="17">
        <f t="shared" si="5"/>
        <v>26.7</v>
      </c>
      <c r="J45" s="18">
        <f t="shared" si="6"/>
        <v>31</v>
      </c>
      <c r="K45" s="18">
        <f t="shared" si="7"/>
        <v>7.2</v>
      </c>
      <c r="L45" s="18">
        <f t="shared" si="1"/>
        <v>130.09</v>
      </c>
      <c r="M45" s="18">
        <f t="shared" si="8"/>
        <v>16.832606635071091</v>
      </c>
      <c r="N45" s="18">
        <f t="shared" si="2"/>
        <v>146.92260663507111</v>
      </c>
      <c r="O45" s="8"/>
    </row>
    <row r="46" spans="1:15">
      <c r="A46" s="1" t="s">
        <v>36</v>
      </c>
      <c r="B46" s="11"/>
      <c r="C46" s="11">
        <v>1636000</v>
      </c>
      <c r="D46" s="11">
        <v>1640000</v>
      </c>
      <c r="E46" s="11">
        <v>0</v>
      </c>
      <c r="F46" s="11">
        <f t="shared" si="0"/>
        <v>4000</v>
      </c>
      <c r="G46" s="17">
        <f t="shared" si="3"/>
        <v>42.19</v>
      </c>
      <c r="H46" s="17">
        <f t="shared" si="4"/>
        <v>0</v>
      </c>
      <c r="I46" s="17">
        <f t="shared" si="5"/>
        <v>0</v>
      </c>
      <c r="J46" s="18">
        <f t="shared" si="6"/>
        <v>0</v>
      </c>
      <c r="K46" s="18">
        <f t="shared" si="7"/>
        <v>0</v>
      </c>
      <c r="L46" s="18">
        <f t="shared" si="1"/>
        <v>42.19</v>
      </c>
      <c r="M46" s="18">
        <f t="shared" si="8"/>
        <v>0</v>
      </c>
      <c r="N46" s="18">
        <f t="shared" si="2"/>
        <v>42.19</v>
      </c>
      <c r="O46" s="8"/>
    </row>
    <row r="47" spans="1:15">
      <c r="A47" s="1" t="s">
        <v>37</v>
      </c>
      <c r="B47" s="11"/>
      <c r="C47" s="11">
        <v>2285000</v>
      </c>
      <c r="D47" s="11">
        <v>2313000</v>
      </c>
      <c r="E47" s="11">
        <v>0</v>
      </c>
      <c r="F47" s="11">
        <f t="shared" si="0"/>
        <v>28000</v>
      </c>
      <c r="G47" s="17">
        <f t="shared" si="3"/>
        <v>42.19</v>
      </c>
      <c r="H47" s="17">
        <f t="shared" si="4"/>
        <v>23</v>
      </c>
      <c r="I47" s="17">
        <f t="shared" si="5"/>
        <v>21.36</v>
      </c>
      <c r="J47" s="18">
        <f t="shared" si="6"/>
        <v>0</v>
      </c>
      <c r="K47" s="18">
        <f t="shared" si="7"/>
        <v>0</v>
      </c>
      <c r="L47" s="18">
        <f t="shared" si="1"/>
        <v>86.55</v>
      </c>
      <c r="M47" s="18">
        <f t="shared" si="8"/>
        <v>9.4683412322274894</v>
      </c>
      <c r="N47" s="18">
        <f t="shared" si="2"/>
        <v>96.018341232227485</v>
      </c>
      <c r="O47" s="8"/>
    </row>
    <row r="48" spans="1:15">
      <c r="A48" s="1" t="s">
        <v>38</v>
      </c>
      <c r="B48" s="11"/>
      <c r="C48" s="11">
        <v>2240000</v>
      </c>
      <c r="D48" s="11">
        <v>2249000</v>
      </c>
      <c r="E48" s="11">
        <v>0</v>
      </c>
      <c r="F48" s="11">
        <f t="shared" si="0"/>
        <v>9000</v>
      </c>
      <c r="G48" s="17">
        <f t="shared" si="3"/>
        <v>42.19</v>
      </c>
      <c r="H48" s="17">
        <f t="shared" si="4"/>
        <v>0</v>
      </c>
      <c r="I48" s="17">
        <f t="shared" si="5"/>
        <v>0</v>
      </c>
      <c r="J48" s="18">
        <f t="shared" si="6"/>
        <v>0</v>
      </c>
      <c r="K48" s="18">
        <f t="shared" si="7"/>
        <v>0</v>
      </c>
      <c r="L48" s="18">
        <f t="shared" si="1"/>
        <v>42.19</v>
      </c>
      <c r="M48" s="18">
        <f t="shared" si="8"/>
        <v>0</v>
      </c>
      <c r="N48" s="18">
        <f t="shared" si="2"/>
        <v>42.19</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si="8"/>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8"/>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8"/>
        <v>0</v>
      </c>
      <c r="N51" s="18">
        <f t="shared" si="2"/>
        <v>12.41</v>
      </c>
      <c r="O51" s="8"/>
    </row>
    <row r="52" spans="1:15">
      <c r="A52" s="1" t="s">
        <v>42</v>
      </c>
      <c r="B52" s="11"/>
      <c r="C52" s="11">
        <v>3196000</v>
      </c>
      <c r="D52" s="11">
        <v>3198000</v>
      </c>
      <c r="E52" s="11">
        <v>0</v>
      </c>
      <c r="F52" s="11">
        <f t="shared" si="0"/>
        <v>2000</v>
      </c>
      <c r="G52" s="17">
        <f t="shared" si="3"/>
        <v>42.19</v>
      </c>
      <c r="H52" s="17">
        <f t="shared" si="4"/>
        <v>0</v>
      </c>
      <c r="I52" s="17">
        <f t="shared" si="5"/>
        <v>0</v>
      </c>
      <c r="J52" s="18">
        <f t="shared" si="6"/>
        <v>0</v>
      </c>
      <c r="K52" s="18">
        <f t="shared" si="7"/>
        <v>0</v>
      </c>
      <c r="L52" s="18">
        <f t="shared" si="1"/>
        <v>42.19</v>
      </c>
      <c r="M52" s="18">
        <f t="shared" si="8"/>
        <v>0</v>
      </c>
      <c r="N52" s="18">
        <f t="shared" si="2"/>
        <v>42.19</v>
      </c>
      <c r="O52" s="8"/>
    </row>
    <row r="53" spans="1:15">
      <c r="A53" s="1" t="s">
        <v>43</v>
      </c>
      <c r="B53" s="11"/>
      <c r="C53" s="11">
        <v>3422000</v>
      </c>
      <c r="D53" s="11">
        <v>3456000</v>
      </c>
      <c r="E53" s="11">
        <v>0</v>
      </c>
      <c r="F53" s="83">
        <f>ROUNDUP(($D53-$C53)+$E53,-3)</f>
        <v>34000</v>
      </c>
      <c r="G53" s="17">
        <f t="shared" si="3"/>
        <v>42.19</v>
      </c>
      <c r="H53" s="17">
        <f t="shared" si="4"/>
        <v>23</v>
      </c>
      <c r="I53" s="17">
        <f t="shared" si="5"/>
        <v>26.7</v>
      </c>
      <c r="J53" s="18">
        <f t="shared" si="6"/>
        <v>12.4</v>
      </c>
      <c r="K53" s="18">
        <f t="shared" si="7"/>
        <v>0</v>
      </c>
      <c r="L53" s="18">
        <f t="shared" si="1"/>
        <v>104.29</v>
      </c>
      <c r="M53" s="18">
        <f t="shared" si="8"/>
        <v>12.624454976303319</v>
      </c>
      <c r="N53" s="18">
        <f t="shared" si="2"/>
        <v>116.91445497630332</v>
      </c>
      <c r="O53" s="8"/>
    </row>
    <row r="54" spans="1:15">
      <c r="A54" s="1" t="s">
        <v>44</v>
      </c>
      <c r="B54" s="11"/>
      <c r="C54" s="11">
        <v>4615000</v>
      </c>
      <c r="D54" s="11">
        <v>4641000</v>
      </c>
      <c r="E54" s="11">
        <v>0</v>
      </c>
      <c r="F54" s="11">
        <f t="shared" si="0"/>
        <v>26000</v>
      </c>
      <c r="G54" s="17">
        <f t="shared" si="3"/>
        <v>42.19</v>
      </c>
      <c r="H54" s="17">
        <f t="shared" si="4"/>
        <v>23</v>
      </c>
      <c r="I54" s="17">
        <f t="shared" si="5"/>
        <v>16.02</v>
      </c>
      <c r="J54" s="18">
        <f t="shared" si="6"/>
        <v>0</v>
      </c>
      <c r="K54" s="18">
        <f t="shared" si="7"/>
        <v>0</v>
      </c>
      <c r="L54" s="18">
        <f t="shared" si="1"/>
        <v>81.209999999999994</v>
      </c>
      <c r="M54" s="18">
        <f t="shared" si="8"/>
        <v>8.4163033175355455</v>
      </c>
      <c r="N54" s="18">
        <f t="shared" si="2"/>
        <v>89.626303317535545</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8"/>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8"/>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8"/>
        <v>0</v>
      </c>
      <c r="N57" s="18">
        <f t="shared" si="2"/>
        <v>12.41</v>
      </c>
      <c r="O57" s="8"/>
    </row>
    <row r="58" spans="1:15">
      <c r="A58" s="1" t="s">
        <v>48</v>
      </c>
      <c r="B58" s="11"/>
      <c r="C58" s="11">
        <v>1143000</v>
      </c>
      <c r="D58" s="11">
        <v>1146000</v>
      </c>
      <c r="E58" s="11">
        <v>0</v>
      </c>
      <c r="F58" s="11">
        <f t="shared" si="0"/>
        <v>3000</v>
      </c>
      <c r="G58" s="17">
        <f t="shared" si="3"/>
        <v>42.19</v>
      </c>
      <c r="H58" s="17">
        <f t="shared" si="4"/>
        <v>0</v>
      </c>
      <c r="I58" s="17">
        <f t="shared" si="5"/>
        <v>0</v>
      </c>
      <c r="J58" s="18">
        <f t="shared" si="6"/>
        <v>0</v>
      </c>
      <c r="K58" s="18">
        <f t="shared" si="7"/>
        <v>0</v>
      </c>
      <c r="L58" s="18">
        <f t="shared" si="1"/>
        <v>42.19</v>
      </c>
      <c r="M58" s="18">
        <f t="shared" si="8"/>
        <v>0</v>
      </c>
      <c r="N58" s="18">
        <f t="shared" si="2"/>
        <v>42.19</v>
      </c>
      <c r="O58" s="8"/>
    </row>
    <row r="59" spans="1:15">
      <c r="A59" s="1" t="s">
        <v>49</v>
      </c>
      <c r="B59" s="11"/>
      <c r="C59" s="11">
        <v>1007000</v>
      </c>
      <c r="D59" s="11">
        <v>1017000</v>
      </c>
      <c r="E59" s="11">
        <v>0</v>
      </c>
      <c r="F59" s="11">
        <f t="shared" si="0"/>
        <v>10000</v>
      </c>
      <c r="G59" s="17">
        <f t="shared" si="3"/>
        <v>42.19</v>
      </c>
      <c r="H59" s="17">
        <f t="shared" si="4"/>
        <v>0</v>
      </c>
      <c r="I59" s="17">
        <f t="shared" si="5"/>
        <v>0</v>
      </c>
      <c r="J59" s="18">
        <f t="shared" si="6"/>
        <v>0</v>
      </c>
      <c r="K59" s="18">
        <f t="shared" si="7"/>
        <v>0</v>
      </c>
      <c r="L59" s="18">
        <f t="shared" si="1"/>
        <v>42.19</v>
      </c>
      <c r="M59" s="18">
        <f t="shared" si="8"/>
        <v>0</v>
      </c>
      <c r="N59" s="18">
        <f t="shared" si="2"/>
        <v>42.19</v>
      </c>
      <c r="O59" s="8"/>
    </row>
    <row r="60" spans="1:15">
      <c r="A60" s="1" t="s">
        <v>50</v>
      </c>
      <c r="B60" s="11"/>
      <c r="C60" s="11">
        <v>3616000</v>
      </c>
      <c r="D60" s="11">
        <v>3644000</v>
      </c>
      <c r="E60" s="11">
        <v>0</v>
      </c>
      <c r="F60" s="11">
        <f t="shared" si="0"/>
        <v>28000</v>
      </c>
      <c r="G60" s="17">
        <f t="shared" si="3"/>
        <v>42.19</v>
      </c>
      <c r="H60" s="17">
        <f t="shared" si="4"/>
        <v>23</v>
      </c>
      <c r="I60" s="17">
        <f t="shared" si="5"/>
        <v>21.36</v>
      </c>
      <c r="J60" s="18">
        <f t="shared" si="6"/>
        <v>0</v>
      </c>
      <c r="K60" s="18">
        <f t="shared" si="7"/>
        <v>0</v>
      </c>
      <c r="L60" s="18">
        <f t="shared" si="1"/>
        <v>86.55</v>
      </c>
      <c r="M60" s="18">
        <f t="shared" si="8"/>
        <v>9.4683412322274894</v>
      </c>
      <c r="N60" s="18">
        <f t="shared" si="2"/>
        <v>96.018341232227485</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8"/>
        <v>0</v>
      </c>
      <c r="N61" s="18">
        <f t="shared" si="2"/>
        <v>12.41</v>
      </c>
      <c r="O61" s="8"/>
    </row>
    <row r="62" spans="1:15">
      <c r="A62" s="1" t="s">
        <v>52</v>
      </c>
      <c r="B62" s="11"/>
      <c r="C62" s="11">
        <v>1769000</v>
      </c>
      <c r="D62" s="11">
        <v>1778000</v>
      </c>
      <c r="E62" s="11">
        <v>0</v>
      </c>
      <c r="F62" s="11">
        <f t="shared" si="0"/>
        <v>9000</v>
      </c>
      <c r="G62" s="17">
        <f t="shared" si="3"/>
        <v>42.19</v>
      </c>
      <c r="H62" s="17">
        <f t="shared" si="4"/>
        <v>0</v>
      </c>
      <c r="I62" s="17">
        <f t="shared" si="5"/>
        <v>0</v>
      </c>
      <c r="J62" s="18">
        <f t="shared" si="6"/>
        <v>0</v>
      </c>
      <c r="K62" s="18">
        <f t="shared" si="7"/>
        <v>0</v>
      </c>
      <c r="L62" s="18">
        <f t="shared" si="1"/>
        <v>42.19</v>
      </c>
      <c r="M62" s="18">
        <f t="shared" si="8"/>
        <v>0</v>
      </c>
      <c r="N62" s="18">
        <f t="shared" si="2"/>
        <v>42.19</v>
      </c>
      <c r="O62" s="8"/>
    </row>
    <row r="63" spans="1:15">
      <c r="A63" s="1" t="s">
        <v>53</v>
      </c>
      <c r="B63" s="11"/>
      <c r="C63" s="11">
        <v>2529000</v>
      </c>
      <c r="D63" s="11">
        <v>2539000</v>
      </c>
      <c r="E63" s="11">
        <v>0</v>
      </c>
      <c r="F63" s="11">
        <f t="shared" si="0"/>
        <v>10000</v>
      </c>
      <c r="G63" s="17">
        <f t="shared" si="3"/>
        <v>42.19</v>
      </c>
      <c r="H63" s="17">
        <f t="shared" si="4"/>
        <v>0</v>
      </c>
      <c r="I63" s="17">
        <f t="shared" si="5"/>
        <v>0</v>
      </c>
      <c r="J63" s="18">
        <f t="shared" si="6"/>
        <v>0</v>
      </c>
      <c r="K63" s="18">
        <f t="shared" si="7"/>
        <v>0</v>
      </c>
      <c r="L63" s="18">
        <f t="shared" si="1"/>
        <v>42.19</v>
      </c>
      <c r="M63" s="18">
        <f t="shared" si="8"/>
        <v>0</v>
      </c>
      <c r="N63" s="18">
        <f t="shared" si="2"/>
        <v>42.19</v>
      </c>
      <c r="O63" s="8"/>
    </row>
    <row r="64" spans="1:15">
      <c r="A64" s="1" t="s">
        <v>54</v>
      </c>
      <c r="B64" s="11"/>
      <c r="C64" s="11">
        <v>3927000</v>
      </c>
      <c r="D64" s="11">
        <v>4026000</v>
      </c>
      <c r="E64" s="11">
        <v>0</v>
      </c>
      <c r="F64" s="11">
        <f t="shared" si="0"/>
        <v>99000</v>
      </c>
      <c r="G64" s="17">
        <f t="shared" si="3"/>
        <v>42.19</v>
      </c>
      <c r="H64" s="17">
        <f t="shared" si="4"/>
        <v>23</v>
      </c>
      <c r="I64" s="17">
        <f t="shared" si="5"/>
        <v>26.7</v>
      </c>
      <c r="J64" s="18">
        <f t="shared" si="6"/>
        <v>31</v>
      </c>
      <c r="K64" s="18">
        <f t="shared" si="7"/>
        <v>212.4</v>
      </c>
      <c r="L64" s="18">
        <f t="shared" si="1"/>
        <v>335.29</v>
      </c>
      <c r="M64" s="18">
        <f t="shared" si="8"/>
        <v>46.81568720379147</v>
      </c>
      <c r="N64" s="18">
        <f t="shared" si="2"/>
        <v>382.10568720379149</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8"/>
        <v>0</v>
      </c>
      <c r="N65" s="18">
        <f t="shared" si="2"/>
        <v>12.41</v>
      </c>
      <c r="O65" s="8"/>
    </row>
    <row r="66" spans="1:15">
      <c r="A66" s="1" t="s">
        <v>56</v>
      </c>
      <c r="B66" s="11"/>
      <c r="C66" s="11">
        <v>1715000</v>
      </c>
      <c r="D66" s="11">
        <v>1745000</v>
      </c>
      <c r="E66" s="11">
        <v>0</v>
      </c>
      <c r="F66" s="11">
        <f t="shared" si="0"/>
        <v>30000</v>
      </c>
      <c r="G66" s="17">
        <f t="shared" si="3"/>
        <v>42.19</v>
      </c>
      <c r="H66" s="17">
        <f t="shared" si="4"/>
        <v>23</v>
      </c>
      <c r="I66" s="17">
        <f t="shared" si="5"/>
        <v>26.7</v>
      </c>
      <c r="J66" s="18">
        <f t="shared" si="6"/>
        <v>0</v>
      </c>
      <c r="K66" s="18">
        <f t="shared" si="7"/>
        <v>0</v>
      </c>
      <c r="L66" s="18">
        <f t="shared" si="1"/>
        <v>91.89</v>
      </c>
      <c r="M66" s="18">
        <f t="shared" si="8"/>
        <v>10.520379146919431</v>
      </c>
      <c r="N66" s="18">
        <f t="shared" si="2"/>
        <v>102.41037914691944</v>
      </c>
      <c r="O66" s="8"/>
    </row>
    <row r="67" spans="1:15">
      <c r="A67" s="1" t="s">
        <v>57</v>
      </c>
      <c r="B67" s="11"/>
      <c r="C67" s="11">
        <v>1624000</v>
      </c>
      <c r="D67" s="11">
        <v>1629000</v>
      </c>
      <c r="E67" s="11">
        <v>0</v>
      </c>
      <c r="F67" s="11">
        <f t="shared" si="0"/>
        <v>5000</v>
      </c>
      <c r="G67" s="17">
        <f t="shared" si="3"/>
        <v>42.19</v>
      </c>
      <c r="H67" s="17">
        <f t="shared" si="4"/>
        <v>0</v>
      </c>
      <c r="I67" s="17">
        <f t="shared" si="5"/>
        <v>0</v>
      </c>
      <c r="J67" s="18">
        <f t="shared" si="6"/>
        <v>0</v>
      </c>
      <c r="K67" s="18">
        <f t="shared" si="7"/>
        <v>0</v>
      </c>
      <c r="L67" s="18">
        <f t="shared" si="1"/>
        <v>42.19</v>
      </c>
      <c r="M67" s="18">
        <f t="shared" si="8"/>
        <v>0</v>
      </c>
      <c r="N67" s="18">
        <f t="shared" si="2"/>
        <v>42.19</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8"/>
        <v>0</v>
      </c>
      <c r="N68" s="18">
        <f t="shared" si="2"/>
        <v>12.41</v>
      </c>
      <c r="O68" s="8" t="s">
        <v>183</v>
      </c>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8"/>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8"/>
        <v>0</v>
      </c>
      <c r="N70" s="18">
        <f t="shared" si="2"/>
        <v>12.41</v>
      </c>
      <c r="O70" s="8"/>
    </row>
    <row r="71" spans="1:15">
      <c r="A71" s="1" t="s">
        <v>61</v>
      </c>
      <c r="B71" s="11"/>
      <c r="C71" s="11">
        <v>1390000</v>
      </c>
      <c r="D71" s="11">
        <v>1396000</v>
      </c>
      <c r="E71" s="11">
        <v>0</v>
      </c>
      <c r="F71" s="11">
        <f t="shared" si="0"/>
        <v>6000</v>
      </c>
      <c r="G71" s="17">
        <f t="shared" si="3"/>
        <v>42.19</v>
      </c>
      <c r="H71" s="17">
        <f t="shared" si="4"/>
        <v>0</v>
      </c>
      <c r="I71" s="17">
        <f t="shared" si="5"/>
        <v>0</v>
      </c>
      <c r="J71" s="18">
        <f t="shared" si="6"/>
        <v>0</v>
      </c>
      <c r="K71" s="18">
        <f t="shared" si="7"/>
        <v>0</v>
      </c>
      <c r="L71" s="18">
        <f t="shared" si="1"/>
        <v>42.19</v>
      </c>
      <c r="M71" s="18">
        <f t="shared" si="8"/>
        <v>0</v>
      </c>
      <c r="N71" s="18">
        <f t="shared" si="2"/>
        <v>42.19</v>
      </c>
      <c r="O71" s="8"/>
    </row>
    <row r="72" spans="1:15">
      <c r="A72" s="1" t="s">
        <v>62</v>
      </c>
      <c r="B72" s="11"/>
      <c r="C72" s="11">
        <v>2045000</v>
      </c>
      <c r="D72" s="11">
        <v>2049000</v>
      </c>
      <c r="E72" s="11">
        <v>0</v>
      </c>
      <c r="F72" s="11">
        <f t="shared" si="0"/>
        <v>4000</v>
      </c>
      <c r="G72" s="17">
        <f t="shared" si="3"/>
        <v>42.19</v>
      </c>
      <c r="H72" s="17">
        <f t="shared" si="4"/>
        <v>0</v>
      </c>
      <c r="I72" s="17">
        <f t="shared" si="5"/>
        <v>0</v>
      </c>
      <c r="J72" s="18">
        <f t="shared" si="6"/>
        <v>0</v>
      </c>
      <c r="K72" s="18">
        <f t="shared" si="7"/>
        <v>0</v>
      </c>
      <c r="L72" s="18">
        <f t="shared" si="1"/>
        <v>42.19</v>
      </c>
      <c r="M72" s="18">
        <f t="shared" si="8"/>
        <v>0</v>
      </c>
      <c r="N72" s="18">
        <f t="shared" si="2"/>
        <v>42.19</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8"/>
        <v>0</v>
      </c>
      <c r="N73" s="18">
        <f t="shared" si="2"/>
        <v>12.41</v>
      </c>
      <c r="O73" s="8"/>
    </row>
    <row r="74" spans="1:15">
      <c r="A74" s="1" t="s">
        <v>64</v>
      </c>
      <c r="B74" s="11"/>
      <c r="C74" s="11">
        <v>5148000</v>
      </c>
      <c r="D74" s="11">
        <v>5156000</v>
      </c>
      <c r="E74" s="11">
        <v>0</v>
      </c>
      <c r="F74" s="11">
        <f t="shared" si="0"/>
        <v>8000</v>
      </c>
      <c r="G74" s="17">
        <f t="shared" si="3"/>
        <v>42.19</v>
      </c>
      <c r="H74" s="17">
        <f t="shared" si="4"/>
        <v>0</v>
      </c>
      <c r="I74" s="17">
        <f t="shared" si="5"/>
        <v>0</v>
      </c>
      <c r="J74" s="18">
        <f t="shared" si="6"/>
        <v>0</v>
      </c>
      <c r="K74" s="18">
        <f t="shared" si="7"/>
        <v>0</v>
      </c>
      <c r="L74" s="18">
        <f t="shared" si="1"/>
        <v>42.19</v>
      </c>
      <c r="M74" s="18">
        <f t="shared" si="8"/>
        <v>0</v>
      </c>
      <c r="N74" s="18">
        <f t="shared" si="2"/>
        <v>42.19</v>
      </c>
      <c r="O74" s="8"/>
    </row>
    <row r="75" spans="1:15">
      <c r="A75" s="1" t="s">
        <v>65</v>
      </c>
      <c r="B75" s="11"/>
      <c r="C75" s="11">
        <v>6958000</v>
      </c>
      <c r="D75" s="11">
        <v>6960000</v>
      </c>
      <c r="E75" s="11">
        <v>0</v>
      </c>
      <c r="F75" s="11">
        <f t="shared" si="0"/>
        <v>2000</v>
      </c>
      <c r="G75" s="17">
        <f t="shared" si="3"/>
        <v>42.19</v>
      </c>
      <c r="H75" s="17">
        <f t="shared" si="4"/>
        <v>0</v>
      </c>
      <c r="I75" s="17">
        <f t="shared" si="5"/>
        <v>0</v>
      </c>
      <c r="J75" s="18">
        <f t="shared" si="6"/>
        <v>0</v>
      </c>
      <c r="K75" s="18">
        <f t="shared" si="7"/>
        <v>0</v>
      </c>
      <c r="L75" s="18">
        <f t="shared" si="1"/>
        <v>42.19</v>
      </c>
      <c r="M75" s="18">
        <f t="shared" si="8"/>
        <v>0</v>
      </c>
      <c r="N75" s="18">
        <f t="shared" si="2"/>
        <v>42.19</v>
      </c>
      <c r="O75" s="8"/>
    </row>
    <row r="76" spans="1:15">
      <c r="A76" s="1" t="s">
        <v>66</v>
      </c>
      <c r="B76" s="11"/>
      <c r="C76" s="11">
        <v>9431000</v>
      </c>
      <c r="D76" s="11">
        <v>9435000</v>
      </c>
      <c r="E76" s="11">
        <v>0</v>
      </c>
      <c r="F76" s="11">
        <f t="shared" ref="F76:F136" si="9">($D76-$C76)+$E76</f>
        <v>4000</v>
      </c>
      <c r="G76" s="17">
        <f t="shared" si="3"/>
        <v>42.19</v>
      </c>
      <c r="H76" s="17">
        <f t="shared" si="4"/>
        <v>0</v>
      </c>
      <c r="I76" s="17">
        <f t="shared" si="5"/>
        <v>0</v>
      </c>
      <c r="J76" s="18">
        <f t="shared" si="6"/>
        <v>0</v>
      </c>
      <c r="K76" s="18">
        <f t="shared" si="7"/>
        <v>0</v>
      </c>
      <c r="L76" s="18">
        <f t="shared" ref="L76:L136" si="10">SUM(G76:K76)</f>
        <v>42.19</v>
      </c>
      <c r="M76" s="18">
        <f t="shared" si="8"/>
        <v>0</v>
      </c>
      <c r="N76" s="18">
        <f t="shared" ref="N76:N136" si="11">SUM(L76:M76)</f>
        <v>42.19</v>
      </c>
      <c r="O76" s="8"/>
    </row>
    <row r="77" spans="1:15">
      <c r="A77" s="1" t="s">
        <v>67</v>
      </c>
      <c r="B77" s="11" t="s">
        <v>138</v>
      </c>
      <c r="C77" s="11">
        <v>0</v>
      </c>
      <c r="D77" s="11">
        <v>0</v>
      </c>
      <c r="E77" s="11">
        <v>0</v>
      </c>
      <c r="F77" s="11">
        <f t="shared" si="9"/>
        <v>0</v>
      </c>
      <c r="G77" s="17">
        <f t="shared" si="3"/>
        <v>12.41</v>
      </c>
      <c r="H77" s="17">
        <f t="shared" si="4"/>
        <v>0</v>
      </c>
      <c r="I77" s="17">
        <f t="shared" si="5"/>
        <v>0</v>
      </c>
      <c r="J77" s="18">
        <f t="shared" si="6"/>
        <v>0</v>
      </c>
      <c r="K77" s="18">
        <f t="shared" si="7"/>
        <v>0</v>
      </c>
      <c r="L77" s="18">
        <f t="shared" si="10"/>
        <v>12.41</v>
      </c>
      <c r="M77" s="18">
        <f t="shared" si="8"/>
        <v>0</v>
      </c>
      <c r="N77" s="18">
        <f t="shared" si="11"/>
        <v>12.41</v>
      </c>
      <c r="O77" s="8"/>
    </row>
    <row r="78" spans="1:15">
      <c r="A78" s="1" t="s">
        <v>68</v>
      </c>
      <c r="B78" s="11"/>
      <c r="C78" s="11">
        <v>3755000</v>
      </c>
      <c r="D78" s="11">
        <v>3770000</v>
      </c>
      <c r="E78" s="11">
        <v>0</v>
      </c>
      <c r="F78" s="11">
        <f t="shared" si="9"/>
        <v>15000</v>
      </c>
      <c r="G78" s="17">
        <f t="shared" si="3"/>
        <v>42.19</v>
      </c>
      <c r="H78" s="17">
        <f t="shared" si="4"/>
        <v>11.5</v>
      </c>
      <c r="I78" s="17">
        <f t="shared" si="5"/>
        <v>0</v>
      </c>
      <c r="J78" s="18">
        <f t="shared" si="6"/>
        <v>0</v>
      </c>
      <c r="K78" s="18">
        <f t="shared" si="7"/>
        <v>0</v>
      </c>
      <c r="L78" s="18">
        <f t="shared" si="10"/>
        <v>53.69</v>
      </c>
      <c r="M78" s="18">
        <f t="shared" si="8"/>
        <v>2.6300947867298579</v>
      </c>
      <c r="N78" s="18">
        <f t="shared" si="11"/>
        <v>56.320094786729854</v>
      </c>
      <c r="O78" s="8"/>
    </row>
    <row r="79" spans="1:15">
      <c r="A79" s="1" t="s">
        <v>69</v>
      </c>
      <c r="B79" s="11"/>
      <c r="C79" s="11">
        <v>2506000</v>
      </c>
      <c r="D79" s="11">
        <v>2515000</v>
      </c>
      <c r="E79" s="11">
        <v>0</v>
      </c>
      <c r="F79" s="11">
        <f t="shared" si="9"/>
        <v>9000</v>
      </c>
      <c r="G79" s="17">
        <f t="shared" si="3"/>
        <v>42.19</v>
      </c>
      <c r="H79" s="17">
        <f t="shared" si="4"/>
        <v>0</v>
      </c>
      <c r="I79" s="17">
        <f t="shared" si="5"/>
        <v>0</v>
      </c>
      <c r="J79" s="18">
        <f t="shared" si="6"/>
        <v>0</v>
      </c>
      <c r="K79" s="18">
        <f t="shared" si="7"/>
        <v>0</v>
      </c>
      <c r="L79" s="18">
        <f t="shared" si="10"/>
        <v>42.19</v>
      </c>
      <c r="M79" s="18">
        <f t="shared" si="8"/>
        <v>0</v>
      </c>
      <c r="N79" s="18">
        <f t="shared" si="11"/>
        <v>42.19</v>
      </c>
      <c r="O79" s="8"/>
    </row>
    <row r="80" spans="1:15">
      <c r="A80" s="1" t="s">
        <v>70</v>
      </c>
      <c r="B80" s="11"/>
      <c r="C80" s="11">
        <v>1604000</v>
      </c>
      <c r="D80" s="11">
        <v>1617000</v>
      </c>
      <c r="E80" s="11">
        <v>0</v>
      </c>
      <c r="F80" s="11">
        <f t="shared" si="9"/>
        <v>13000</v>
      </c>
      <c r="G80" s="17">
        <f t="shared" si="3"/>
        <v>42.19</v>
      </c>
      <c r="H80" s="17">
        <f t="shared" si="4"/>
        <v>6.8999999999999995</v>
      </c>
      <c r="I80" s="17">
        <f t="shared" si="5"/>
        <v>0</v>
      </c>
      <c r="J80" s="18">
        <f t="shared" si="6"/>
        <v>0</v>
      </c>
      <c r="K80" s="18">
        <f t="shared" si="7"/>
        <v>0</v>
      </c>
      <c r="L80" s="18">
        <f t="shared" si="10"/>
        <v>49.089999999999996</v>
      </c>
      <c r="M80" s="18">
        <f t="shared" si="8"/>
        <v>1.5780568720379149</v>
      </c>
      <c r="N80" s="18">
        <f t="shared" si="11"/>
        <v>50.668056872037909</v>
      </c>
      <c r="O80" s="8"/>
    </row>
    <row r="81" spans="1:15">
      <c r="A81" s="1" t="s">
        <v>71</v>
      </c>
      <c r="B81" s="11" t="s">
        <v>138</v>
      </c>
      <c r="C81" s="11">
        <v>0</v>
      </c>
      <c r="D81" s="11">
        <v>0</v>
      </c>
      <c r="E81" s="11">
        <v>0</v>
      </c>
      <c r="F81" s="11">
        <f t="shared" si="9"/>
        <v>0</v>
      </c>
      <c r="G81" s="17">
        <f t="shared" ref="G81:G136" si="12">IF(OR($F81&gt;0,$B81=""),$K$4,$N$4)</f>
        <v>12.41</v>
      </c>
      <c r="H81" s="17">
        <f t="shared" ref="H81:H136" si="13">IF(AND((($F81-10000)&gt;=0),(($F81-10000)&lt;= 10000)),($F81-10000)/1000*$K$5,IF(($F81-10000)&gt;=10000,$K$5*10,0))</f>
        <v>0</v>
      </c>
      <c r="I81" s="17">
        <f t="shared" ref="I81:I136" si="14">IF(AND((($F81-20000)&gt;=0),(($F81-20000)&lt;=10000)),($F81-20000)/1000*$K$6,IF(($F81-20000)&gt;=10000,$K$6*10,0))</f>
        <v>0</v>
      </c>
      <c r="J81" s="18">
        <f t="shared" ref="J81:J136" si="15">IF(AND((($F81-30000)&gt;=0),(($F81-30000)&lt;=10000)),($F81-30000)/1000*$K$7,IF(($F81-30000)&gt;=10000,$K$7*10,0))</f>
        <v>0</v>
      </c>
      <c r="K81" s="18">
        <f t="shared" ref="K81:K136" si="16">IF((($F81-40000)&gt;=0),($F81-40000)/1000*$K$8,0)</f>
        <v>0</v>
      </c>
      <c r="L81" s="18">
        <f t="shared" si="10"/>
        <v>12.41</v>
      </c>
      <c r="M81" s="18">
        <f t="shared" ref="M81:M136" si="17">IF(   $H$5=1,    IF((F81-$H$6)&gt;0,((F81-$H$6)/$P$7)*$E$8,0),   IF(F81&gt;0,(F81/$P$4)*$E$8,0)    )</f>
        <v>0</v>
      </c>
      <c r="N81" s="18">
        <f t="shared" si="11"/>
        <v>12.41</v>
      </c>
      <c r="O81" s="8"/>
    </row>
    <row r="82" spans="1:15">
      <c r="A82" s="1" t="s">
        <v>72</v>
      </c>
      <c r="B82" s="11"/>
      <c r="C82" s="11">
        <v>376000</v>
      </c>
      <c r="D82" s="11">
        <v>413000</v>
      </c>
      <c r="E82" s="11">
        <v>0</v>
      </c>
      <c r="F82" s="11">
        <f t="shared" si="9"/>
        <v>37000</v>
      </c>
      <c r="G82" s="17">
        <f t="shared" si="12"/>
        <v>42.19</v>
      </c>
      <c r="H82" s="17">
        <f t="shared" si="13"/>
        <v>23</v>
      </c>
      <c r="I82" s="17">
        <f t="shared" si="14"/>
        <v>26.7</v>
      </c>
      <c r="J82" s="18">
        <f t="shared" si="15"/>
        <v>21.7</v>
      </c>
      <c r="K82" s="18">
        <f t="shared" si="16"/>
        <v>0</v>
      </c>
      <c r="L82" s="18">
        <f t="shared" si="10"/>
        <v>113.59</v>
      </c>
      <c r="M82" s="18">
        <f t="shared" si="17"/>
        <v>14.202511848341235</v>
      </c>
      <c r="N82" s="18">
        <f t="shared" si="11"/>
        <v>127.79251184834123</v>
      </c>
      <c r="O82" s="8" t="s">
        <v>139</v>
      </c>
    </row>
    <row r="83" spans="1:15">
      <c r="A83" s="1" t="s">
        <v>73</v>
      </c>
      <c r="B83" s="11"/>
      <c r="C83" s="11">
        <v>2004000</v>
      </c>
      <c r="D83" s="11">
        <v>2010000</v>
      </c>
      <c r="E83" s="11">
        <v>0</v>
      </c>
      <c r="F83" s="11">
        <f t="shared" si="9"/>
        <v>6000</v>
      </c>
      <c r="G83" s="17">
        <f t="shared" si="12"/>
        <v>42.19</v>
      </c>
      <c r="H83" s="17">
        <f t="shared" si="13"/>
        <v>0</v>
      </c>
      <c r="I83" s="17">
        <f t="shared" si="14"/>
        <v>0</v>
      </c>
      <c r="J83" s="18">
        <f t="shared" si="15"/>
        <v>0</v>
      </c>
      <c r="K83" s="18">
        <f t="shared" si="16"/>
        <v>0</v>
      </c>
      <c r="L83" s="18">
        <f t="shared" si="10"/>
        <v>42.19</v>
      </c>
      <c r="M83" s="18">
        <f t="shared" si="17"/>
        <v>0</v>
      </c>
      <c r="N83" s="18">
        <f t="shared" si="11"/>
        <v>42.19</v>
      </c>
      <c r="O83" s="8"/>
    </row>
    <row r="84" spans="1:15">
      <c r="A84" s="1" t="s">
        <v>74</v>
      </c>
      <c r="B84" s="11" t="s">
        <v>138</v>
      </c>
      <c r="C84" s="11">
        <v>0</v>
      </c>
      <c r="D84" s="11">
        <v>0</v>
      </c>
      <c r="E84" s="11">
        <v>0</v>
      </c>
      <c r="F84" s="11">
        <f t="shared" si="9"/>
        <v>0</v>
      </c>
      <c r="G84" s="17">
        <f t="shared" si="12"/>
        <v>12.41</v>
      </c>
      <c r="H84" s="17">
        <f t="shared" si="13"/>
        <v>0</v>
      </c>
      <c r="I84" s="17">
        <f t="shared" si="14"/>
        <v>0</v>
      </c>
      <c r="J84" s="18">
        <f t="shared" si="15"/>
        <v>0</v>
      </c>
      <c r="K84" s="18">
        <f t="shared" si="16"/>
        <v>0</v>
      </c>
      <c r="L84" s="18">
        <f t="shared" si="10"/>
        <v>12.41</v>
      </c>
      <c r="M84" s="18">
        <f t="shared" si="17"/>
        <v>0</v>
      </c>
      <c r="N84" s="18">
        <f t="shared" si="11"/>
        <v>12.41</v>
      </c>
      <c r="O84" s="8"/>
    </row>
    <row r="85" spans="1:15">
      <c r="A85" s="1" t="s">
        <v>75</v>
      </c>
      <c r="B85" s="11"/>
      <c r="C85" s="11">
        <v>761000</v>
      </c>
      <c r="D85" s="11">
        <v>783000</v>
      </c>
      <c r="E85" s="11">
        <v>0</v>
      </c>
      <c r="F85" s="11">
        <f t="shared" si="9"/>
        <v>22000</v>
      </c>
      <c r="G85" s="17">
        <f t="shared" si="12"/>
        <v>42.19</v>
      </c>
      <c r="H85" s="17">
        <f t="shared" si="13"/>
        <v>23</v>
      </c>
      <c r="I85" s="17">
        <f t="shared" si="14"/>
        <v>5.34</v>
      </c>
      <c r="J85" s="18">
        <f t="shared" si="15"/>
        <v>0</v>
      </c>
      <c r="K85" s="18">
        <f t="shared" si="16"/>
        <v>0</v>
      </c>
      <c r="L85" s="18">
        <f t="shared" si="10"/>
        <v>70.53</v>
      </c>
      <c r="M85" s="18">
        <f t="shared" si="17"/>
        <v>6.3122274881516596</v>
      </c>
      <c r="N85" s="18">
        <f t="shared" si="11"/>
        <v>76.842227488151664</v>
      </c>
      <c r="O85" s="8"/>
    </row>
    <row r="86" spans="1:15">
      <c r="A86" s="1" t="s">
        <v>76</v>
      </c>
      <c r="B86" s="11"/>
      <c r="C86" s="11">
        <v>326000</v>
      </c>
      <c r="D86" s="11">
        <v>339000</v>
      </c>
      <c r="E86" s="11">
        <v>0</v>
      </c>
      <c r="F86" s="11">
        <f t="shared" si="9"/>
        <v>13000</v>
      </c>
      <c r="G86" s="17">
        <f t="shared" si="12"/>
        <v>42.19</v>
      </c>
      <c r="H86" s="17">
        <f t="shared" si="13"/>
        <v>6.8999999999999995</v>
      </c>
      <c r="I86" s="17">
        <f t="shared" si="14"/>
        <v>0</v>
      </c>
      <c r="J86" s="18">
        <f t="shared" si="15"/>
        <v>0</v>
      </c>
      <c r="K86" s="18">
        <f t="shared" si="16"/>
        <v>0</v>
      </c>
      <c r="L86" s="18">
        <f t="shared" si="10"/>
        <v>49.089999999999996</v>
      </c>
      <c r="M86" s="18">
        <f t="shared" si="17"/>
        <v>1.5780568720379149</v>
      </c>
      <c r="N86" s="18">
        <f t="shared" si="11"/>
        <v>50.668056872037909</v>
      </c>
      <c r="O86" s="8" t="s">
        <v>139</v>
      </c>
    </row>
    <row r="87" spans="1:15">
      <c r="A87" s="1" t="s">
        <v>77</v>
      </c>
      <c r="B87" s="11"/>
      <c r="C87" s="11">
        <v>182000</v>
      </c>
      <c r="D87" s="11">
        <v>192000</v>
      </c>
      <c r="E87" s="11">
        <v>0</v>
      </c>
      <c r="F87" s="11">
        <f t="shared" si="9"/>
        <v>10000</v>
      </c>
      <c r="G87" s="17">
        <f t="shared" si="12"/>
        <v>42.19</v>
      </c>
      <c r="H87" s="17">
        <f t="shared" si="13"/>
        <v>0</v>
      </c>
      <c r="I87" s="17">
        <f t="shared" si="14"/>
        <v>0</v>
      </c>
      <c r="J87" s="18">
        <f t="shared" si="15"/>
        <v>0</v>
      </c>
      <c r="K87" s="18">
        <f t="shared" si="16"/>
        <v>0</v>
      </c>
      <c r="L87" s="18">
        <f t="shared" si="10"/>
        <v>42.19</v>
      </c>
      <c r="M87" s="18">
        <f t="shared" si="17"/>
        <v>0</v>
      </c>
      <c r="N87" s="18">
        <f t="shared" si="11"/>
        <v>42.19</v>
      </c>
      <c r="O87" s="8"/>
    </row>
    <row r="88" spans="1:15">
      <c r="A88" s="1" t="s">
        <v>78</v>
      </c>
      <c r="B88" s="11"/>
      <c r="C88" s="11">
        <v>1501000</v>
      </c>
      <c r="D88" s="11">
        <v>1513000</v>
      </c>
      <c r="E88" s="11">
        <v>0</v>
      </c>
      <c r="F88" s="11">
        <f t="shared" si="9"/>
        <v>12000</v>
      </c>
      <c r="G88" s="17">
        <f t="shared" si="12"/>
        <v>42.19</v>
      </c>
      <c r="H88" s="17">
        <f t="shared" si="13"/>
        <v>4.5999999999999996</v>
      </c>
      <c r="I88" s="17">
        <f t="shared" si="14"/>
        <v>0</v>
      </c>
      <c r="J88" s="18">
        <f t="shared" si="15"/>
        <v>0</v>
      </c>
      <c r="K88" s="18">
        <f t="shared" si="16"/>
        <v>0</v>
      </c>
      <c r="L88" s="18">
        <f t="shared" si="10"/>
        <v>46.79</v>
      </c>
      <c r="M88" s="18">
        <f t="shared" si="17"/>
        <v>1.0520379146919432</v>
      </c>
      <c r="N88" s="18">
        <f t="shared" si="11"/>
        <v>47.842037914691943</v>
      </c>
      <c r="O88" s="8"/>
    </row>
    <row r="89" spans="1:15">
      <c r="A89" s="1" t="s">
        <v>79</v>
      </c>
      <c r="B89" s="11"/>
      <c r="C89" s="11">
        <v>3515000</v>
      </c>
      <c r="D89" s="11">
        <v>3521000</v>
      </c>
      <c r="E89" s="11">
        <v>0</v>
      </c>
      <c r="F89" s="11">
        <f t="shared" si="9"/>
        <v>6000</v>
      </c>
      <c r="G89" s="17">
        <f t="shared" si="12"/>
        <v>42.19</v>
      </c>
      <c r="H89" s="17">
        <f t="shared" si="13"/>
        <v>0</v>
      </c>
      <c r="I89" s="17">
        <f t="shared" si="14"/>
        <v>0</v>
      </c>
      <c r="J89" s="18">
        <f t="shared" si="15"/>
        <v>0</v>
      </c>
      <c r="K89" s="18">
        <f t="shared" si="16"/>
        <v>0</v>
      </c>
      <c r="L89" s="18">
        <f t="shared" si="10"/>
        <v>42.19</v>
      </c>
      <c r="M89" s="18">
        <f t="shared" si="17"/>
        <v>0</v>
      </c>
      <c r="N89" s="18">
        <f t="shared" si="11"/>
        <v>42.19</v>
      </c>
      <c r="O89" s="8"/>
    </row>
    <row r="90" spans="1:15">
      <c r="A90" s="1" t="s">
        <v>80</v>
      </c>
      <c r="B90" s="11"/>
      <c r="C90" s="11">
        <v>3057000</v>
      </c>
      <c r="D90" s="11">
        <v>3062000</v>
      </c>
      <c r="E90" s="11">
        <v>0</v>
      </c>
      <c r="F90" s="11">
        <f t="shared" si="9"/>
        <v>5000</v>
      </c>
      <c r="G90" s="17">
        <f t="shared" si="12"/>
        <v>42.19</v>
      </c>
      <c r="H90" s="17">
        <f t="shared" si="13"/>
        <v>0</v>
      </c>
      <c r="I90" s="17">
        <f t="shared" si="14"/>
        <v>0</v>
      </c>
      <c r="J90" s="18">
        <f t="shared" si="15"/>
        <v>0</v>
      </c>
      <c r="K90" s="18">
        <f t="shared" si="16"/>
        <v>0</v>
      </c>
      <c r="L90" s="18">
        <f t="shared" si="10"/>
        <v>42.19</v>
      </c>
      <c r="M90" s="18">
        <f t="shared" si="17"/>
        <v>0</v>
      </c>
      <c r="N90" s="18">
        <f t="shared" si="11"/>
        <v>42.19</v>
      </c>
      <c r="O90" s="8"/>
    </row>
    <row r="91" spans="1:15">
      <c r="A91" s="1" t="s">
        <v>81</v>
      </c>
      <c r="B91" s="11" t="s">
        <v>138</v>
      </c>
      <c r="C91" s="11">
        <v>0</v>
      </c>
      <c r="D91" s="11">
        <v>0</v>
      </c>
      <c r="E91" s="11">
        <v>0</v>
      </c>
      <c r="F91" s="11">
        <f t="shared" si="9"/>
        <v>0</v>
      </c>
      <c r="G91" s="17">
        <f t="shared" si="12"/>
        <v>12.41</v>
      </c>
      <c r="H91" s="17">
        <f t="shared" si="13"/>
        <v>0</v>
      </c>
      <c r="I91" s="17">
        <f t="shared" si="14"/>
        <v>0</v>
      </c>
      <c r="J91" s="18">
        <f t="shared" si="15"/>
        <v>0</v>
      </c>
      <c r="K91" s="18">
        <f t="shared" si="16"/>
        <v>0</v>
      </c>
      <c r="L91" s="18">
        <f t="shared" si="10"/>
        <v>12.41</v>
      </c>
      <c r="M91" s="18">
        <f t="shared" si="17"/>
        <v>0</v>
      </c>
      <c r="N91" s="18">
        <f t="shared" si="11"/>
        <v>12.41</v>
      </c>
      <c r="O91" s="8"/>
    </row>
    <row r="92" spans="1:15">
      <c r="A92" s="1" t="s">
        <v>82</v>
      </c>
      <c r="B92" s="11"/>
      <c r="C92" s="11">
        <v>3572000</v>
      </c>
      <c r="D92" s="11">
        <v>3597000</v>
      </c>
      <c r="E92" s="11">
        <v>0</v>
      </c>
      <c r="F92" s="11">
        <f t="shared" si="9"/>
        <v>25000</v>
      </c>
      <c r="G92" s="17">
        <f t="shared" si="12"/>
        <v>42.19</v>
      </c>
      <c r="H92" s="17">
        <f t="shared" si="13"/>
        <v>23</v>
      </c>
      <c r="I92" s="17">
        <f t="shared" si="14"/>
        <v>13.35</v>
      </c>
      <c r="J92" s="18">
        <f t="shared" si="15"/>
        <v>0</v>
      </c>
      <c r="K92" s="18">
        <f t="shared" si="16"/>
        <v>0</v>
      </c>
      <c r="L92" s="18">
        <f t="shared" si="10"/>
        <v>78.539999999999992</v>
      </c>
      <c r="M92" s="18">
        <f t="shared" si="17"/>
        <v>7.8902843601895736</v>
      </c>
      <c r="N92" s="18">
        <f t="shared" si="11"/>
        <v>86.43028436018956</v>
      </c>
      <c r="O92" s="8"/>
    </row>
    <row r="93" spans="1:15">
      <c r="A93" s="1" t="s">
        <v>83</v>
      </c>
      <c r="B93" s="11"/>
      <c r="C93" s="11">
        <v>7869000</v>
      </c>
      <c r="D93" s="11">
        <v>7904000</v>
      </c>
      <c r="E93" s="11">
        <v>0</v>
      </c>
      <c r="F93" s="11">
        <f t="shared" si="9"/>
        <v>35000</v>
      </c>
      <c r="G93" s="17">
        <f t="shared" si="12"/>
        <v>42.19</v>
      </c>
      <c r="H93" s="17">
        <f t="shared" si="13"/>
        <v>23</v>
      </c>
      <c r="I93" s="17">
        <f t="shared" si="14"/>
        <v>26.7</v>
      </c>
      <c r="J93" s="18">
        <f t="shared" si="15"/>
        <v>15.5</v>
      </c>
      <c r="K93" s="18">
        <f t="shared" si="16"/>
        <v>0</v>
      </c>
      <c r="L93" s="18">
        <f t="shared" si="10"/>
        <v>107.39</v>
      </c>
      <c r="M93" s="18">
        <f t="shared" si="17"/>
        <v>13.150473933649291</v>
      </c>
      <c r="N93" s="18">
        <f t="shared" si="11"/>
        <v>120.5404739336493</v>
      </c>
      <c r="O93" s="8"/>
    </row>
    <row r="94" spans="1:15">
      <c r="A94" s="1" t="s">
        <v>84</v>
      </c>
      <c r="B94" s="11"/>
      <c r="C94" s="11">
        <v>3800000</v>
      </c>
      <c r="D94" s="11">
        <v>3800000</v>
      </c>
      <c r="E94" s="11">
        <v>0</v>
      </c>
      <c r="F94" s="11">
        <f t="shared" si="9"/>
        <v>0</v>
      </c>
      <c r="G94" s="17">
        <f t="shared" si="12"/>
        <v>42.19</v>
      </c>
      <c r="H94" s="17">
        <f t="shared" si="13"/>
        <v>0</v>
      </c>
      <c r="I94" s="17">
        <f t="shared" si="14"/>
        <v>0</v>
      </c>
      <c r="J94" s="18">
        <f t="shared" si="15"/>
        <v>0</v>
      </c>
      <c r="K94" s="18">
        <f t="shared" si="16"/>
        <v>0</v>
      </c>
      <c r="L94" s="18">
        <f t="shared" si="10"/>
        <v>42.19</v>
      </c>
      <c r="M94" s="18">
        <f t="shared" si="17"/>
        <v>0</v>
      </c>
      <c r="N94" s="18">
        <f t="shared" si="11"/>
        <v>42.19</v>
      </c>
      <c r="O94" s="8"/>
    </row>
    <row r="95" spans="1:15">
      <c r="A95" s="1" t="s">
        <v>85</v>
      </c>
      <c r="B95" s="11"/>
      <c r="C95" s="11">
        <v>2175000</v>
      </c>
      <c r="D95" s="11">
        <v>2190000</v>
      </c>
      <c r="E95" s="11">
        <v>0</v>
      </c>
      <c r="F95" s="11">
        <f t="shared" si="9"/>
        <v>15000</v>
      </c>
      <c r="G95" s="17">
        <f t="shared" si="12"/>
        <v>42.19</v>
      </c>
      <c r="H95" s="17">
        <f t="shared" si="13"/>
        <v>11.5</v>
      </c>
      <c r="I95" s="17">
        <f t="shared" si="14"/>
        <v>0</v>
      </c>
      <c r="J95" s="18">
        <f t="shared" si="15"/>
        <v>0</v>
      </c>
      <c r="K95" s="18">
        <f t="shared" si="16"/>
        <v>0</v>
      </c>
      <c r="L95" s="18">
        <f t="shared" si="10"/>
        <v>53.69</v>
      </c>
      <c r="M95" s="18">
        <f t="shared" si="17"/>
        <v>2.6300947867298579</v>
      </c>
      <c r="N95" s="18">
        <f t="shared" si="11"/>
        <v>56.320094786729854</v>
      </c>
      <c r="O95" s="8"/>
    </row>
    <row r="96" spans="1:15">
      <c r="A96" s="1" t="s">
        <v>86</v>
      </c>
      <c r="B96" s="11"/>
      <c r="C96" s="11">
        <v>1888000</v>
      </c>
      <c r="D96" s="11">
        <v>1897000</v>
      </c>
      <c r="E96" s="11">
        <v>0</v>
      </c>
      <c r="F96" s="11">
        <f t="shared" si="9"/>
        <v>9000</v>
      </c>
      <c r="G96" s="17">
        <f t="shared" si="12"/>
        <v>42.19</v>
      </c>
      <c r="H96" s="17">
        <f t="shared" si="13"/>
        <v>0</v>
      </c>
      <c r="I96" s="17">
        <f t="shared" si="14"/>
        <v>0</v>
      </c>
      <c r="J96" s="18">
        <f t="shared" si="15"/>
        <v>0</v>
      </c>
      <c r="K96" s="18">
        <f t="shared" si="16"/>
        <v>0</v>
      </c>
      <c r="L96" s="18">
        <f t="shared" si="10"/>
        <v>42.19</v>
      </c>
      <c r="M96" s="18">
        <f t="shared" si="17"/>
        <v>0</v>
      </c>
      <c r="N96" s="18">
        <f t="shared" si="11"/>
        <v>42.19</v>
      </c>
      <c r="O96" s="8"/>
    </row>
    <row r="97" spans="1:15">
      <c r="A97" s="1" t="s">
        <v>87</v>
      </c>
      <c r="B97" s="11" t="s">
        <v>138</v>
      </c>
      <c r="C97" s="11">
        <v>0</v>
      </c>
      <c r="D97" s="11">
        <v>0</v>
      </c>
      <c r="E97" s="11">
        <v>0</v>
      </c>
      <c r="F97" s="11">
        <f t="shared" si="9"/>
        <v>0</v>
      </c>
      <c r="G97" s="17">
        <f t="shared" si="12"/>
        <v>12.41</v>
      </c>
      <c r="H97" s="17">
        <f t="shared" si="13"/>
        <v>0</v>
      </c>
      <c r="I97" s="17">
        <f t="shared" si="14"/>
        <v>0</v>
      </c>
      <c r="J97" s="18">
        <f t="shared" si="15"/>
        <v>0</v>
      </c>
      <c r="K97" s="18">
        <f t="shared" si="16"/>
        <v>0</v>
      </c>
      <c r="L97" s="18">
        <f t="shared" si="10"/>
        <v>12.41</v>
      </c>
      <c r="M97" s="18">
        <f t="shared" si="17"/>
        <v>0</v>
      </c>
      <c r="N97" s="18">
        <f t="shared" si="11"/>
        <v>12.41</v>
      </c>
      <c r="O97" s="8"/>
    </row>
    <row r="98" spans="1:15">
      <c r="A98" s="1" t="s">
        <v>88</v>
      </c>
      <c r="B98" s="11"/>
      <c r="C98" s="11">
        <v>1294000</v>
      </c>
      <c r="D98" s="11">
        <v>1305000</v>
      </c>
      <c r="E98" s="11">
        <v>0</v>
      </c>
      <c r="F98" s="11">
        <f t="shared" si="9"/>
        <v>11000</v>
      </c>
      <c r="G98" s="17">
        <f t="shared" si="12"/>
        <v>42.19</v>
      </c>
      <c r="H98" s="17">
        <f t="shared" si="13"/>
        <v>2.2999999999999998</v>
      </c>
      <c r="I98" s="17">
        <f t="shared" si="14"/>
        <v>0</v>
      </c>
      <c r="J98" s="18">
        <f t="shared" si="15"/>
        <v>0</v>
      </c>
      <c r="K98" s="18">
        <f t="shared" si="16"/>
        <v>0</v>
      </c>
      <c r="L98" s="18">
        <f t="shared" si="10"/>
        <v>44.489999999999995</v>
      </c>
      <c r="M98" s="18">
        <f t="shared" si="17"/>
        <v>0.52601895734597159</v>
      </c>
      <c r="N98" s="18">
        <f t="shared" si="11"/>
        <v>45.016018957345963</v>
      </c>
      <c r="O98" s="8"/>
    </row>
    <row r="99" spans="1:15">
      <c r="A99" s="1" t="s">
        <v>89</v>
      </c>
      <c r="B99" s="11"/>
      <c r="C99" s="11">
        <v>2543000</v>
      </c>
      <c r="D99" s="11">
        <v>2562000</v>
      </c>
      <c r="E99" s="11">
        <v>0</v>
      </c>
      <c r="F99" s="11">
        <f t="shared" si="9"/>
        <v>19000</v>
      </c>
      <c r="G99" s="17">
        <f t="shared" si="12"/>
        <v>42.19</v>
      </c>
      <c r="H99" s="17">
        <f t="shared" si="13"/>
        <v>20.7</v>
      </c>
      <c r="I99" s="17">
        <f t="shared" si="14"/>
        <v>0</v>
      </c>
      <c r="J99" s="18">
        <f t="shared" si="15"/>
        <v>0</v>
      </c>
      <c r="K99" s="18">
        <f t="shared" si="16"/>
        <v>0</v>
      </c>
      <c r="L99" s="18">
        <f t="shared" si="10"/>
        <v>62.89</v>
      </c>
      <c r="M99" s="18">
        <f t="shared" si="17"/>
        <v>4.7341706161137447</v>
      </c>
      <c r="N99" s="18">
        <f t="shared" si="11"/>
        <v>67.624170616113744</v>
      </c>
      <c r="O99" s="8"/>
    </row>
    <row r="100" spans="1:15">
      <c r="A100" s="1" t="s">
        <v>90</v>
      </c>
      <c r="B100" s="11"/>
      <c r="C100" s="11">
        <v>1269000</v>
      </c>
      <c r="D100" s="11">
        <v>1275000</v>
      </c>
      <c r="E100" s="11">
        <v>0</v>
      </c>
      <c r="F100" s="11">
        <f t="shared" si="9"/>
        <v>6000</v>
      </c>
      <c r="G100" s="17">
        <f t="shared" si="12"/>
        <v>42.19</v>
      </c>
      <c r="H100" s="17">
        <f t="shared" si="13"/>
        <v>0</v>
      </c>
      <c r="I100" s="17">
        <f t="shared" si="14"/>
        <v>0</v>
      </c>
      <c r="J100" s="18">
        <f t="shared" si="15"/>
        <v>0</v>
      </c>
      <c r="K100" s="18">
        <f t="shared" si="16"/>
        <v>0</v>
      </c>
      <c r="L100" s="18">
        <f t="shared" si="10"/>
        <v>42.19</v>
      </c>
      <c r="M100" s="18">
        <f t="shared" si="17"/>
        <v>0</v>
      </c>
      <c r="N100" s="18">
        <f t="shared" si="11"/>
        <v>42.19</v>
      </c>
      <c r="O100" s="8"/>
    </row>
    <row r="101" spans="1:15">
      <c r="A101" s="1" t="s">
        <v>91</v>
      </c>
      <c r="B101" s="11"/>
      <c r="C101" s="11">
        <v>277200</v>
      </c>
      <c r="D101" s="11">
        <v>279600</v>
      </c>
      <c r="E101" s="11">
        <v>0</v>
      </c>
      <c r="F101" s="11">
        <f>ROUND(($D101-$C101)+$E101,-3)</f>
        <v>2000</v>
      </c>
      <c r="G101" s="17">
        <f t="shared" si="12"/>
        <v>42.19</v>
      </c>
      <c r="H101" s="17">
        <f t="shared" si="13"/>
        <v>0</v>
      </c>
      <c r="I101" s="17">
        <f t="shared" si="14"/>
        <v>0</v>
      </c>
      <c r="J101" s="18">
        <f t="shared" si="15"/>
        <v>0</v>
      </c>
      <c r="K101" s="18">
        <f t="shared" si="16"/>
        <v>0</v>
      </c>
      <c r="L101" s="18">
        <f t="shared" si="10"/>
        <v>42.19</v>
      </c>
      <c r="M101" s="18">
        <f t="shared" si="17"/>
        <v>0</v>
      </c>
      <c r="N101" s="18">
        <f t="shared" si="11"/>
        <v>42.19</v>
      </c>
      <c r="O101" s="8"/>
    </row>
    <row r="102" spans="1:15">
      <c r="A102" s="1" t="s">
        <v>92</v>
      </c>
      <c r="B102" s="11"/>
      <c r="C102" s="11">
        <v>2574000</v>
      </c>
      <c r="D102" s="11">
        <v>2581000</v>
      </c>
      <c r="E102" s="11">
        <v>0</v>
      </c>
      <c r="F102" s="11">
        <f t="shared" si="9"/>
        <v>7000</v>
      </c>
      <c r="G102" s="17">
        <f t="shared" si="12"/>
        <v>42.19</v>
      </c>
      <c r="H102" s="17">
        <f t="shared" si="13"/>
        <v>0</v>
      </c>
      <c r="I102" s="17">
        <f t="shared" si="14"/>
        <v>0</v>
      </c>
      <c r="J102" s="18">
        <f t="shared" si="15"/>
        <v>0</v>
      </c>
      <c r="K102" s="18">
        <f t="shared" si="16"/>
        <v>0</v>
      </c>
      <c r="L102" s="18">
        <f t="shared" si="10"/>
        <v>42.19</v>
      </c>
      <c r="M102" s="18">
        <f t="shared" si="17"/>
        <v>0</v>
      </c>
      <c r="N102" s="18">
        <f t="shared" si="11"/>
        <v>42.19</v>
      </c>
      <c r="O102" s="8"/>
    </row>
    <row r="103" spans="1:15">
      <c r="A103" s="1" t="s">
        <v>93</v>
      </c>
      <c r="B103" s="11" t="s">
        <v>138</v>
      </c>
      <c r="C103" s="11">
        <v>0</v>
      </c>
      <c r="D103" s="11">
        <v>0</v>
      </c>
      <c r="E103" s="11">
        <v>0</v>
      </c>
      <c r="F103" s="11">
        <f t="shared" si="9"/>
        <v>0</v>
      </c>
      <c r="G103" s="17">
        <f t="shared" si="12"/>
        <v>12.41</v>
      </c>
      <c r="H103" s="17">
        <f t="shared" si="13"/>
        <v>0</v>
      </c>
      <c r="I103" s="17">
        <f t="shared" si="14"/>
        <v>0</v>
      </c>
      <c r="J103" s="18">
        <f t="shared" si="15"/>
        <v>0</v>
      </c>
      <c r="K103" s="18">
        <f t="shared" si="16"/>
        <v>0</v>
      </c>
      <c r="L103" s="18">
        <f t="shared" si="10"/>
        <v>12.41</v>
      </c>
      <c r="M103" s="18">
        <f t="shared" si="17"/>
        <v>0</v>
      </c>
      <c r="N103" s="18">
        <f t="shared" si="11"/>
        <v>12.41</v>
      </c>
      <c r="O103" s="8"/>
    </row>
    <row r="104" spans="1:15">
      <c r="A104" s="1" t="s">
        <v>94</v>
      </c>
      <c r="B104" s="11" t="s">
        <v>138</v>
      </c>
      <c r="C104" s="11">
        <v>0</v>
      </c>
      <c r="D104" s="11">
        <v>0</v>
      </c>
      <c r="E104" s="11">
        <v>0</v>
      </c>
      <c r="F104" s="11">
        <f t="shared" si="9"/>
        <v>0</v>
      </c>
      <c r="G104" s="17">
        <f t="shared" si="12"/>
        <v>12.41</v>
      </c>
      <c r="H104" s="17">
        <f t="shared" si="13"/>
        <v>0</v>
      </c>
      <c r="I104" s="17">
        <f t="shared" si="14"/>
        <v>0</v>
      </c>
      <c r="J104" s="18">
        <f t="shared" si="15"/>
        <v>0</v>
      </c>
      <c r="K104" s="18">
        <f t="shared" si="16"/>
        <v>0</v>
      </c>
      <c r="L104" s="18">
        <f t="shared" si="10"/>
        <v>12.41</v>
      </c>
      <c r="M104" s="18">
        <f t="shared" si="17"/>
        <v>0</v>
      </c>
      <c r="N104" s="18">
        <f t="shared" si="11"/>
        <v>12.41</v>
      </c>
      <c r="O104" s="8"/>
    </row>
    <row r="105" spans="1:15">
      <c r="A105" s="1" t="s">
        <v>95</v>
      </c>
      <c r="B105" s="11" t="s">
        <v>138</v>
      </c>
      <c r="C105" s="11">
        <v>0</v>
      </c>
      <c r="D105" s="11">
        <v>0</v>
      </c>
      <c r="E105" s="11">
        <v>0</v>
      </c>
      <c r="F105" s="11">
        <f t="shared" si="9"/>
        <v>0</v>
      </c>
      <c r="G105" s="17">
        <f t="shared" si="12"/>
        <v>12.41</v>
      </c>
      <c r="H105" s="17">
        <f t="shared" si="13"/>
        <v>0</v>
      </c>
      <c r="I105" s="17">
        <f t="shared" si="14"/>
        <v>0</v>
      </c>
      <c r="J105" s="18">
        <f t="shared" si="15"/>
        <v>0</v>
      </c>
      <c r="K105" s="18">
        <f t="shared" si="16"/>
        <v>0</v>
      </c>
      <c r="L105" s="18">
        <f t="shared" si="10"/>
        <v>12.41</v>
      </c>
      <c r="M105" s="18">
        <f t="shared" si="17"/>
        <v>0</v>
      </c>
      <c r="N105" s="18">
        <f t="shared" si="11"/>
        <v>12.41</v>
      </c>
      <c r="O105" s="8"/>
    </row>
    <row r="106" spans="1:15">
      <c r="A106" s="1" t="s">
        <v>96</v>
      </c>
      <c r="B106" s="11"/>
      <c r="C106" s="11">
        <v>1942000</v>
      </c>
      <c r="D106" s="11">
        <v>1953000</v>
      </c>
      <c r="E106" s="11">
        <v>0</v>
      </c>
      <c r="F106" s="11">
        <f t="shared" si="9"/>
        <v>11000</v>
      </c>
      <c r="G106" s="17">
        <f t="shared" si="12"/>
        <v>42.19</v>
      </c>
      <c r="H106" s="17">
        <f t="shared" si="13"/>
        <v>2.2999999999999998</v>
      </c>
      <c r="I106" s="17">
        <f t="shared" si="14"/>
        <v>0</v>
      </c>
      <c r="J106" s="18">
        <f t="shared" si="15"/>
        <v>0</v>
      </c>
      <c r="K106" s="18">
        <f t="shared" si="16"/>
        <v>0</v>
      </c>
      <c r="L106" s="18">
        <f t="shared" si="10"/>
        <v>44.489999999999995</v>
      </c>
      <c r="M106" s="18">
        <f t="shared" si="17"/>
        <v>0.52601895734597159</v>
      </c>
      <c r="N106" s="18">
        <f t="shared" si="11"/>
        <v>45.016018957345963</v>
      </c>
      <c r="O106" s="8"/>
    </row>
    <row r="107" spans="1:15">
      <c r="A107" s="1" t="s">
        <v>97</v>
      </c>
      <c r="B107" s="11" t="s">
        <v>138</v>
      </c>
      <c r="C107" s="11">
        <v>0</v>
      </c>
      <c r="D107" s="11">
        <v>0</v>
      </c>
      <c r="E107" s="11">
        <v>0</v>
      </c>
      <c r="F107" s="11">
        <f t="shared" si="9"/>
        <v>0</v>
      </c>
      <c r="G107" s="17">
        <f t="shared" si="12"/>
        <v>12.41</v>
      </c>
      <c r="H107" s="17">
        <f t="shared" si="13"/>
        <v>0</v>
      </c>
      <c r="I107" s="17">
        <f t="shared" si="14"/>
        <v>0</v>
      </c>
      <c r="J107" s="18">
        <f t="shared" si="15"/>
        <v>0</v>
      </c>
      <c r="K107" s="18">
        <f t="shared" si="16"/>
        <v>0</v>
      </c>
      <c r="L107" s="18">
        <f t="shared" si="10"/>
        <v>12.41</v>
      </c>
      <c r="M107" s="18">
        <f t="shared" si="17"/>
        <v>0</v>
      </c>
      <c r="N107" s="18">
        <f t="shared" si="11"/>
        <v>12.41</v>
      </c>
      <c r="O107" s="8"/>
    </row>
    <row r="108" spans="1:15">
      <c r="A108" s="1" t="s">
        <v>98</v>
      </c>
      <c r="B108" s="11" t="s">
        <v>138</v>
      </c>
      <c r="C108" s="11">
        <v>0</v>
      </c>
      <c r="D108" s="11">
        <v>0</v>
      </c>
      <c r="E108" s="11">
        <v>0</v>
      </c>
      <c r="F108" s="11">
        <f t="shared" si="9"/>
        <v>0</v>
      </c>
      <c r="G108" s="17">
        <f t="shared" si="12"/>
        <v>12.41</v>
      </c>
      <c r="H108" s="17">
        <f t="shared" si="13"/>
        <v>0</v>
      </c>
      <c r="I108" s="17">
        <f t="shared" si="14"/>
        <v>0</v>
      </c>
      <c r="J108" s="18">
        <f t="shared" si="15"/>
        <v>0</v>
      </c>
      <c r="K108" s="18">
        <f t="shared" si="16"/>
        <v>0</v>
      </c>
      <c r="L108" s="18">
        <f t="shared" si="10"/>
        <v>12.41</v>
      </c>
      <c r="M108" s="18">
        <f t="shared" si="17"/>
        <v>0</v>
      </c>
      <c r="N108" s="18">
        <f t="shared" si="11"/>
        <v>12.41</v>
      </c>
      <c r="O108" s="8"/>
    </row>
    <row r="109" spans="1:15">
      <c r="A109" s="1" t="s">
        <v>99</v>
      </c>
      <c r="B109" s="11"/>
      <c r="C109" s="11">
        <v>1680000</v>
      </c>
      <c r="D109" s="11">
        <v>1680000</v>
      </c>
      <c r="E109" s="11">
        <v>0</v>
      </c>
      <c r="F109" s="11">
        <f t="shared" si="9"/>
        <v>0</v>
      </c>
      <c r="G109" s="17">
        <f t="shared" si="12"/>
        <v>42.19</v>
      </c>
      <c r="H109" s="17">
        <f t="shared" si="13"/>
        <v>0</v>
      </c>
      <c r="I109" s="17">
        <f t="shared" si="14"/>
        <v>0</v>
      </c>
      <c r="J109" s="18">
        <f t="shared" si="15"/>
        <v>0</v>
      </c>
      <c r="K109" s="18">
        <f t="shared" si="16"/>
        <v>0</v>
      </c>
      <c r="L109" s="18">
        <f t="shared" si="10"/>
        <v>42.19</v>
      </c>
      <c r="M109" s="18">
        <f t="shared" si="17"/>
        <v>0</v>
      </c>
      <c r="N109" s="18">
        <f t="shared" si="11"/>
        <v>42.19</v>
      </c>
      <c r="O109" s="8"/>
    </row>
    <row r="110" spans="1:15">
      <c r="A110" s="37" t="s">
        <v>100</v>
      </c>
      <c r="B110" s="38"/>
      <c r="C110" s="38">
        <v>546000</v>
      </c>
      <c r="D110" s="38">
        <v>546000</v>
      </c>
      <c r="E110" s="38">
        <v>0</v>
      </c>
      <c r="F110" s="38">
        <f t="shared" si="9"/>
        <v>0</v>
      </c>
      <c r="G110" s="39">
        <f t="shared" si="12"/>
        <v>42.19</v>
      </c>
      <c r="H110" s="39">
        <f t="shared" si="13"/>
        <v>0</v>
      </c>
      <c r="I110" s="39">
        <f t="shared" si="14"/>
        <v>0</v>
      </c>
      <c r="J110" s="40">
        <f t="shared" si="15"/>
        <v>0</v>
      </c>
      <c r="K110" s="40">
        <f t="shared" si="16"/>
        <v>0</v>
      </c>
      <c r="L110" s="40">
        <f t="shared" si="10"/>
        <v>42.19</v>
      </c>
      <c r="M110" s="40">
        <f t="shared" si="17"/>
        <v>0</v>
      </c>
      <c r="N110" s="40">
        <f t="shared" si="11"/>
        <v>42.19</v>
      </c>
      <c r="O110" s="41" t="s">
        <v>184</v>
      </c>
    </row>
    <row r="111" spans="1:15">
      <c r="A111" s="1" t="s">
        <v>101</v>
      </c>
      <c r="B111" s="11"/>
      <c r="C111" s="11">
        <v>4667000</v>
      </c>
      <c r="D111" s="11">
        <v>4673000</v>
      </c>
      <c r="E111" s="11">
        <v>0</v>
      </c>
      <c r="F111" s="11">
        <f t="shared" si="9"/>
        <v>6000</v>
      </c>
      <c r="G111" s="17">
        <f t="shared" si="12"/>
        <v>42.19</v>
      </c>
      <c r="H111" s="17">
        <f t="shared" si="13"/>
        <v>0</v>
      </c>
      <c r="I111" s="17">
        <f t="shared" si="14"/>
        <v>0</v>
      </c>
      <c r="J111" s="18">
        <f t="shared" si="15"/>
        <v>0</v>
      </c>
      <c r="K111" s="18">
        <f t="shared" si="16"/>
        <v>0</v>
      </c>
      <c r="L111" s="18">
        <f t="shared" si="10"/>
        <v>42.19</v>
      </c>
      <c r="M111" s="18">
        <f t="shared" si="17"/>
        <v>0</v>
      </c>
      <c r="N111" s="18">
        <f t="shared" si="11"/>
        <v>42.19</v>
      </c>
      <c r="O111" s="8"/>
    </row>
    <row r="112" spans="1:15">
      <c r="A112" s="1" t="s">
        <v>102</v>
      </c>
      <c r="B112" s="11" t="s">
        <v>138</v>
      </c>
      <c r="C112" s="11">
        <v>0</v>
      </c>
      <c r="D112" s="11">
        <v>0</v>
      </c>
      <c r="E112" s="11">
        <v>0</v>
      </c>
      <c r="F112" s="11">
        <f t="shared" si="9"/>
        <v>0</v>
      </c>
      <c r="G112" s="17">
        <f t="shared" si="12"/>
        <v>12.41</v>
      </c>
      <c r="H112" s="17">
        <f t="shared" si="13"/>
        <v>0</v>
      </c>
      <c r="I112" s="17">
        <f t="shared" si="14"/>
        <v>0</v>
      </c>
      <c r="J112" s="18">
        <f t="shared" si="15"/>
        <v>0</v>
      </c>
      <c r="K112" s="18">
        <f t="shared" si="16"/>
        <v>0</v>
      </c>
      <c r="L112" s="18">
        <f t="shared" si="10"/>
        <v>12.41</v>
      </c>
      <c r="M112" s="18">
        <f t="shared" si="17"/>
        <v>0</v>
      </c>
      <c r="N112" s="18">
        <f t="shared" si="11"/>
        <v>12.41</v>
      </c>
      <c r="O112" s="8"/>
    </row>
    <row r="113" spans="1:15">
      <c r="A113" s="1" t="s">
        <v>103</v>
      </c>
      <c r="B113" s="11"/>
      <c r="C113" s="11">
        <v>1472000</v>
      </c>
      <c r="D113" s="11">
        <v>1496000</v>
      </c>
      <c r="E113" s="11">
        <v>0</v>
      </c>
      <c r="F113" s="11">
        <f t="shared" si="9"/>
        <v>24000</v>
      </c>
      <c r="G113" s="17">
        <f t="shared" si="12"/>
        <v>42.19</v>
      </c>
      <c r="H113" s="17">
        <f t="shared" si="13"/>
        <v>23</v>
      </c>
      <c r="I113" s="17">
        <f t="shared" si="14"/>
        <v>10.68</v>
      </c>
      <c r="J113" s="18">
        <f t="shared" si="15"/>
        <v>0</v>
      </c>
      <c r="K113" s="18">
        <f t="shared" si="16"/>
        <v>0</v>
      </c>
      <c r="L113" s="18">
        <f t="shared" si="10"/>
        <v>75.87</v>
      </c>
      <c r="M113" s="18">
        <f t="shared" si="17"/>
        <v>7.3642654028436025</v>
      </c>
      <c r="N113" s="18">
        <f t="shared" si="11"/>
        <v>83.234265402843604</v>
      </c>
      <c r="O113" s="8"/>
    </row>
    <row r="114" spans="1:15">
      <c r="A114" s="1" t="s">
        <v>104</v>
      </c>
      <c r="B114" s="11" t="s">
        <v>138</v>
      </c>
      <c r="C114" s="11">
        <v>0</v>
      </c>
      <c r="D114" s="11">
        <v>0</v>
      </c>
      <c r="E114" s="11">
        <v>0</v>
      </c>
      <c r="F114" s="11">
        <f t="shared" si="9"/>
        <v>0</v>
      </c>
      <c r="G114" s="17">
        <f t="shared" si="12"/>
        <v>12.41</v>
      </c>
      <c r="H114" s="17">
        <f t="shared" si="13"/>
        <v>0</v>
      </c>
      <c r="I114" s="17">
        <f t="shared" si="14"/>
        <v>0</v>
      </c>
      <c r="J114" s="18">
        <f t="shared" si="15"/>
        <v>0</v>
      </c>
      <c r="K114" s="18">
        <f t="shared" si="16"/>
        <v>0</v>
      </c>
      <c r="L114" s="18">
        <f t="shared" si="10"/>
        <v>12.41</v>
      </c>
      <c r="M114" s="18">
        <f t="shared" si="17"/>
        <v>0</v>
      </c>
      <c r="N114" s="18">
        <f t="shared" si="11"/>
        <v>12.41</v>
      </c>
      <c r="O114" s="8"/>
    </row>
    <row r="115" spans="1:15">
      <c r="A115" s="1" t="s">
        <v>105</v>
      </c>
      <c r="B115" s="11"/>
      <c r="C115" s="11">
        <v>1724000</v>
      </c>
      <c r="D115" s="11">
        <v>1754000</v>
      </c>
      <c r="E115" s="11">
        <v>0</v>
      </c>
      <c r="F115" s="11">
        <f t="shared" si="9"/>
        <v>30000</v>
      </c>
      <c r="G115" s="17">
        <f t="shared" si="12"/>
        <v>42.19</v>
      </c>
      <c r="H115" s="17">
        <f t="shared" si="13"/>
        <v>23</v>
      </c>
      <c r="I115" s="17">
        <f t="shared" si="14"/>
        <v>26.7</v>
      </c>
      <c r="J115" s="18">
        <f t="shared" si="15"/>
        <v>0</v>
      </c>
      <c r="K115" s="18">
        <f t="shared" si="16"/>
        <v>0</v>
      </c>
      <c r="L115" s="18">
        <f t="shared" si="10"/>
        <v>91.89</v>
      </c>
      <c r="M115" s="18">
        <f t="shared" si="17"/>
        <v>10.520379146919431</v>
      </c>
      <c r="N115" s="18">
        <f t="shared" si="11"/>
        <v>102.41037914691944</v>
      </c>
      <c r="O115" s="8"/>
    </row>
    <row r="116" spans="1:15">
      <c r="A116" s="1" t="s">
        <v>106</v>
      </c>
      <c r="B116" s="11"/>
      <c r="C116" s="11">
        <v>1805000</v>
      </c>
      <c r="D116" s="11">
        <v>1806000</v>
      </c>
      <c r="E116" s="11">
        <v>0</v>
      </c>
      <c r="F116" s="11">
        <f t="shared" si="9"/>
        <v>1000</v>
      </c>
      <c r="G116" s="17">
        <f t="shared" si="12"/>
        <v>42.19</v>
      </c>
      <c r="H116" s="17">
        <f t="shared" si="13"/>
        <v>0</v>
      </c>
      <c r="I116" s="17">
        <f t="shared" si="14"/>
        <v>0</v>
      </c>
      <c r="J116" s="18">
        <f t="shared" si="15"/>
        <v>0</v>
      </c>
      <c r="K116" s="18">
        <f t="shared" si="16"/>
        <v>0</v>
      </c>
      <c r="L116" s="18">
        <f t="shared" si="10"/>
        <v>42.19</v>
      </c>
      <c r="M116" s="18">
        <f t="shared" si="17"/>
        <v>0</v>
      </c>
      <c r="N116" s="18">
        <f t="shared" si="11"/>
        <v>42.19</v>
      </c>
      <c r="O116" s="8"/>
    </row>
    <row r="117" spans="1:15">
      <c r="A117" s="1" t="s">
        <v>107</v>
      </c>
      <c r="B117" s="11"/>
      <c r="C117" s="11">
        <v>340000</v>
      </c>
      <c r="D117" s="11">
        <v>343000</v>
      </c>
      <c r="E117" s="11">
        <v>0</v>
      </c>
      <c r="F117" s="11">
        <f t="shared" si="9"/>
        <v>3000</v>
      </c>
      <c r="G117" s="17">
        <f t="shared" si="12"/>
        <v>42.19</v>
      </c>
      <c r="H117" s="17">
        <f t="shared" si="13"/>
        <v>0</v>
      </c>
      <c r="I117" s="17">
        <f t="shared" si="14"/>
        <v>0</v>
      </c>
      <c r="J117" s="18">
        <f t="shared" si="15"/>
        <v>0</v>
      </c>
      <c r="K117" s="18">
        <f t="shared" si="16"/>
        <v>0</v>
      </c>
      <c r="L117" s="18">
        <f t="shared" si="10"/>
        <v>42.19</v>
      </c>
      <c r="M117" s="18">
        <f t="shared" si="17"/>
        <v>0</v>
      </c>
      <c r="N117" s="18">
        <f t="shared" si="11"/>
        <v>42.19</v>
      </c>
      <c r="O117" s="8"/>
    </row>
    <row r="118" spans="1:15">
      <c r="A118" s="1" t="s">
        <v>108</v>
      </c>
      <c r="B118" s="11"/>
      <c r="C118" s="11">
        <v>2745000</v>
      </c>
      <c r="D118" s="11">
        <v>2753000</v>
      </c>
      <c r="E118" s="11">
        <v>0</v>
      </c>
      <c r="F118" s="11">
        <f t="shared" si="9"/>
        <v>8000</v>
      </c>
      <c r="G118" s="17">
        <f t="shared" si="12"/>
        <v>42.19</v>
      </c>
      <c r="H118" s="17">
        <f t="shared" si="13"/>
        <v>0</v>
      </c>
      <c r="I118" s="17">
        <f t="shared" si="14"/>
        <v>0</v>
      </c>
      <c r="J118" s="18">
        <f t="shared" si="15"/>
        <v>0</v>
      </c>
      <c r="K118" s="18">
        <f t="shared" si="16"/>
        <v>0</v>
      </c>
      <c r="L118" s="18">
        <f t="shared" si="10"/>
        <v>42.19</v>
      </c>
      <c r="M118" s="18">
        <f t="shared" si="17"/>
        <v>0</v>
      </c>
      <c r="N118" s="18">
        <f t="shared" si="11"/>
        <v>42.19</v>
      </c>
      <c r="O118" s="8"/>
    </row>
    <row r="119" spans="1:15">
      <c r="A119" s="1" t="s">
        <v>109</v>
      </c>
      <c r="B119" s="11" t="s">
        <v>138</v>
      </c>
      <c r="C119" s="11">
        <v>0</v>
      </c>
      <c r="D119" s="11">
        <v>0</v>
      </c>
      <c r="E119" s="11">
        <v>0</v>
      </c>
      <c r="F119" s="11">
        <f t="shared" si="9"/>
        <v>0</v>
      </c>
      <c r="G119" s="17">
        <f t="shared" si="12"/>
        <v>12.41</v>
      </c>
      <c r="H119" s="17">
        <f t="shared" si="13"/>
        <v>0</v>
      </c>
      <c r="I119" s="17">
        <f t="shared" si="14"/>
        <v>0</v>
      </c>
      <c r="J119" s="18">
        <f t="shared" si="15"/>
        <v>0</v>
      </c>
      <c r="K119" s="18">
        <f t="shared" si="16"/>
        <v>0</v>
      </c>
      <c r="L119" s="18">
        <f t="shared" si="10"/>
        <v>12.41</v>
      </c>
      <c r="M119" s="18">
        <f t="shared" si="17"/>
        <v>0</v>
      </c>
      <c r="N119" s="18">
        <f t="shared" si="11"/>
        <v>12.41</v>
      </c>
      <c r="O119" s="8"/>
    </row>
    <row r="120" spans="1:15">
      <c r="A120" s="1" t="s">
        <v>110</v>
      </c>
      <c r="B120" s="11"/>
      <c r="C120" s="11">
        <v>3889000</v>
      </c>
      <c r="D120" s="11">
        <v>3899000</v>
      </c>
      <c r="E120" s="11">
        <v>0</v>
      </c>
      <c r="F120" s="11">
        <f t="shared" si="9"/>
        <v>10000</v>
      </c>
      <c r="G120" s="17">
        <f t="shared" si="12"/>
        <v>42.19</v>
      </c>
      <c r="H120" s="17">
        <f t="shared" si="13"/>
        <v>0</v>
      </c>
      <c r="I120" s="17">
        <f t="shared" si="14"/>
        <v>0</v>
      </c>
      <c r="J120" s="18">
        <f t="shared" si="15"/>
        <v>0</v>
      </c>
      <c r="K120" s="18">
        <f t="shared" si="16"/>
        <v>0</v>
      </c>
      <c r="L120" s="18">
        <f t="shared" si="10"/>
        <v>42.19</v>
      </c>
      <c r="M120" s="18">
        <f t="shared" si="17"/>
        <v>0</v>
      </c>
      <c r="N120" s="18">
        <f t="shared" si="11"/>
        <v>42.19</v>
      </c>
      <c r="O120" s="8"/>
    </row>
    <row r="121" spans="1:15">
      <c r="A121" s="1" t="s">
        <v>111</v>
      </c>
      <c r="B121" s="11"/>
      <c r="C121" s="11">
        <v>3755000</v>
      </c>
      <c r="D121" s="11">
        <v>3768000</v>
      </c>
      <c r="E121" s="11">
        <v>0</v>
      </c>
      <c r="F121" s="11">
        <f t="shared" si="9"/>
        <v>13000</v>
      </c>
      <c r="G121" s="17">
        <f t="shared" si="12"/>
        <v>42.19</v>
      </c>
      <c r="H121" s="17">
        <f t="shared" si="13"/>
        <v>6.8999999999999995</v>
      </c>
      <c r="I121" s="17">
        <f t="shared" si="14"/>
        <v>0</v>
      </c>
      <c r="J121" s="18">
        <f t="shared" si="15"/>
        <v>0</v>
      </c>
      <c r="K121" s="18">
        <f t="shared" si="16"/>
        <v>0</v>
      </c>
      <c r="L121" s="18">
        <f t="shared" si="10"/>
        <v>49.089999999999996</v>
      </c>
      <c r="M121" s="18">
        <f t="shared" si="17"/>
        <v>1.5780568720379149</v>
      </c>
      <c r="N121" s="18">
        <f t="shared" si="11"/>
        <v>50.668056872037909</v>
      </c>
      <c r="O121" s="8"/>
    </row>
    <row r="122" spans="1:15">
      <c r="A122" s="1" t="s">
        <v>112</v>
      </c>
      <c r="B122" s="11"/>
      <c r="C122" s="11">
        <v>363000</v>
      </c>
      <c r="D122" s="11">
        <v>365000</v>
      </c>
      <c r="E122" s="11">
        <v>0</v>
      </c>
      <c r="F122" s="11">
        <f t="shared" si="9"/>
        <v>2000</v>
      </c>
      <c r="G122" s="17">
        <f t="shared" si="12"/>
        <v>42.19</v>
      </c>
      <c r="H122" s="17">
        <f t="shared" si="13"/>
        <v>0</v>
      </c>
      <c r="I122" s="17">
        <f t="shared" si="14"/>
        <v>0</v>
      </c>
      <c r="J122" s="18">
        <f t="shared" si="15"/>
        <v>0</v>
      </c>
      <c r="K122" s="18">
        <f t="shared" si="16"/>
        <v>0</v>
      </c>
      <c r="L122" s="18">
        <f t="shared" si="10"/>
        <v>42.19</v>
      </c>
      <c r="M122" s="18">
        <f t="shared" si="17"/>
        <v>0</v>
      </c>
      <c r="N122" s="18">
        <f t="shared" si="11"/>
        <v>42.19</v>
      </c>
      <c r="O122" s="8"/>
    </row>
    <row r="123" spans="1:15">
      <c r="A123" s="1" t="s">
        <v>113</v>
      </c>
      <c r="B123" s="11"/>
      <c r="C123" s="11">
        <v>1609000</v>
      </c>
      <c r="D123" s="11">
        <v>1625000</v>
      </c>
      <c r="E123" s="11">
        <v>0</v>
      </c>
      <c r="F123" s="11">
        <f t="shared" si="9"/>
        <v>16000</v>
      </c>
      <c r="G123" s="17">
        <f t="shared" si="12"/>
        <v>42.19</v>
      </c>
      <c r="H123" s="17">
        <f t="shared" si="13"/>
        <v>13.799999999999999</v>
      </c>
      <c r="I123" s="17">
        <f t="shared" si="14"/>
        <v>0</v>
      </c>
      <c r="J123" s="18">
        <f t="shared" si="15"/>
        <v>0</v>
      </c>
      <c r="K123" s="18">
        <f t="shared" si="16"/>
        <v>0</v>
      </c>
      <c r="L123" s="18">
        <f t="shared" si="10"/>
        <v>55.989999999999995</v>
      </c>
      <c r="M123" s="18">
        <f t="shared" si="17"/>
        <v>3.1561137440758298</v>
      </c>
      <c r="N123" s="18">
        <f t="shared" si="11"/>
        <v>59.146113744075826</v>
      </c>
      <c r="O123" s="8"/>
    </row>
    <row r="124" spans="1:15">
      <c r="A124" s="1" t="s">
        <v>114</v>
      </c>
      <c r="B124" s="11"/>
      <c r="C124" s="11">
        <v>2667000</v>
      </c>
      <c r="D124" s="11">
        <v>2673000</v>
      </c>
      <c r="E124" s="11">
        <v>0</v>
      </c>
      <c r="F124" s="11">
        <f t="shared" si="9"/>
        <v>6000</v>
      </c>
      <c r="G124" s="17">
        <f t="shared" si="12"/>
        <v>42.19</v>
      </c>
      <c r="H124" s="17">
        <f t="shared" si="13"/>
        <v>0</v>
      </c>
      <c r="I124" s="17">
        <f t="shared" si="14"/>
        <v>0</v>
      </c>
      <c r="J124" s="18">
        <f t="shared" si="15"/>
        <v>0</v>
      </c>
      <c r="K124" s="18">
        <f t="shared" si="16"/>
        <v>0</v>
      </c>
      <c r="L124" s="18">
        <f t="shared" si="10"/>
        <v>42.19</v>
      </c>
      <c r="M124" s="18">
        <f t="shared" si="17"/>
        <v>0</v>
      </c>
      <c r="N124" s="18">
        <f t="shared" si="11"/>
        <v>42.19</v>
      </c>
      <c r="O124" s="8"/>
    </row>
    <row r="125" spans="1:15">
      <c r="A125" s="1" t="s">
        <v>115</v>
      </c>
      <c r="B125" s="11"/>
      <c r="C125" s="11">
        <v>2619000</v>
      </c>
      <c r="D125" s="11">
        <v>2630000</v>
      </c>
      <c r="E125" s="11">
        <v>0</v>
      </c>
      <c r="F125" s="11">
        <f t="shared" si="9"/>
        <v>11000</v>
      </c>
      <c r="G125" s="17">
        <f t="shared" si="12"/>
        <v>42.19</v>
      </c>
      <c r="H125" s="17">
        <f t="shared" si="13"/>
        <v>2.2999999999999998</v>
      </c>
      <c r="I125" s="17">
        <f t="shared" si="14"/>
        <v>0</v>
      </c>
      <c r="J125" s="18">
        <f t="shared" si="15"/>
        <v>0</v>
      </c>
      <c r="K125" s="18">
        <f t="shared" si="16"/>
        <v>0</v>
      </c>
      <c r="L125" s="18">
        <f t="shared" si="10"/>
        <v>44.489999999999995</v>
      </c>
      <c r="M125" s="18">
        <f t="shared" si="17"/>
        <v>0.52601895734597159</v>
      </c>
      <c r="N125" s="18">
        <f t="shared" si="11"/>
        <v>45.016018957345963</v>
      </c>
      <c r="O125" s="8"/>
    </row>
    <row r="126" spans="1:15">
      <c r="A126" s="1" t="s">
        <v>116</v>
      </c>
      <c r="B126" s="11"/>
      <c r="C126" s="11">
        <v>4281000</v>
      </c>
      <c r="D126" s="11">
        <v>4283000</v>
      </c>
      <c r="E126" s="11">
        <v>0</v>
      </c>
      <c r="F126" s="11">
        <f t="shared" si="9"/>
        <v>2000</v>
      </c>
      <c r="G126" s="17">
        <f t="shared" si="12"/>
        <v>42.19</v>
      </c>
      <c r="H126" s="17">
        <f t="shared" si="13"/>
        <v>0</v>
      </c>
      <c r="I126" s="17">
        <f t="shared" si="14"/>
        <v>0</v>
      </c>
      <c r="J126" s="18">
        <f t="shared" si="15"/>
        <v>0</v>
      </c>
      <c r="K126" s="18">
        <f t="shared" si="16"/>
        <v>0</v>
      </c>
      <c r="L126" s="18">
        <f t="shared" si="10"/>
        <v>42.19</v>
      </c>
      <c r="M126" s="18">
        <f t="shared" si="17"/>
        <v>0</v>
      </c>
      <c r="N126" s="18">
        <f t="shared" si="11"/>
        <v>42.19</v>
      </c>
      <c r="O126" s="8"/>
    </row>
    <row r="127" spans="1:15">
      <c r="A127" s="1" t="s">
        <v>117</v>
      </c>
      <c r="B127" s="11"/>
      <c r="C127" s="11">
        <v>1935000</v>
      </c>
      <c r="D127" s="11">
        <v>1940000</v>
      </c>
      <c r="E127" s="11">
        <v>0</v>
      </c>
      <c r="F127" s="11">
        <f t="shared" si="9"/>
        <v>5000</v>
      </c>
      <c r="G127" s="17">
        <f t="shared" si="12"/>
        <v>42.19</v>
      </c>
      <c r="H127" s="17">
        <f t="shared" si="13"/>
        <v>0</v>
      </c>
      <c r="I127" s="17">
        <f t="shared" si="14"/>
        <v>0</v>
      </c>
      <c r="J127" s="18">
        <f t="shared" si="15"/>
        <v>0</v>
      </c>
      <c r="K127" s="18">
        <f t="shared" si="16"/>
        <v>0</v>
      </c>
      <c r="L127" s="18">
        <f t="shared" si="10"/>
        <v>42.19</v>
      </c>
      <c r="M127" s="18">
        <f t="shared" si="17"/>
        <v>0</v>
      </c>
      <c r="N127" s="18">
        <f t="shared" si="11"/>
        <v>42.19</v>
      </c>
      <c r="O127" s="8"/>
    </row>
    <row r="128" spans="1:15">
      <c r="A128" s="1" t="s">
        <v>118</v>
      </c>
      <c r="B128" s="11"/>
      <c r="C128" s="11">
        <v>65000</v>
      </c>
      <c r="D128" s="11">
        <v>74000</v>
      </c>
      <c r="E128" s="11">
        <v>0</v>
      </c>
      <c r="F128" s="11">
        <f t="shared" si="9"/>
        <v>9000</v>
      </c>
      <c r="G128" s="17">
        <f t="shared" si="12"/>
        <v>42.19</v>
      </c>
      <c r="H128" s="17">
        <f t="shared" si="13"/>
        <v>0</v>
      </c>
      <c r="I128" s="17">
        <f t="shared" si="14"/>
        <v>0</v>
      </c>
      <c r="J128" s="18">
        <f t="shared" si="15"/>
        <v>0</v>
      </c>
      <c r="K128" s="18">
        <f t="shared" si="16"/>
        <v>0</v>
      </c>
      <c r="L128" s="18">
        <f t="shared" si="10"/>
        <v>42.19</v>
      </c>
      <c r="M128" s="18">
        <f t="shared" si="17"/>
        <v>0</v>
      </c>
      <c r="N128" s="18">
        <f t="shared" si="11"/>
        <v>42.19</v>
      </c>
      <c r="O128" s="8" t="s">
        <v>174</v>
      </c>
    </row>
    <row r="129" spans="1:15">
      <c r="A129" s="1" t="s">
        <v>119</v>
      </c>
      <c r="B129" s="11"/>
      <c r="C129" s="11">
        <v>7563000</v>
      </c>
      <c r="D129" s="11">
        <v>7571000</v>
      </c>
      <c r="E129" s="11">
        <v>0</v>
      </c>
      <c r="F129" s="11">
        <f t="shared" si="9"/>
        <v>8000</v>
      </c>
      <c r="G129" s="17">
        <f t="shared" si="12"/>
        <v>42.19</v>
      </c>
      <c r="H129" s="17">
        <f t="shared" si="13"/>
        <v>0</v>
      </c>
      <c r="I129" s="17">
        <f t="shared" si="14"/>
        <v>0</v>
      </c>
      <c r="J129" s="18">
        <f t="shared" si="15"/>
        <v>0</v>
      </c>
      <c r="K129" s="18">
        <f t="shared" si="16"/>
        <v>0</v>
      </c>
      <c r="L129" s="18">
        <f t="shared" si="10"/>
        <v>42.19</v>
      </c>
      <c r="M129" s="18">
        <f t="shared" si="17"/>
        <v>0</v>
      </c>
      <c r="N129" s="18">
        <f t="shared" si="11"/>
        <v>42.19</v>
      </c>
      <c r="O129" s="8"/>
    </row>
    <row r="130" spans="1:15">
      <c r="A130" s="1" t="s">
        <v>120</v>
      </c>
      <c r="B130" s="11"/>
      <c r="C130" s="11">
        <v>3780000</v>
      </c>
      <c r="D130" s="11">
        <v>3794000</v>
      </c>
      <c r="E130" s="11">
        <v>0</v>
      </c>
      <c r="F130" s="11">
        <f t="shared" si="9"/>
        <v>14000</v>
      </c>
      <c r="G130" s="17">
        <f t="shared" si="12"/>
        <v>42.19</v>
      </c>
      <c r="H130" s="17">
        <f t="shared" si="13"/>
        <v>9.1999999999999993</v>
      </c>
      <c r="I130" s="17">
        <f t="shared" si="14"/>
        <v>0</v>
      </c>
      <c r="J130" s="18">
        <f t="shared" si="15"/>
        <v>0</v>
      </c>
      <c r="K130" s="18">
        <f t="shared" si="16"/>
        <v>0</v>
      </c>
      <c r="L130" s="18">
        <f t="shared" si="10"/>
        <v>51.39</v>
      </c>
      <c r="M130" s="18">
        <f t="shared" si="17"/>
        <v>2.1040758293838864</v>
      </c>
      <c r="N130" s="18">
        <f t="shared" si="11"/>
        <v>53.494075829383888</v>
      </c>
      <c r="O130" s="8"/>
    </row>
    <row r="131" spans="1:15">
      <c r="A131" s="1" t="s">
        <v>121</v>
      </c>
      <c r="B131" s="11" t="s">
        <v>138</v>
      </c>
      <c r="C131" s="11">
        <v>0</v>
      </c>
      <c r="D131" s="11">
        <v>0</v>
      </c>
      <c r="E131" s="11">
        <v>0</v>
      </c>
      <c r="F131" s="11">
        <f t="shared" si="9"/>
        <v>0</v>
      </c>
      <c r="G131" s="17">
        <f t="shared" si="12"/>
        <v>12.41</v>
      </c>
      <c r="H131" s="17">
        <f t="shared" si="13"/>
        <v>0</v>
      </c>
      <c r="I131" s="17">
        <f t="shared" si="14"/>
        <v>0</v>
      </c>
      <c r="J131" s="18">
        <f t="shared" si="15"/>
        <v>0</v>
      </c>
      <c r="K131" s="18">
        <f t="shared" si="16"/>
        <v>0</v>
      </c>
      <c r="L131" s="18">
        <f t="shared" si="10"/>
        <v>12.41</v>
      </c>
      <c r="M131" s="18">
        <f t="shared" si="17"/>
        <v>0</v>
      </c>
      <c r="N131" s="18">
        <f t="shared" si="11"/>
        <v>12.41</v>
      </c>
      <c r="O131" s="8"/>
    </row>
    <row r="132" spans="1:15">
      <c r="A132" s="1" t="s">
        <v>122</v>
      </c>
      <c r="B132" s="11"/>
      <c r="C132" s="11">
        <v>1429000</v>
      </c>
      <c r="D132" s="11">
        <v>1447000</v>
      </c>
      <c r="E132" s="11">
        <v>0</v>
      </c>
      <c r="F132" s="11">
        <f t="shared" si="9"/>
        <v>18000</v>
      </c>
      <c r="G132" s="17">
        <f t="shared" si="12"/>
        <v>42.19</v>
      </c>
      <c r="H132" s="17">
        <f t="shared" si="13"/>
        <v>18.399999999999999</v>
      </c>
      <c r="I132" s="17">
        <f t="shared" si="14"/>
        <v>0</v>
      </c>
      <c r="J132" s="18">
        <f t="shared" si="15"/>
        <v>0</v>
      </c>
      <c r="K132" s="18">
        <f t="shared" si="16"/>
        <v>0</v>
      </c>
      <c r="L132" s="18">
        <f t="shared" si="10"/>
        <v>60.589999999999996</v>
      </c>
      <c r="M132" s="18">
        <f t="shared" si="17"/>
        <v>4.2081516587677728</v>
      </c>
      <c r="N132" s="18">
        <f t="shared" si="11"/>
        <v>64.798151658767765</v>
      </c>
      <c r="O132" s="8"/>
    </row>
    <row r="133" spans="1:15">
      <c r="A133" s="1" t="s">
        <v>123</v>
      </c>
      <c r="B133" s="11" t="s">
        <v>138</v>
      </c>
      <c r="C133" s="11">
        <v>0</v>
      </c>
      <c r="D133" s="11">
        <v>0</v>
      </c>
      <c r="E133" s="11">
        <v>0</v>
      </c>
      <c r="F133" s="11">
        <f t="shared" si="9"/>
        <v>0</v>
      </c>
      <c r="G133" s="17">
        <f t="shared" si="12"/>
        <v>12.41</v>
      </c>
      <c r="H133" s="17">
        <f t="shared" si="13"/>
        <v>0</v>
      </c>
      <c r="I133" s="17">
        <f t="shared" si="14"/>
        <v>0</v>
      </c>
      <c r="J133" s="18">
        <f t="shared" si="15"/>
        <v>0</v>
      </c>
      <c r="K133" s="18">
        <f t="shared" si="16"/>
        <v>0</v>
      </c>
      <c r="L133" s="18">
        <f t="shared" si="10"/>
        <v>12.41</v>
      </c>
      <c r="M133" s="18">
        <f t="shared" si="17"/>
        <v>0</v>
      </c>
      <c r="N133" s="18">
        <f t="shared" si="11"/>
        <v>12.41</v>
      </c>
      <c r="O133" s="8"/>
    </row>
    <row r="134" spans="1:15">
      <c r="A134" s="1" t="s">
        <v>124</v>
      </c>
      <c r="B134" s="11" t="s">
        <v>138</v>
      </c>
      <c r="C134" s="11">
        <v>0</v>
      </c>
      <c r="D134" s="11">
        <v>0</v>
      </c>
      <c r="E134" s="11">
        <v>0</v>
      </c>
      <c r="F134" s="11">
        <f t="shared" si="9"/>
        <v>0</v>
      </c>
      <c r="G134" s="17">
        <f t="shared" si="12"/>
        <v>12.41</v>
      </c>
      <c r="H134" s="17">
        <f t="shared" si="13"/>
        <v>0</v>
      </c>
      <c r="I134" s="17">
        <f t="shared" si="14"/>
        <v>0</v>
      </c>
      <c r="J134" s="18">
        <f t="shared" si="15"/>
        <v>0</v>
      </c>
      <c r="K134" s="18">
        <f t="shared" si="16"/>
        <v>0</v>
      </c>
      <c r="L134" s="18">
        <f t="shared" si="10"/>
        <v>12.41</v>
      </c>
      <c r="M134" s="18">
        <f t="shared" si="17"/>
        <v>0</v>
      </c>
      <c r="N134" s="18">
        <f t="shared" si="11"/>
        <v>12.41</v>
      </c>
      <c r="O134" s="8"/>
    </row>
    <row r="135" spans="1:15">
      <c r="A135" s="1" t="s">
        <v>125</v>
      </c>
      <c r="B135" s="11" t="s">
        <v>138</v>
      </c>
      <c r="C135" s="11">
        <v>0</v>
      </c>
      <c r="D135" s="11">
        <v>0</v>
      </c>
      <c r="E135" s="11">
        <v>0</v>
      </c>
      <c r="F135" s="11">
        <f t="shared" si="9"/>
        <v>0</v>
      </c>
      <c r="G135" s="17">
        <f t="shared" si="12"/>
        <v>12.41</v>
      </c>
      <c r="H135" s="17">
        <f t="shared" si="13"/>
        <v>0</v>
      </c>
      <c r="I135" s="17">
        <f t="shared" si="14"/>
        <v>0</v>
      </c>
      <c r="J135" s="18">
        <f t="shared" si="15"/>
        <v>0</v>
      </c>
      <c r="K135" s="18">
        <f t="shared" si="16"/>
        <v>0</v>
      </c>
      <c r="L135" s="18">
        <f t="shared" si="10"/>
        <v>12.41</v>
      </c>
      <c r="M135" s="18">
        <f t="shared" si="17"/>
        <v>0</v>
      </c>
      <c r="N135" s="18">
        <f t="shared" si="11"/>
        <v>12.41</v>
      </c>
      <c r="O135" s="8"/>
    </row>
    <row r="136" spans="1:15">
      <c r="A136" s="1" t="s">
        <v>126</v>
      </c>
      <c r="B136" s="11"/>
      <c r="C136" s="11">
        <v>1368000</v>
      </c>
      <c r="D136" s="11">
        <v>1416000</v>
      </c>
      <c r="E136" s="11">
        <v>0</v>
      </c>
      <c r="F136" s="11">
        <f t="shared" si="9"/>
        <v>48000</v>
      </c>
      <c r="G136" s="17">
        <f t="shared" si="12"/>
        <v>42.19</v>
      </c>
      <c r="H136" s="17">
        <f t="shared" si="13"/>
        <v>23</v>
      </c>
      <c r="I136" s="17">
        <f t="shared" si="14"/>
        <v>26.7</v>
      </c>
      <c r="J136" s="18">
        <f t="shared" si="15"/>
        <v>31</v>
      </c>
      <c r="K136" s="18">
        <f t="shared" si="16"/>
        <v>28.8</v>
      </c>
      <c r="L136" s="18">
        <f t="shared" si="10"/>
        <v>151.69</v>
      </c>
      <c r="M136" s="18">
        <f t="shared" si="17"/>
        <v>19.988720379146923</v>
      </c>
      <c r="N136" s="18">
        <f t="shared" si="11"/>
        <v>171.67872037914691</v>
      </c>
      <c r="O136" s="8"/>
    </row>
    <row r="137" spans="1:15">
      <c r="B137" s="11"/>
      <c r="C137" s="11"/>
      <c r="D137" s="11"/>
      <c r="E137" s="11"/>
      <c r="F137" s="11"/>
      <c r="G137" s="17"/>
      <c r="H137" s="17"/>
      <c r="I137" s="17"/>
      <c r="J137" s="18"/>
      <c r="K137" s="18"/>
      <c r="L137" s="18"/>
      <c r="M137" s="18"/>
      <c r="N137" s="18"/>
      <c r="O137" s="8"/>
    </row>
    <row r="138" spans="1:15">
      <c r="J138" s="1" t="s">
        <v>136</v>
      </c>
      <c r="M138" s="27">
        <f>SUM(M11:M136)</f>
        <v>332.96999999999986</v>
      </c>
      <c r="N138" s="5">
        <f>SUM(N11:N136)</f>
        <v>6383.8899999999903</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SUM(F11:F136)</f>
        <v>1307000</v>
      </c>
      <c r="G140" s="75">
        <f t="shared" ref="G140:L140" si="18">SUM(G11:G136)</f>
        <v>4416.4499999999989</v>
      </c>
      <c r="H140" s="75">
        <f t="shared" si="18"/>
        <v>673.89999999999986</v>
      </c>
      <c r="I140" s="75">
        <f t="shared" si="18"/>
        <v>403.1699999999999</v>
      </c>
      <c r="J140" s="75">
        <f t="shared" si="18"/>
        <v>204.6</v>
      </c>
      <c r="K140" s="75">
        <f t="shared" si="18"/>
        <v>352.8</v>
      </c>
      <c r="L140" s="75">
        <f t="shared" si="18"/>
        <v>6050.9199999999901</v>
      </c>
    </row>
    <row r="141" spans="1:15" customFormat="1">
      <c r="A141" t="s">
        <v>250</v>
      </c>
    </row>
    <row r="142" spans="1:15" customFormat="1">
      <c r="D142" t="s">
        <v>248</v>
      </c>
      <c r="E142" t="s">
        <v>148</v>
      </c>
      <c r="F142" s="1"/>
      <c r="G142" t="s">
        <v>258</v>
      </c>
      <c r="H142" t="s">
        <v>166</v>
      </c>
      <c r="I142" t="s">
        <v>167</v>
      </c>
      <c r="J142" t="s">
        <v>169</v>
      </c>
      <c r="K142" t="s">
        <v>252</v>
      </c>
      <c r="L142" t="s">
        <v>251</v>
      </c>
    </row>
    <row r="143" spans="1:15" customFormat="1">
      <c r="A143" t="s">
        <v>254</v>
      </c>
      <c r="D143">
        <v>82</v>
      </c>
      <c r="E143" s="25">
        <f>SUM(M18:M130)</f>
        <v>256.17123222748813</v>
      </c>
      <c r="F143" s="1"/>
      <c r="G143" s="25">
        <f>SUM(G18:G130)-G145</f>
        <v>3459.5800000000027</v>
      </c>
      <c r="H143" s="80">
        <f>SUM(H18:H130)-H145</f>
        <v>581.9</v>
      </c>
      <c r="I143" s="25">
        <f>SUM(I18:I130)-I145</f>
        <v>333.74999999999994</v>
      </c>
      <c r="J143" s="25">
        <f>SUM(J18:J130)-J145</f>
        <v>142.60000000000002</v>
      </c>
      <c r="K143" s="25">
        <f>SUM(K18:K130)-K145</f>
        <v>226.8</v>
      </c>
      <c r="L143" s="25">
        <f>SUM(F143:K143)</f>
        <v>4744.6300000000028</v>
      </c>
    </row>
    <row r="144" spans="1:15" customFormat="1">
      <c r="A144" t="s">
        <v>255</v>
      </c>
      <c r="D144">
        <v>8</v>
      </c>
      <c r="E144" s="25">
        <f>SUM(M11:M15)+M17+SUM(M131:M136)</f>
        <v>63.648293838862564</v>
      </c>
      <c r="F144" s="1"/>
      <c r="G144" s="34">
        <f>SUM(G11:G15)+G17+G132+G136</f>
        <v>337.52</v>
      </c>
      <c r="H144" s="34">
        <f>SUM(H11:H15)+H17+H132+H136</f>
        <v>92</v>
      </c>
      <c r="I144" s="34">
        <f>SUM(I11:I15)+I17+I132+I136</f>
        <v>69.42</v>
      </c>
      <c r="J144" s="34">
        <f>SUM(J11:J15)+J17+J132+J136</f>
        <v>62</v>
      </c>
      <c r="K144" s="34">
        <f>SUM(K11:K15)+K17+K132+K136</f>
        <v>126</v>
      </c>
      <c r="L144" s="25">
        <f t="shared" ref="L144:L147" si="19">SUM(F144:K144)</f>
        <v>686.94</v>
      </c>
    </row>
    <row r="145" spans="1:13" customFormat="1">
      <c r="A145" t="s">
        <v>260</v>
      </c>
      <c r="D145">
        <v>31</v>
      </c>
      <c r="E145" s="25">
        <v>0</v>
      </c>
      <c r="F145" s="1"/>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19"/>
        <v>384.71000000000021</v>
      </c>
    </row>
    <row r="146" spans="1:13" customFormat="1">
      <c r="A146" t="s">
        <v>261</v>
      </c>
      <c r="D146">
        <v>4</v>
      </c>
      <c r="E146" s="25">
        <v>0</v>
      </c>
      <c r="F146" s="1"/>
      <c r="G146" s="25">
        <f>G135+G134+G133+G131</f>
        <v>49.64</v>
      </c>
      <c r="H146" s="25">
        <f>H135+H134+H133+H131</f>
        <v>0</v>
      </c>
      <c r="I146" s="25">
        <f>I135+I134+I133+I131</f>
        <v>0</v>
      </c>
      <c r="J146" s="25">
        <f>J135+J134+J133+J131</f>
        <v>0</v>
      </c>
      <c r="K146" s="25">
        <f>K135+K134+K133+K131</f>
        <v>0</v>
      </c>
      <c r="L146" s="25">
        <f t="shared" si="19"/>
        <v>49.64</v>
      </c>
    </row>
    <row r="147" spans="1:13" customFormat="1">
      <c r="A147" t="s">
        <v>253</v>
      </c>
      <c r="D147">
        <v>1</v>
      </c>
      <c r="E147" s="25">
        <f>M16</f>
        <v>13.150473933649291</v>
      </c>
      <c r="G147" s="25">
        <f>G16</f>
        <v>185</v>
      </c>
      <c r="H147" s="25">
        <f>H16</f>
        <v>0</v>
      </c>
      <c r="I147" s="25">
        <f>I16</f>
        <v>0</v>
      </c>
      <c r="J147" s="25">
        <f>J16</f>
        <v>0</v>
      </c>
      <c r="K147" s="25">
        <f>K16</f>
        <v>0</v>
      </c>
      <c r="L147" s="25">
        <f t="shared" si="19"/>
        <v>185</v>
      </c>
      <c r="M147" s="1"/>
    </row>
    <row r="148" spans="1:13" customFormat="1" ht="15.75" thickBot="1">
      <c r="B148" t="s">
        <v>257</v>
      </c>
      <c r="D148" s="73">
        <f>SUM(D143:D147)</f>
        <v>126</v>
      </c>
      <c r="E148" s="74">
        <f>SUM(E143:E147)</f>
        <v>332.96999999999997</v>
      </c>
      <c r="F148" s="73"/>
      <c r="G148" s="74">
        <f t="shared" ref="G148:L148" si="20">SUM(G143:G147)</f>
        <v>4416.4500000000035</v>
      </c>
      <c r="H148" s="74">
        <f t="shared" si="20"/>
        <v>673.9</v>
      </c>
      <c r="I148" s="74">
        <f t="shared" si="20"/>
        <v>403.16999999999996</v>
      </c>
      <c r="J148" s="74">
        <f t="shared" si="20"/>
        <v>204.60000000000002</v>
      </c>
      <c r="K148" s="74">
        <f t="shared" si="20"/>
        <v>352.8</v>
      </c>
      <c r="L148" s="74">
        <f t="shared" si="20"/>
        <v>6050.9200000000037</v>
      </c>
      <c r="M148" s="1"/>
    </row>
    <row r="149" spans="1:13" customFormat="1" ht="16.5" thickTop="1" thickBot="1">
      <c r="D149" s="78"/>
      <c r="E149" s="78"/>
      <c r="F149" s="78"/>
      <c r="G149" s="79"/>
      <c r="H149" s="79"/>
      <c r="I149" s="79"/>
      <c r="J149" s="79"/>
      <c r="K149" s="79"/>
      <c r="L149" s="79"/>
      <c r="M149" s="1"/>
    </row>
    <row r="150" spans="1:13" customFormat="1">
      <c r="D150" s="188" t="s">
        <v>376</v>
      </c>
      <c r="E150" s="78"/>
      <c r="F150" s="78"/>
      <c r="G150" s="79"/>
      <c r="H150" s="79"/>
      <c r="I150" s="79"/>
      <c r="J150" s="79"/>
      <c r="K150" s="79"/>
      <c r="L150" s="79"/>
      <c r="M150" s="1"/>
    </row>
    <row r="151" spans="1:13" customFormat="1" ht="15.75" thickBot="1">
      <c r="D151" s="189" t="s">
        <v>375</v>
      </c>
      <c r="E151" s="78"/>
      <c r="F151" s="78"/>
      <c r="G151" s="79"/>
      <c r="H151" s="79"/>
      <c r="I151" s="79"/>
      <c r="J151" s="79"/>
      <c r="K151" s="79"/>
      <c r="L151" s="79"/>
      <c r="M151" s="1"/>
    </row>
    <row r="152" spans="1:13" customFormat="1">
      <c r="A152" t="s">
        <v>262</v>
      </c>
      <c r="D152" s="81">
        <f>COUNTIF(M18:M130,"&gt;0")</f>
        <v>36</v>
      </c>
      <c r="E152" s="81">
        <f>E143/E148*P7</f>
        <v>487000</v>
      </c>
      <c r="F152" s="75"/>
      <c r="G152" s="81">
        <f>F140-G153-G154-(SUM(H155:K155))</f>
        <v>614000</v>
      </c>
      <c r="H152" s="81">
        <f>H143/2.3*1000</f>
        <v>253000</v>
      </c>
      <c r="I152" s="81">
        <f>I143/2.67*1000</f>
        <v>124999.99999999999</v>
      </c>
      <c r="J152" s="81">
        <f>J143/3.1*1000</f>
        <v>46000.000000000007</v>
      </c>
      <c r="K152" s="81">
        <f>K143/3.6*1000</f>
        <v>63000</v>
      </c>
      <c r="L152" s="81">
        <f>SUM(G152:K152)</f>
        <v>1101000</v>
      </c>
      <c r="M152" s="1"/>
    </row>
    <row r="153" spans="1:13" customFormat="1">
      <c r="A153" t="s">
        <v>263</v>
      </c>
      <c r="D153" s="81">
        <v>5</v>
      </c>
      <c r="E153" s="81">
        <f>E144/E148*P7</f>
        <v>121000.00000000003</v>
      </c>
      <c r="F153" s="75"/>
      <c r="G153" s="81">
        <f>(SUM(F11:F15)+F17+SUM(F131:F136)-H153-I153-J153-K153)</f>
        <v>50000</v>
      </c>
      <c r="H153" s="81">
        <f>H144/2.3*1000</f>
        <v>40000</v>
      </c>
      <c r="I153" s="81">
        <f>I144/2.67*1000</f>
        <v>26000</v>
      </c>
      <c r="J153" s="81">
        <f>J144/3.1*1000</f>
        <v>20000</v>
      </c>
      <c r="K153" s="81">
        <f>K144/3.6*1000</f>
        <v>35000</v>
      </c>
      <c r="L153" s="81">
        <f>SUM(G153:K153)</f>
        <v>171000</v>
      </c>
      <c r="M153" s="1"/>
    </row>
    <row r="154" spans="1:13" customFormat="1">
      <c r="A154" t="s">
        <v>264</v>
      </c>
      <c r="D154" s="81">
        <v>1</v>
      </c>
      <c r="E154" s="81">
        <f>E147/E148*P7</f>
        <v>25000.000000000004</v>
      </c>
      <c r="F154" s="75"/>
      <c r="G154" s="81">
        <f>IF(F16&gt;100000,100000,F16)</f>
        <v>35000</v>
      </c>
      <c r="H154" s="81">
        <f>H147/1.99*1000</f>
        <v>0</v>
      </c>
      <c r="I154" s="81" t="s">
        <v>259</v>
      </c>
      <c r="J154" s="81" t="s">
        <v>259</v>
      </c>
      <c r="K154" s="81" t="s">
        <v>259</v>
      </c>
      <c r="L154" s="81">
        <f>SUM(G154:K154)</f>
        <v>35000</v>
      </c>
      <c r="M154" s="1"/>
    </row>
    <row r="155" spans="1:13" customFormat="1" ht="15.75" thickBot="1">
      <c r="B155" t="s">
        <v>265</v>
      </c>
      <c r="D155" s="82">
        <f>SUM(D152:D154)</f>
        <v>42</v>
      </c>
      <c r="E155" s="82">
        <f>SUM(E152:E154)</f>
        <v>633000</v>
      </c>
      <c r="F155" s="77"/>
      <c r="G155" s="82">
        <f>G152+G153+G154</f>
        <v>699000</v>
      </c>
      <c r="H155" s="82">
        <f>SUM(H152:H154)</f>
        <v>293000</v>
      </c>
      <c r="I155" s="82">
        <f>SUM(I152:I154)</f>
        <v>151000</v>
      </c>
      <c r="J155" s="82">
        <f>SUM(J152:J154)</f>
        <v>66000</v>
      </c>
      <c r="K155" s="82">
        <f>SUM(K152:K154)</f>
        <v>98000</v>
      </c>
      <c r="L155" s="82">
        <f>SUM(L152:L154)</f>
        <v>1307000</v>
      </c>
      <c r="M155" s="1"/>
    </row>
    <row r="156" spans="1:13" ht="15.75" thickTop="1">
      <c r="E156" s="1" t="s">
        <v>274</v>
      </c>
    </row>
    <row r="157" spans="1:13">
      <c r="E157" s="75" t="s">
        <v>275</v>
      </c>
    </row>
    <row r="158" spans="1:13">
      <c r="E158" s="75" t="s">
        <v>273</v>
      </c>
    </row>
    <row r="159" spans="1:13">
      <c r="E159" s="75" t="s">
        <v>276</v>
      </c>
    </row>
    <row r="160" spans="1:13">
      <c r="F160" s="86"/>
      <c r="G160" s="191"/>
      <c r="H160" s="191"/>
      <c r="I160" s="191"/>
      <c r="J160" s="191"/>
      <c r="K160" s="191"/>
      <c r="L160" s="191"/>
    </row>
    <row r="161" spans="6:6">
      <c r="F161" s="191"/>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sheetPr>
    <pageSetUpPr fitToPage="1"/>
  </sheetPr>
  <dimension ref="A1:Q161"/>
  <sheetViews>
    <sheetView zoomScale="90" zoomScaleNormal="9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7" ht="46.5">
      <c r="A1" s="2" t="s">
        <v>141</v>
      </c>
    </row>
    <row r="2" spans="1:17" ht="28.5">
      <c r="A2" s="3" t="s">
        <v>142</v>
      </c>
    </row>
    <row r="4" spans="1:17">
      <c r="A4" s="1" t="s">
        <v>143</v>
      </c>
      <c r="B4" s="23">
        <v>41183</v>
      </c>
      <c r="D4" s="1" t="s">
        <v>146</v>
      </c>
      <c r="G4" s="1" t="s">
        <v>156</v>
      </c>
      <c r="J4" s="1" t="s">
        <v>163</v>
      </c>
      <c r="K4" s="5">
        <v>42.19</v>
      </c>
      <c r="M4" s="1" t="s">
        <v>164</v>
      </c>
      <c r="N4" s="5">
        <v>12.41</v>
      </c>
      <c r="O4" s="1" t="s">
        <v>149</v>
      </c>
      <c r="P4" s="1">
        <f>SUM(F11:F136)</f>
        <v>1310000</v>
      </c>
      <c r="Q4" s="1">
        <f>P4/90</f>
        <v>14555.555555555555</v>
      </c>
    </row>
    <row r="5" spans="1:17">
      <c r="A5" s="1" t="s">
        <v>165</v>
      </c>
      <c r="B5" s="24">
        <v>41213</v>
      </c>
      <c r="D5" s="1" t="s">
        <v>144</v>
      </c>
      <c r="E5" s="1">
        <v>0</v>
      </c>
      <c r="G5" s="1" t="s">
        <v>155</v>
      </c>
      <c r="H5" s="1">
        <v>1</v>
      </c>
      <c r="J5" s="1" t="s">
        <v>166</v>
      </c>
      <c r="K5" s="5">
        <v>2.2999999999999998</v>
      </c>
      <c r="M5" s="1" t="s">
        <v>6</v>
      </c>
      <c r="N5" s="5">
        <v>185</v>
      </c>
      <c r="O5" s="1" t="s">
        <v>154</v>
      </c>
      <c r="P5" s="1">
        <f>P4-F16</f>
        <v>1272000</v>
      </c>
    </row>
    <row r="6" spans="1:17">
      <c r="B6" s="4"/>
      <c r="D6" s="1" t="s">
        <v>145</v>
      </c>
      <c r="E6" s="1">
        <v>0</v>
      </c>
      <c r="G6" s="1" t="s">
        <v>158</v>
      </c>
      <c r="H6" s="1">
        <v>35000</v>
      </c>
      <c r="J6" s="1" t="s">
        <v>167</v>
      </c>
      <c r="K6" s="5">
        <v>2.67</v>
      </c>
      <c r="M6" s="1" t="s">
        <v>168</v>
      </c>
      <c r="N6" s="5">
        <v>1.99</v>
      </c>
      <c r="O6" s="1" t="s">
        <v>160</v>
      </c>
      <c r="P6" s="1">
        <f>SUMIF(F11:F15,"&gt;" &amp; $H$6)+SUMIF(F17:F136,"&gt;" &amp; $H$6)+SUMIF(F16,"&gt;" &amp; $H$7)</f>
        <v>335000</v>
      </c>
    </row>
    <row r="7" spans="1:17">
      <c r="B7" s="4"/>
      <c r="D7" s="1" t="s">
        <v>150</v>
      </c>
      <c r="E7" s="12">
        <v>0</v>
      </c>
      <c r="G7" s="1" t="s">
        <v>159</v>
      </c>
      <c r="H7" s="12">
        <v>100000</v>
      </c>
      <c r="J7" s="1" t="s">
        <v>169</v>
      </c>
      <c r="K7" s="5">
        <v>3.1</v>
      </c>
      <c r="M7" s="1" t="s">
        <v>170</v>
      </c>
      <c r="N7" s="5">
        <v>1755</v>
      </c>
      <c r="O7" s="1" t="s">
        <v>161</v>
      </c>
      <c r="P7" s="1">
        <f>(SUMIF(F11:F15,"&gt;" &amp; $H$6)-(COUNTIF(F11:F15,"&gt;" &amp; $H$6)*$H$6))+(SUMIF(F17:F136,"&gt;" &amp; $H$6)-(COUNTIF(F17:F136,"&gt;" &amp; $H$6)*$H$6))+(SUMIF(F16,"&gt;" &amp; $H$7)-(COUNTIF(F16,"&gt;" &amp; $H$7)*$H$7))</f>
        <v>125000</v>
      </c>
    </row>
    <row r="8" spans="1:17">
      <c r="D8" s="1" t="s">
        <v>147</v>
      </c>
      <c r="E8" s="25">
        <v>332.97</v>
      </c>
      <c r="H8" s="6"/>
      <c r="J8" s="1" t="s">
        <v>171</v>
      </c>
      <c r="K8" s="5">
        <v>3.6</v>
      </c>
    </row>
    <row r="9" spans="1:17">
      <c r="D9" s="1" t="s">
        <v>204</v>
      </c>
    </row>
    <row r="10" spans="1:17">
      <c r="A10" s="7" t="s">
        <v>0</v>
      </c>
      <c r="B10" s="10" t="s">
        <v>137</v>
      </c>
      <c r="C10" s="13" t="s">
        <v>195</v>
      </c>
      <c r="D10" s="26" t="s">
        <v>205</v>
      </c>
      <c r="E10" s="10" t="s">
        <v>140</v>
      </c>
      <c r="F10" s="10" t="s">
        <v>157</v>
      </c>
      <c r="G10" s="21" t="s">
        <v>132</v>
      </c>
      <c r="H10" s="21" t="s">
        <v>128</v>
      </c>
      <c r="I10" s="21" t="s">
        <v>129</v>
      </c>
      <c r="J10" s="22" t="s">
        <v>130</v>
      </c>
      <c r="K10" s="22" t="s">
        <v>131</v>
      </c>
      <c r="L10" s="22" t="s">
        <v>162</v>
      </c>
      <c r="M10" s="22" t="s">
        <v>148</v>
      </c>
      <c r="N10" s="22" t="s">
        <v>135</v>
      </c>
      <c r="O10" s="9" t="s">
        <v>127</v>
      </c>
    </row>
    <row r="11" spans="1:17">
      <c r="A11" s="1" t="s">
        <v>1</v>
      </c>
      <c r="B11" s="11"/>
      <c r="C11" s="11">
        <v>9515000</v>
      </c>
      <c r="D11" s="11">
        <v>9665000</v>
      </c>
      <c r="E11" s="11">
        <v>0</v>
      </c>
      <c r="F11" s="11">
        <v>26000</v>
      </c>
      <c r="G11" s="17">
        <f>IF(OR($F11&gt;0,$B11=""),$K$4,$N$4)</f>
        <v>42.19</v>
      </c>
      <c r="H11" s="17">
        <f>IF(AND((($F11-10000)&gt;=0),(($F11-10000)&lt;= 10000)),($F11-10000)/1000*$K$5,IF(($F11-10000)&gt;=10000,$K$5*10,0))</f>
        <v>23</v>
      </c>
      <c r="I11" s="17">
        <f>IF(AND((($F11-20000)&gt;=0),(($F11-20000)&lt;=10000)),($F11-20000)/1000*$K$6,IF(($F11-20000)&gt;=10000,$K$6*10,0))</f>
        <v>16.02</v>
      </c>
      <c r="J11" s="18">
        <f>IF(AND((($F11-30000)&gt;=0),(($F11-30000)&lt;=10000)),($F11-30000)/1000*$K$7,IF(($F11-30000)&gt;=10000,$K$7*10,0))</f>
        <v>0</v>
      </c>
      <c r="K11" s="18">
        <f>IF((($F11-40000)&gt;=0),($F11-40000)/1000*$K$8,0)</f>
        <v>0</v>
      </c>
      <c r="L11" s="18">
        <f>SUM(G11:K11)</f>
        <v>81.209999999999994</v>
      </c>
      <c r="M11" s="18">
        <f>IF(   $H$5=1,    IF((F11-$H$6)&gt;0,((F11-$H$6)/$P$7)*$E$8,0),   IF(F11&gt;0,(F11/$P$4)*$E$8,0)    )</f>
        <v>0</v>
      </c>
      <c r="N11" s="18">
        <f>SUM(L11:M11)</f>
        <v>81.209999999999994</v>
      </c>
      <c r="O11" s="8"/>
    </row>
    <row r="12" spans="1:17">
      <c r="A12" s="1" t="s">
        <v>2</v>
      </c>
      <c r="B12" s="11"/>
      <c r="C12" s="11">
        <v>7052000</v>
      </c>
      <c r="D12" s="11">
        <v>7052000</v>
      </c>
      <c r="E12" s="11">
        <v>0</v>
      </c>
      <c r="F12" s="11">
        <f t="shared" ref="F12:F74" si="0">($D12-$C12)+$E12</f>
        <v>0</v>
      </c>
      <c r="G12" s="17">
        <f>IF(OR($F12&gt;0,$B12=""),$K$4,$N$4)</f>
        <v>42.19</v>
      </c>
      <c r="H12" s="17">
        <f>IF(AND((($F12-10000)&gt;=0),(($F12-10000)&lt;= 10000)),($F12-10000)/1000*$K$5,IF(($F12-10000)&gt;=10000,$K$5*10,0))</f>
        <v>0</v>
      </c>
      <c r="I12" s="17">
        <f>IF(AND((($F12-20000)&gt;=0),(($F12-20000)&lt;=10000)),($F12-20000)/1000*$K$6,IF(($F12-20000)&gt;=10000,$K$6*10,0))</f>
        <v>0</v>
      </c>
      <c r="J12" s="18">
        <f>IF(AND((($F12-30000)&gt;=0),(($F12-30000)&lt;=10000)),($F12-30000)/1000*$K$7,IF(($F12-30000)&gt;=10000,$K$7*10,0))</f>
        <v>0</v>
      </c>
      <c r="K12" s="18">
        <f>IF((($F12-40000)&gt;=0),($F12-40000)/1000*$K$8,0)</f>
        <v>0</v>
      </c>
      <c r="L12" s="18">
        <f t="shared" ref="L12:L75" si="1">SUM(G12:K12)</f>
        <v>42.19</v>
      </c>
      <c r="M12" s="18">
        <f>IF(   $H$5=1,    IF((F12-$H$6)&gt;0,((F12-$H$6)/$P$7)*$E$8,0),   IF(F12&gt;0,(F12/$P$4)*$E$8,0)    )</f>
        <v>0</v>
      </c>
      <c r="N12" s="18">
        <f t="shared" ref="N12:N75" si="2">SUM(L12:M12)</f>
        <v>42.19</v>
      </c>
      <c r="O12" s="8"/>
    </row>
    <row r="13" spans="1:17">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IF((F13-$H$6)&gt;0,((F13-$H$6)/$P$7)*$E$8,0),   IF(F13&gt;0,(F13/$P$4)*$E$8,0)    )</f>
        <v>0</v>
      </c>
      <c r="N13" s="18">
        <f t="shared" si="2"/>
        <v>42.19</v>
      </c>
      <c r="O13" s="8" t="s">
        <v>134</v>
      </c>
    </row>
    <row r="14" spans="1:17">
      <c r="A14" s="1" t="s">
        <v>4</v>
      </c>
      <c r="B14" s="11"/>
      <c r="C14" s="11">
        <v>3718000</v>
      </c>
      <c r="D14" s="11">
        <v>3718000</v>
      </c>
      <c r="E14" s="11">
        <v>0</v>
      </c>
      <c r="F14" s="11">
        <f t="shared" si="0"/>
        <v>0</v>
      </c>
      <c r="G14" s="17">
        <f>IF(OR($F14&gt;0,$B14=""),$K$4,$N$4)</f>
        <v>42.19</v>
      </c>
      <c r="H14" s="17">
        <f>IF(AND((($F14-10000)&gt;=0),(($F14-10000)&lt;= 10000)),($F14-10000)/1000*$K$5,IF(($F14-10000)&gt;=10000,$K$5*10,0))</f>
        <v>0</v>
      </c>
      <c r="I14" s="17">
        <f>IF(AND((($F14-20000)&gt;=0),(($F14-20000)&lt;=10000)),($F14-20000)/1000*$K$6,IF(($F14-20000)&gt;=10000,$K$6*10,0))</f>
        <v>0</v>
      </c>
      <c r="J14" s="18">
        <f>IF(AND((($F14-30000)&gt;=0),(($F14-30000)&lt;=10000)),($F14-30000)/1000*$K$7,IF(($F14-30000)&gt;=10000,$K$7*10,0))</f>
        <v>0</v>
      </c>
      <c r="K14" s="18">
        <f>IF((($F14-40000)&gt;=0),($F14-40000)/1000*$K$8,0)</f>
        <v>0</v>
      </c>
      <c r="L14" s="18">
        <f t="shared" si="1"/>
        <v>42.19</v>
      </c>
      <c r="M14" s="18">
        <f>IF(   $H$5=1,    IF((F14-$H$6)&gt;0,((F14-$H$6)/$P$7)*$E$8,0),   IF(F14&gt;0,(F14/$P$4)*$E$8,0)    )</f>
        <v>0</v>
      </c>
      <c r="N14" s="18">
        <f t="shared" si="2"/>
        <v>42.19</v>
      </c>
      <c r="O14" s="8"/>
    </row>
    <row r="15" spans="1:17">
      <c r="A15" s="1" t="s">
        <v>5</v>
      </c>
      <c r="B15" s="11"/>
      <c r="C15" s="11">
        <v>2944000</v>
      </c>
      <c r="D15" s="11">
        <v>3011000</v>
      </c>
      <c r="E15" s="11">
        <v>0</v>
      </c>
      <c r="F15" s="11">
        <f t="shared" si="0"/>
        <v>67000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97.2</v>
      </c>
      <c r="L15" s="18">
        <f t="shared" si="1"/>
        <v>220.09</v>
      </c>
      <c r="M15" s="18">
        <f>IF(   $H$5=1,    IF((F15-$H$6)&gt;0,((F15-$H$6)/$P$7)*$E$8,0),   IF(F15&gt;0,(F15/$P$4)*$E$8,0)    )</f>
        <v>85.240320000000011</v>
      </c>
      <c r="N15" s="18">
        <f t="shared" si="2"/>
        <v>305.33032000000003</v>
      </c>
      <c r="O15" s="8"/>
    </row>
    <row r="16" spans="1:17">
      <c r="A16" s="1" t="s">
        <v>6</v>
      </c>
      <c r="B16" s="11"/>
      <c r="C16" s="11">
        <v>26608000</v>
      </c>
      <c r="D16" s="11">
        <v>26646000</v>
      </c>
      <c r="E16" s="11">
        <v>0</v>
      </c>
      <c r="F16" s="11">
        <f t="shared" si="0"/>
        <v>38000</v>
      </c>
      <c r="G16" s="17">
        <f>$N$5</f>
        <v>185</v>
      </c>
      <c r="H16" s="17">
        <f>IF(($F16-100000)&gt;=0,($F16-100000)/1000*$N$6,0)</f>
        <v>0</v>
      </c>
      <c r="I16" s="17"/>
      <c r="J16" s="18"/>
      <c r="K16" s="18"/>
      <c r="L16" s="18">
        <f t="shared" si="1"/>
        <v>185</v>
      </c>
      <c r="M16" s="18">
        <f>IF(   $H$5=1,     IF((F16-$H$7)&gt;0,((F16-$H$7)/$P$7)*$E$8,0),   IF(F16&gt;0,(F16/$P$4)*$E$8,0)    )</f>
        <v>0</v>
      </c>
      <c r="N16" s="18">
        <f t="shared" si="2"/>
        <v>185</v>
      </c>
      <c r="O16" s="8" t="s">
        <v>133</v>
      </c>
    </row>
    <row r="17" spans="1:15">
      <c r="A17" s="1" t="s">
        <v>7</v>
      </c>
      <c r="B17" s="11"/>
      <c r="C17" s="11">
        <v>669000</v>
      </c>
      <c r="D17" s="11">
        <v>681000</v>
      </c>
      <c r="E17" s="11">
        <v>0</v>
      </c>
      <c r="F17" s="11">
        <f t="shared" si="0"/>
        <v>12000</v>
      </c>
      <c r="G17" s="17">
        <f t="shared" ref="G17:G80" si="3">IF(OR($F17&gt;0,$B17=""),$K$4,$N$4)</f>
        <v>42.19</v>
      </c>
      <c r="H17" s="17">
        <f t="shared" ref="H17:H80" si="4">IF(AND((($F17-10000)&gt;=0),(($F17-10000)&lt;= 10000)),($F17-10000)/1000*$K$5,IF(($F17-10000)&gt;=10000,$K$5*10,0))</f>
        <v>4.5999999999999996</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46.79</v>
      </c>
      <c r="M17" s="18">
        <f t="shared" ref="M17:M48" si="8">IF(   $H$5=1,    IF((F17-$H$6)&gt;0,((F17-$H$6)/$P$7)*$E$8,0),   IF(F17&gt;0,(F17/$P$4)*$E$8,0)    )</f>
        <v>0</v>
      </c>
      <c r="N17" s="18">
        <f t="shared" si="2"/>
        <v>46.79</v>
      </c>
      <c r="O17" s="8"/>
    </row>
    <row r="18" spans="1:15">
      <c r="A18" s="1" t="s">
        <v>8</v>
      </c>
      <c r="B18" s="11"/>
      <c r="C18" s="11">
        <v>556000</v>
      </c>
      <c r="D18" s="11">
        <v>598000</v>
      </c>
      <c r="E18" s="11">
        <v>0</v>
      </c>
      <c r="F18" s="11">
        <f t="shared" si="0"/>
        <v>42000</v>
      </c>
      <c r="G18" s="17">
        <f t="shared" si="3"/>
        <v>42.19</v>
      </c>
      <c r="H18" s="17">
        <f t="shared" si="4"/>
        <v>23</v>
      </c>
      <c r="I18" s="17">
        <f t="shared" si="5"/>
        <v>26.7</v>
      </c>
      <c r="J18" s="18">
        <f t="shared" si="6"/>
        <v>31</v>
      </c>
      <c r="K18" s="18">
        <f t="shared" si="7"/>
        <v>7.2</v>
      </c>
      <c r="L18" s="18">
        <f t="shared" si="1"/>
        <v>130.09</v>
      </c>
      <c r="M18" s="18">
        <f t="shared" si="8"/>
        <v>18.646320000000003</v>
      </c>
      <c r="N18" s="18">
        <f t="shared" si="2"/>
        <v>148.73632000000001</v>
      </c>
      <c r="O18" s="8" t="s">
        <v>174</v>
      </c>
    </row>
    <row r="19" spans="1:15">
      <c r="A19" s="1" t="s">
        <v>9</v>
      </c>
      <c r="B19" s="11"/>
      <c r="C19" s="11">
        <v>495000</v>
      </c>
      <c r="D19" s="11">
        <v>517000</v>
      </c>
      <c r="E19" s="11">
        <v>0</v>
      </c>
      <c r="F19" s="11">
        <f t="shared" si="0"/>
        <v>22000</v>
      </c>
      <c r="G19" s="17">
        <f t="shared" si="3"/>
        <v>42.19</v>
      </c>
      <c r="H19" s="17">
        <f t="shared" si="4"/>
        <v>23</v>
      </c>
      <c r="I19" s="17">
        <f t="shared" si="5"/>
        <v>5.34</v>
      </c>
      <c r="J19" s="18">
        <f t="shared" si="6"/>
        <v>0</v>
      </c>
      <c r="K19" s="18">
        <f t="shared" si="7"/>
        <v>0</v>
      </c>
      <c r="L19" s="18">
        <f t="shared" si="1"/>
        <v>70.53</v>
      </c>
      <c r="M19" s="18">
        <f t="shared" si="8"/>
        <v>0</v>
      </c>
      <c r="N19" s="18">
        <f t="shared" si="2"/>
        <v>70.53</v>
      </c>
      <c r="O19" s="8"/>
    </row>
    <row r="20" spans="1:15">
      <c r="A20" s="1" t="s">
        <v>10</v>
      </c>
      <c r="B20" s="11"/>
      <c r="C20" s="11">
        <v>1695000</v>
      </c>
      <c r="D20" s="11">
        <v>1711000</v>
      </c>
      <c r="E20" s="11">
        <v>0</v>
      </c>
      <c r="F20" s="11">
        <f t="shared" si="0"/>
        <v>16000</v>
      </c>
      <c r="G20" s="17">
        <f t="shared" si="3"/>
        <v>42.19</v>
      </c>
      <c r="H20" s="17">
        <f t="shared" si="4"/>
        <v>13.799999999999999</v>
      </c>
      <c r="I20" s="17">
        <f t="shared" si="5"/>
        <v>0</v>
      </c>
      <c r="J20" s="18">
        <f t="shared" si="6"/>
        <v>0</v>
      </c>
      <c r="K20" s="18">
        <f t="shared" si="7"/>
        <v>0</v>
      </c>
      <c r="L20" s="18">
        <f t="shared" si="1"/>
        <v>55.989999999999995</v>
      </c>
      <c r="M20" s="18">
        <f t="shared" si="8"/>
        <v>0</v>
      </c>
      <c r="N20" s="18">
        <f t="shared" si="2"/>
        <v>55.989999999999995</v>
      </c>
      <c r="O20" s="8"/>
    </row>
    <row r="21" spans="1:15">
      <c r="A21" s="1" t="s">
        <v>11</v>
      </c>
      <c r="B21" s="11"/>
      <c r="C21" s="11">
        <v>2112000</v>
      </c>
      <c r="D21" s="11">
        <v>2136000</v>
      </c>
      <c r="E21" s="11">
        <v>0</v>
      </c>
      <c r="F21" s="11">
        <f t="shared" si="0"/>
        <v>24000</v>
      </c>
      <c r="G21" s="17">
        <f t="shared" si="3"/>
        <v>42.19</v>
      </c>
      <c r="H21" s="17">
        <f t="shared" si="4"/>
        <v>23</v>
      </c>
      <c r="I21" s="17">
        <f t="shared" si="5"/>
        <v>10.68</v>
      </c>
      <c r="J21" s="18">
        <f t="shared" si="6"/>
        <v>0</v>
      </c>
      <c r="K21" s="18">
        <f t="shared" si="7"/>
        <v>0</v>
      </c>
      <c r="L21" s="18">
        <f t="shared" si="1"/>
        <v>75.87</v>
      </c>
      <c r="M21" s="18">
        <f t="shared" si="8"/>
        <v>0</v>
      </c>
      <c r="N21" s="18">
        <f t="shared" si="2"/>
        <v>75.87</v>
      </c>
      <c r="O21" s="8"/>
    </row>
    <row r="22" spans="1:15">
      <c r="A22" s="1" t="s">
        <v>12</v>
      </c>
      <c r="B22" s="11"/>
      <c r="C22" s="11">
        <v>2393000</v>
      </c>
      <c r="D22" s="11">
        <v>2400000</v>
      </c>
      <c r="E22" s="11">
        <v>0</v>
      </c>
      <c r="F22" s="11">
        <f t="shared" si="0"/>
        <v>7000</v>
      </c>
      <c r="G22" s="17">
        <f t="shared" si="3"/>
        <v>42.19</v>
      </c>
      <c r="H22" s="17">
        <f t="shared" si="4"/>
        <v>0</v>
      </c>
      <c r="I22" s="17">
        <f t="shared" si="5"/>
        <v>0</v>
      </c>
      <c r="J22" s="18">
        <f t="shared" si="6"/>
        <v>0</v>
      </c>
      <c r="K22" s="18">
        <f t="shared" si="7"/>
        <v>0</v>
      </c>
      <c r="L22" s="18">
        <f t="shared" si="1"/>
        <v>42.19</v>
      </c>
      <c r="M22" s="18">
        <f t="shared" si="8"/>
        <v>0</v>
      </c>
      <c r="N22" s="18">
        <f t="shared" si="2"/>
        <v>42.19</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6905000</v>
      </c>
      <c r="D24" s="11">
        <v>6931000</v>
      </c>
      <c r="E24" s="11">
        <v>0</v>
      </c>
      <c r="F24" s="11">
        <f t="shared" si="0"/>
        <v>26000</v>
      </c>
      <c r="G24" s="17">
        <f t="shared" si="3"/>
        <v>42.19</v>
      </c>
      <c r="H24" s="17">
        <f t="shared" si="4"/>
        <v>23</v>
      </c>
      <c r="I24" s="17">
        <f t="shared" si="5"/>
        <v>16.02</v>
      </c>
      <c r="J24" s="18">
        <f t="shared" si="6"/>
        <v>0</v>
      </c>
      <c r="K24" s="18">
        <f t="shared" si="7"/>
        <v>0</v>
      </c>
      <c r="L24" s="18">
        <f t="shared" si="1"/>
        <v>81.209999999999994</v>
      </c>
      <c r="M24" s="18">
        <f t="shared" si="8"/>
        <v>0</v>
      </c>
      <c r="N24" s="18">
        <f t="shared" si="2"/>
        <v>81.209999999999994</v>
      </c>
      <c r="O24" s="8"/>
    </row>
    <row r="25" spans="1:15">
      <c r="A25" s="1" t="s">
        <v>15</v>
      </c>
      <c r="B25" s="11"/>
      <c r="C25" s="11">
        <v>2820000</v>
      </c>
      <c r="D25" s="11">
        <v>2832000</v>
      </c>
      <c r="E25" s="11">
        <v>0</v>
      </c>
      <c r="F25" s="11">
        <f t="shared" si="0"/>
        <v>12000</v>
      </c>
      <c r="G25" s="17">
        <f t="shared" si="3"/>
        <v>42.19</v>
      </c>
      <c r="H25" s="17">
        <f t="shared" si="4"/>
        <v>4.5999999999999996</v>
      </c>
      <c r="I25" s="17">
        <f t="shared" si="5"/>
        <v>0</v>
      </c>
      <c r="J25" s="18">
        <f t="shared" si="6"/>
        <v>0</v>
      </c>
      <c r="K25" s="18">
        <f t="shared" si="7"/>
        <v>0</v>
      </c>
      <c r="L25" s="18">
        <f t="shared" si="1"/>
        <v>46.79</v>
      </c>
      <c r="M25" s="18">
        <f t="shared" si="8"/>
        <v>0</v>
      </c>
      <c r="N25" s="18">
        <f t="shared" si="2"/>
        <v>46.79</v>
      </c>
      <c r="O25" s="8"/>
    </row>
    <row r="26" spans="1:15">
      <c r="A26" s="1" t="s">
        <v>16</v>
      </c>
      <c r="B26" s="11"/>
      <c r="C26" s="11">
        <v>1768000</v>
      </c>
      <c r="D26" s="11">
        <v>1788000</v>
      </c>
      <c r="E26" s="11">
        <v>0</v>
      </c>
      <c r="F26" s="11">
        <f t="shared" si="0"/>
        <v>20000</v>
      </c>
      <c r="G26" s="17">
        <f t="shared" si="3"/>
        <v>42.19</v>
      </c>
      <c r="H26" s="17">
        <f t="shared" si="4"/>
        <v>23</v>
      </c>
      <c r="I26" s="17">
        <f t="shared" si="5"/>
        <v>0</v>
      </c>
      <c r="J26" s="18">
        <f t="shared" si="6"/>
        <v>0</v>
      </c>
      <c r="K26" s="18">
        <f t="shared" si="7"/>
        <v>0</v>
      </c>
      <c r="L26" s="18">
        <f t="shared" si="1"/>
        <v>65.19</v>
      </c>
      <c r="M26" s="18">
        <f t="shared" si="8"/>
        <v>0</v>
      </c>
      <c r="N26" s="18">
        <f t="shared" si="2"/>
        <v>65.19</v>
      </c>
      <c r="O26" s="8"/>
    </row>
    <row r="27" spans="1:15">
      <c r="A27" s="1" t="s">
        <v>17</v>
      </c>
      <c r="B27" s="11"/>
      <c r="C27" s="11">
        <v>1232000</v>
      </c>
      <c r="D27" s="11">
        <v>1239000</v>
      </c>
      <c r="E27" s="11">
        <v>0</v>
      </c>
      <c r="F27" s="11">
        <f t="shared" si="0"/>
        <v>7000</v>
      </c>
      <c r="G27" s="17">
        <f t="shared" si="3"/>
        <v>42.19</v>
      </c>
      <c r="H27" s="17">
        <f t="shared" si="4"/>
        <v>0</v>
      </c>
      <c r="I27" s="17">
        <f t="shared" si="5"/>
        <v>0</v>
      </c>
      <c r="J27" s="18">
        <f t="shared" si="6"/>
        <v>0</v>
      </c>
      <c r="K27" s="18">
        <f t="shared" si="7"/>
        <v>0</v>
      </c>
      <c r="L27" s="18">
        <f t="shared" si="1"/>
        <v>42.19</v>
      </c>
      <c r="M27" s="18">
        <f t="shared" si="8"/>
        <v>0</v>
      </c>
      <c r="N27" s="18">
        <f t="shared" si="2"/>
        <v>42.19</v>
      </c>
      <c r="O27" s="8"/>
    </row>
    <row r="28" spans="1:15">
      <c r="A28" s="1" t="s">
        <v>18</v>
      </c>
      <c r="B28" s="11"/>
      <c r="C28" s="11">
        <v>4123000</v>
      </c>
      <c r="D28" s="11">
        <v>4128000</v>
      </c>
      <c r="E28" s="11">
        <v>0</v>
      </c>
      <c r="F28" s="11">
        <f t="shared" si="0"/>
        <v>5000</v>
      </c>
      <c r="G28" s="17">
        <f t="shared" si="3"/>
        <v>42.19</v>
      </c>
      <c r="H28" s="17">
        <f t="shared" si="4"/>
        <v>0</v>
      </c>
      <c r="I28" s="17">
        <f t="shared" si="5"/>
        <v>0</v>
      </c>
      <c r="J28" s="18">
        <f t="shared" si="6"/>
        <v>0</v>
      </c>
      <c r="K28" s="18">
        <f t="shared" si="7"/>
        <v>0</v>
      </c>
      <c r="L28" s="18">
        <f t="shared" si="1"/>
        <v>42.19</v>
      </c>
      <c r="M28" s="18">
        <f t="shared" si="8"/>
        <v>0</v>
      </c>
      <c r="N28" s="18">
        <f t="shared" si="2"/>
        <v>42.19</v>
      </c>
      <c r="O28" s="8"/>
    </row>
    <row r="29" spans="1:15">
      <c r="A29" s="1" t="s">
        <v>19</v>
      </c>
      <c r="B29" s="11"/>
      <c r="C29" s="11">
        <v>1418000</v>
      </c>
      <c r="D29" s="11">
        <v>1427000</v>
      </c>
      <c r="E29" s="11">
        <v>0</v>
      </c>
      <c r="F29" s="11">
        <f t="shared" si="0"/>
        <v>9000</v>
      </c>
      <c r="G29" s="17">
        <f t="shared" si="3"/>
        <v>42.19</v>
      </c>
      <c r="H29" s="17">
        <f t="shared" si="4"/>
        <v>0</v>
      </c>
      <c r="I29" s="17">
        <f t="shared" si="5"/>
        <v>0</v>
      </c>
      <c r="J29" s="18">
        <f t="shared" si="6"/>
        <v>0</v>
      </c>
      <c r="K29" s="18">
        <f t="shared" si="7"/>
        <v>0</v>
      </c>
      <c r="L29" s="18">
        <f t="shared" si="1"/>
        <v>42.19</v>
      </c>
      <c r="M29" s="18">
        <f t="shared" si="8"/>
        <v>0</v>
      </c>
      <c r="N29" s="18">
        <f t="shared" si="2"/>
        <v>42.19</v>
      </c>
      <c r="O29" s="8"/>
    </row>
    <row r="30" spans="1:15">
      <c r="A30" s="1" t="s">
        <v>20</v>
      </c>
      <c r="B30" s="11"/>
      <c r="C30" s="11">
        <v>2262000</v>
      </c>
      <c r="D30" s="11">
        <v>2264000</v>
      </c>
      <c r="E30" s="11">
        <v>0</v>
      </c>
      <c r="F30" s="11">
        <f t="shared" si="0"/>
        <v>2000</v>
      </c>
      <c r="G30" s="17">
        <f t="shared" si="3"/>
        <v>42.19</v>
      </c>
      <c r="H30" s="17">
        <f t="shared" si="4"/>
        <v>0</v>
      </c>
      <c r="I30" s="17">
        <f t="shared" si="5"/>
        <v>0</v>
      </c>
      <c r="J30" s="18">
        <f t="shared" si="6"/>
        <v>0</v>
      </c>
      <c r="K30" s="18">
        <f t="shared" si="7"/>
        <v>0</v>
      </c>
      <c r="L30" s="18">
        <f t="shared" si="1"/>
        <v>42.19</v>
      </c>
      <c r="M30" s="18">
        <f t="shared" si="8"/>
        <v>0</v>
      </c>
      <c r="N30" s="18">
        <f t="shared" si="2"/>
        <v>42.19</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739000</v>
      </c>
      <c r="D32" s="11">
        <v>751000</v>
      </c>
      <c r="E32" s="11">
        <v>0</v>
      </c>
      <c r="F32" s="11">
        <f t="shared" si="0"/>
        <v>12000</v>
      </c>
      <c r="G32" s="17">
        <f t="shared" si="3"/>
        <v>42.19</v>
      </c>
      <c r="H32" s="17">
        <f t="shared" si="4"/>
        <v>4.5999999999999996</v>
      </c>
      <c r="I32" s="17">
        <f t="shared" si="5"/>
        <v>0</v>
      </c>
      <c r="J32" s="18">
        <f t="shared" si="6"/>
        <v>0</v>
      </c>
      <c r="K32" s="18">
        <f t="shared" si="7"/>
        <v>0</v>
      </c>
      <c r="L32" s="18">
        <f t="shared" si="1"/>
        <v>46.79</v>
      </c>
      <c r="M32" s="18">
        <f t="shared" si="8"/>
        <v>0</v>
      </c>
      <c r="N32" s="18">
        <f t="shared" si="2"/>
        <v>46.79</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2725000</v>
      </c>
      <c r="D35" s="11">
        <v>2744000</v>
      </c>
      <c r="E35" s="11">
        <v>0</v>
      </c>
      <c r="F35" s="11">
        <f t="shared" si="0"/>
        <v>19000</v>
      </c>
      <c r="G35" s="17">
        <f t="shared" si="3"/>
        <v>42.19</v>
      </c>
      <c r="H35" s="17">
        <f t="shared" si="4"/>
        <v>20.7</v>
      </c>
      <c r="I35" s="17">
        <f t="shared" si="5"/>
        <v>0</v>
      </c>
      <c r="J35" s="18">
        <f t="shared" si="6"/>
        <v>0</v>
      </c>
      <c r="K35" s="18">
        <f t="shared" si="7"/>
        <v>0</v>
      </c>
      <c r="L35" s="18">
        <f t="shared" si="1"/>
        <v>62.89</v>
      </c>
      <c r="M35" s="18">
        <f t="shared" si="8"/>
        <v>0</v>
      </c>
      <c r="N35" s="18">
        <f t="shared" si="2"/>
        <v>62.89</v>
      </c>
      <c r="O35" s="8"/>
    </row>
    <row r="36" spans="1:15">
      <c r="A36" s="1" t="s">
        <v>26</v>
      </c>
      <c r="B36" s="11"/>
      <c r="C36" s="11">
        <v>558000</v>
      </c>
      <c r="D36" s="11">
        <v>569000</v>
      </c>
      <c r="E36" s="11">
        <v>0</v>
      </c>
      <c r="F36" s="11">
        <f t="shared" si="0"/>
        <v>11000</v>
      </c>
      <c r="G36" s="17">
        <f t="shared" si="3"/>
        <v>42.19</v>
      </c>
      <c r="H36" s="17">
        <f t="shared" si="4"/>
        <v>2.2999999999999998</v>
      </c>
      <c r="I36" s="17">
        <f t="shared" si="5"/>
        <v>0</v>
      </c>
      <c r="J36" s="18">
        <f t="shared" si="6"/>
        <v>0</v>
      </c>
      <c r="K36" s="18">
        <f t="shared" si="7"/>
        <v>0</v>
      </c>
      <c r="L36" s="18">
        <f t="shared" si="1"/>
        <v>44.489999999999995</v>
      </c>
      <c r="M36" s="18">
        <f t="shared" si="8"/>
        <v>0</v>
      </c>
      <c r="N36" s="18">
        <f t="shared" si="2"/>
        <v>44.489999999999995</v>
      </c>
      <c r="O36" s="8"/>
    </row>
    <row r="37" spans="1:15">
      <c r="A37" s="1" t="s">
        <v>27</v>
      </c>
      <c r="B37" s="11"/>
      <c r="C37" s="11">
        <v>2172000</v>
      </c>
      <c r="D37" s="11">
        <v>2176000</v>
      </c>
      <c r="E37" s="11">
        <v>0</v>
      </c>
      <c r="F37" s="11">
        <f t="shared" si="0"/>
        <v>4000</v>
      </c>
      <c r="G37" s="17">
        <f t="shared" si="3"/>
        <v>42.19</v>
      </c>
      <c r="H37" s="17">
        <f t="shared" si="4"/>
        <v>0</v>
      </c>
      <c r="I37" s="17">
        <f t="shared" si="5"/>
        <v>0</v>
      </c>
      <c r="J37" s="18">
        <f t="shared" si="6"/>
        <v>0</v>
      </c>
      <c r="K37" s="18">
        <f t="shared" si="7"/>
        <v>0</v>
      </c>
      <c r="L37" s="18">
        <f t="shared" si="1"/>
        <v>42.19</v>
      </c>
      <c r="M37" s="18">
        <f t="shared" si="8"/>
        <v>0</v>
      </c>
      <c r="N37" s="18">
        <f t="shared" si="2"/>
        <v>42.19</v>
      </c>
      <c r="O37" s="8"/>
    </row>
    <row r="38" spans="1:15">
      <c r="A38" s="1" t="s">
        <v>28</v>
      </c>
      <c r="B38" s="11"/>
      <c r="C38" s="11">
        <v>1429000</v>
      </c>
      <c r="D38" s="11">
        <v>1436000</v>
      </c>
      <c r="E38" s="11">
        <v>0</v>
      </c>
      <c r="F38" s="11">
        <f t="shared" si="0"/>
        <v>7000</v>
      </c>
      <c r="G38" s="17">
        <f t="shared" si="3"/>
        <v>42.19</v>
      </c>
      <c r="H38" s="17">
        <f t="shared" si="4"/>
        <v>0</v>
      </c>
      <c r="I38" s="17">
        <f t="shared" si="5"/>
        <v>0</v>
      </c>
      <c r="J38" s="18">
        <f t="shared" si="6"/>
        <v>0</v>
      </c>
      <c r="K38" s="18">
        <f t="shared" si="7"/>
        <v>0</v>
      </c>
      <c r="L38" s="18">
        <f t="shared" si="1"/>
        <v>42.19</v>
      </c>
      <c r="M38" s="18">
        <f t="shared" si="8"/>
        <v>0</v>
      </c>
      <c r="N38" s="18">
        <f t="shared" si="2"/>
        <v>42.19</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577000</v>
      </c>
      <c r="D41" s="11">
        <v>581000</v>
      </c>
      <c r="E41" s="11">
        <v>0</v>
      </c>
      <c r="F41" s="11">
        <f t="shared" si="0"/>
        <v>4000</v>
      </c>
      <c r="G41" s="17">
        <f t="shared" si="3"/>
        <v>42.19</v>
      </c>
      <c r="H41" s="17">
        <f t="shared" si="4"/>
        <v>0</v>
      </c>
      <c r="I41" s="17">
        <f t="shared" si="5"/>
        <v>0</v>
      </c>
      <c r="J41" s="18">
        <f t="shared" si="6"/>
        <v>0</v>
      </c>
      <c r="K41" s="18">
        <f t="shared" si="7"/>
        <v>0</v>
      </c>
      <c r="L41" s="18">
        <f t="shared" si="1"/>
        <v>42.19</v>
      </c>
      <c r="M41" s="18">
        <f t="shared" si="8"/>
        <v>0</v>
      </c>
      <c r="N41" s="18">
        <f t="shared" si="2"/>
        <v>42.19</v>
      </c>
      <c r="O41" s="8"/>
    </row>
    <row r="42" spans="1:15">
      <c r="A42" s="1" t="s">
        <v>32</v>
      </c>
      <c r="B42" s="11"/>
      <c r="C42" s="11">
        <v>3958000</v>
      </c>
      <c r="D42" s="11">
        <v>3967000</v>
      </c>
      <c r="E42" s="11">
        <v>0</v>
      </c>
      <c r="F42" s="11">
        <f t="shared" si="0"/>
        <v>9000</v>
      </c>
      <c r="G42" s="17">
        <f t="shared" si="3"/>
        <v>42.19</v>
      </c>
      <c r="H42" s="17">
        <f t="shared" si="4"/>
        <v>0</v>
      </c>
      <c r="I42" s="17">
        <f t="shared" si="5"/>
        <v>0</v>
      </c>
      <c r="J42" s="18">
        <f t="shared" si="6"/>
        <v>0</v>
      </c>
      <c r="K42" s="18">
        <f t="shared" si="7"/>
        <v>0</v>
      </c>
      <c r="L42" s="18">
        <f t="shared" si="1"/>
        <v>42.19</v>
      </c>
      <c r="M42" s="18">
        <f t="shared" si="8"/>
        <v>0</v>
      </c>
      <c r="N42" s="18">
        <f t="shared" si="2"/>
        <v>42.19</v>
      </c>
      <c r="O42" s="8"/>
    </row>
    <row r="43" spans="1:15">
      <c r="A43" s="1" t="s">
        <v>33</v>
      </c>
      <c r="B43" s="11"/>
      <c r="C43" s="11">
        <v>1282000</v>
      </c>
      <c r="D43" s="11">
        <v>1286000</v>
      </c>
      <c r="E43" s="11">
        <v>0</v>
      </c>
      <c r="F43" s="11">
        <f t="shared" si="0"/>
        <v>4000</v>
      </c>
      <c r="G43" s="17">
        <f t="shared" si="3"/>
        <v>42.19</v>
      </c>
      <c r="H43" s="17">
        <f t="shared" si="4"/>
        <v>0</v>
      </c>
      <c r="I43" s="17">
        <f t="shared" si="5"/>
        <v>0</v>
      </c>
      <c r="J43" s="18">
        <f t="shared" si="6"/>
        <v>0</v>
      </c>
      <c r="K43" s="18">
        <f t="shared" si="7"/>
        <v>0</v>
      </c>
      <c r="L43" s="18">
        <f t="shared" si="1"/>
        <v>42.19</v>
      </c>
      <c r="M43" s="18">
        <f t="shared" si="8"/>
        <v>0</v>
      </c>
      <c r="N43" s="18">
        <f t="shared" si="2"/>
        <v>42.19</v>
      </c>
      <c r="O43" s="8"/>
    </row>
    <row r="44" spans="1:15">
      <c r="A44" s="1" t="s">
        <v>34</v>
      </c>
      <c r="B44" s="11"/>
      <c r="C44" s="11">
        <v>571000</v>
      </c>
      <c r="D44" s="11">
        <v>591000</v>
      </c>
      <c r="E44" s="11">
        <v>0</v>
      </c>
      <c r="F44" s="11">
        <f t="shared" si="0"/>
        <v>20000</v>
      </c>
      <c r="G44" s="17">
        <f t="shared" si="3"/>
        <v>42.19</v>
      </c>
      <c r="H44" s="17">
        <f t="shared" si="4"/>
        <v>23</v>
      </c>
      <c r="I44" s="17">
        <f t="shared" si="5"/>
        <v>0</v>
      </c>
      <c r="J44" s="18">
        <f t="shared" si="6"/>
        <v>0</v>
      </c>
      <c r="K44" s="18">
        <f t="shared" si="7"/>
        <v>0</v>
      </c>
      <c r="L44" s="18">
        <f t="shared" si="1"/>
        <v>65.19</v>
      </c>
      <c r="M44" s="18">
        <f t="shared" si="8"/>
        <v>0</v>
      </c>
      <c r="N44" s="18">
        <f t="shared" si="2"/>
        <v>65.19</v>
      </c>
      <c r="O44" s="8" t="s">
        <v>175</v>
      </c>
    </row>
    <row r="45" spans="1:15">
      <c r="A45" s="1" t="s">
        <v>35</v>
      </c>
      <c r="B45" s="11"/>
      <c r="C45" s="11">
        <v>1955000</v>
      </c>
      <c r="D45" s="11">
        <v>1997000</v>
      </c>
      <c r="E45" s="11">
        <v>0</v>
      </c>
      <c r="F45" s="11">
        <f t="shared" si="0"/>
        <v>42000</v>
      </c>
      <c r="G45" s="17">
        <f t="shared" si="3"/>
        <v>42.19</v>
      </c>
      <c r="H45" s="17">
        <f t="shared" si="4"/>
        <v>23</v>
      </c>
      <c r="I45" s="17">
        <f t="shared" si="5"/>
        <v>26.7</v>
      </c>
      <c r="J45" s="18">
        <f t="shared" si="6"/>
        <v>31</v>
      </c>
      <c r="K45" s="18">
        <f t="shared" si="7"/>
        <v>7.2</v>
      </c>
      <c r="L45" s="18">
        <f t="shared" si="1"/>
        <v>130.09</v>
      </c>
      <c r="M45" s="18">
        <f t="shared" si="8"/>
        <v>18.646320000000003</v>
      </c>
      <c r="N45" s="18">
        <f t="shared" si="2"/>
        <v>148.73632000000001</v>
      </c>
      <c r="O45" s="8"/>
    </row>
    <row r="46" spans="1:15">
      <c r="A46" s="1" t="s">
        <v>36</v>
      </c>
      <c r="B46" s="11"/>
      <c r="C46" s="11">
        <v>1636000</v>
      </c>
      <c r="D46" s="11">
        <v>1640000</v>
      </c>
      <c r="E46" s="11">
        <v>0</v>
      </c>
      <c r="F46" s="11">
        <f t="shared" si="0"/>
        <v>4000</v>
      </c>
      <c r="G46" s="17">
        <f t="shared" si="3"/>
        <v>42.19</v>
      </c>
      <c r="H46" s="17">
        <f t="shared" si="4"/>
        <v>0</v>
      </c>
      <c r="I46" s="17">
        <f t="shared" si="5"/>
        <v>0</v>
      </c>
      <c r="J46" s="18">
        <f t="shared" si="6"/>
        <v>0</v>
      </c>
      <c r="K46" s="18">
        <f t="shared" si="7"/>
        <v>0</v>
      </c>
      <c r="L46" s="18">
        <f t="shared" si="1"/>
        <v>42.19</v>
      </c>
      <c r="M46" s="18">
        <f t="shared" si="8"/>
        <v>0</v>
      </c>
      <c r="N46" s="18">
        <f t="shared" si="2"/>
        <v>42.19</v>
      </c>
      <c r="O46" s="8"/>
    </row>
    <row r="47" spans="1:15">
      <c r="A47" s="1" t="s">
        <v>37</v>
      </c>
      <c r="B47" s="11"/>
      <c r="C47" s="11">
        <v>2285000</v>
      </c>
      <c r="D47" s="11">
        <v>2313000</v>
      </c>
      <c r="E47" s="11">
        <v>0</v>
      </c>
      <c r="F47" s="11">
        <f t="shared" si="0"/>
        <v>28000</v>
      </c>
      <c r="G47" s="17">
        <f t="shared" si="3"/>
        <v>42.19</v>
      </c>
      <c r="H47" s="17">
        <f t="shared" si="4"/>
        <v>23</v>
      </c>
      <c r="I47" s="17">
        <f t="shared" si="5"/>
        <v>21.36</v>
      </c>
      <c r="J47" s="18">
        <f t="shared" si="6"/>
        <v>0</v>
      </c>
      <c r="K47" s="18">
        <f t="shared" si="7"/>
        <v>0</v>
      </c>
      <c r="L47" s="18">
        <f t="shared" si="1"/>
        <v>86.55</v>
      </c>
      <c r="M47" s="18">
        <f t="shared" si="8"/>
        <v>0</v>
      </c>
      <c r="N47" s="18">
        <f t="shared" si="2"/>
        <v>86.55</v>
      </c>
      <c r="O47" s="8"/>
    </row>
    <row r="48" spans="1:15">
      <c r="A48" s="1" t="s">
        <v>38</v>
      </c>
      <c r="B48" s="11"/>
      <c r="C48" s="11">
        <v>2240000</v>
      </c>
      <c r="D48" s="11">
        <v>2249000</v>
      </c>
      <c r="E48" s="11">
        <v>0</v>
      </c>
      <c r="F48" s="11">
        <f t="shared" si="0"/>
        <v>9000</v>
      </c>
      <c r="G48" s="17">
        <f t="shared" si="3"/>
        <v>42.19</v>
      </c>
      <c r="H48" s="17">
        <f t="shared" si="4"/>
        <v>0</v>
      </c>
      <c r="I48" s="17">
        <f t="shared" si="5"/>
        <v>0</v>
      </c>
      <c r="J48" s="18">
        <f t="shared" si="6"/>
        <v>0</v>
      </c>
      <c r="K48" s="18">
        <f t="shared" si="7"/>
        <v>0</v>
      </c>
      <c r="L48" s="18">
        <f t="shared" si="1"/>
        <v>42.19</v>
      </c>
      <c r="M48" s="18">
        <f t="shared" si="8"/>
        <v>0</v>
      </c>
      <c r="N48" s="18">
        <f t="shared" si="2"/>
        <v>42.19</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ref="M49:M80" si="9">IF(   $H$5=1,    IF((F49-$H$6)&gt;0,((F49-$H$6)/$P$7)*$E$8,0),   IF(F49&gt;0,(F49/$P$4)*$E$8,0)    )</f>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9"/>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9"/>
        <v>0</v>
      </c>
      <c r="N51" s="18">
        <f t="shared" si="2"/>
        <v>12.41</v>
      </c>
      <c r="O51" s="8"/>
    </row>
    <row r="52" spans="1:15">
      <c r="A52" s="1" t="s">
        <v>42</v>
      </c>
      <c r="B52" s="11"/>
      <c r="C52" s="11">
        <v>3196000</v>
      </c>
      <c r="D52" s="11">
        <v>3198000</v>
      </c>
      <c r="E52" s="11">
        <v>0</v>
      </c>
      <c r="F52" s="11">
        <f t="shared" si="0"/>
        <v>2000</v>
      </c>
      <c r="G52" s="17">
        <f t="shared" si="3"/>
        <v>42.19</v>
      </c>
      <c r="H52" s="17">
        <f t="shared" si="4"/>
        <v>0</v>
      </c>
      <c r="I52" s="17">
        <f t="shared" si="5"/>
        <v>0</v>
      </c>
      <c r="J52" s="18">
        <f t="shared" si="6"/>
        <v>0</v>
      </c>
      <c r="K52" s="18">
        <f t="shared" si="7"/>
        <v>0</v>
      </c>
      <c r="L52" s="18">
        <f t="shared" si="1"/>
        <v>42.19</v>
      </c>
      <c r="M52" s="18">
        <f t="shared" si="9"/>
        <v>0</v>
      </c>
      <c r="N52" s="18">
        <f t="shared" si="2"/>
        <v>42.19</v>
      </c>
      <c r="O52" s="8"/>
    </row>
    <row r="53" spans="1:15">
      <c r="A53" s="1" t="s">
        <v>43</v>
      </c>
      <c r="B53" s="11"/>
      <c r="C53" s="11">
        <v>3422000</v>
      </c>
      <c r="D53" s="11">
        <v>3456000</v>
      </c>
      <c r="E53" s="11">
        <v>0</v>
      </c>
      <c r="F53" s="83">
        <f>ROUNDUP(($D53-$C53)+$E53,-3)</f>
        <v>34000</v>
      </c>
      <c r="G53" s="17">
        <f t="shared" si="3"/>
        <v>42.19</v>
      </c>
      <c r="H53" s="17">
        <f t="shared" si="4"/>
        <v>23</v>
      </c>
      <c r="I53" s="17">
        <f t="shared" si="5"/>
        <v>26.7</v>
      </c>
      <c r="J53" s="18">
        <f t="shared" si="6"/>
        <v>12.4</v>
      </c>
      <c r="K53" s="18">
        <f t="shared" si="7"/>
        <v>0</v>
      </c>
      <c r="L53" s="18">
        <f t="shared" si="1"/>
        <v>104.29</v>
      </c>
      <c r="M53" s="18">
        <f t="shared" si="9"/>
        <v>0</v>
      </c>
      <c r="N53" s="18">
        <f t="shared" si="2"/>
        <v>104.29</v>
      </c>
      <c r="O53" s="8"/>
    </row>
    <row r="54" spans="1:15">
      <c r="A54" s="1" t="s">
        <v>44</v>
      </c>
      <c r="B54" s="11"/>
      <c r="C54" s="11">
        <v>4615000</v>
      </c>
      <c r="D54" s="11">
        <v>4641000</v>
      </c>
      <c r="E54" s="11">
        <v>0</v>
      </c>
      <c r="F54" s="11">
        <f t="shared" si="0"/>
        <v>26000</v>
      </c>
      <c r="G54" s="17">
        <f t="shared" si="3"/>
        <v>42.19</v>
      </c>
      <c r="H54" s="17">
        <f t="shared" si="4"/>
        <v>23</v>
      </c>
      <c r="I54" s="17">
        <f t="shared" si="5"/>
        <v>16.02</v>
      </c>
      <c r="J54" s="18">
        <f t="shared" si="6"/>
        <v>0</v>
      </c>
      <c r="K54" s="18">
        <f t="shared" si="7"/>
        <v>0</v>
      </c>
      <c r="L54" s="18">
        <f t="shared" si="1"/>
        <v>81.209999999999994</v>
      </c>
      <c r="M54" s="18">
        <f t="shared" si="9"/>
        <v>0</v>
      </c>
      <c r="N54" s="18">
        <f t="shared" si="2"/>
        <v>81.209999999999994</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9"/>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9"/>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9"/>
        <v>0</v>
      </c>
      <c r="N57" s="18">
        <f t="shared" si="2"/>
        <v>12.41</v>
      </c>
      <c r="O57" s="8"/>
    </row>
    <row r="58" spans="1:15">
      <c r="A58" s="1" t="s">
        <v>48</v>
      </c>
      <c r="B58" s="11"/>
      <c r="C58" s="11">
        <v>1143000</v>
      </c>
      <c r="D58" s="11">
        <v>1146000</v>
      </c>
      <c r="E58" s="11">
        <v>0</v>
      </c>
      <c r="F58" s="11">
        <f t="shared" si="0"/>
        <v>3000</v>
      </c>
      <c r="G58" s="17">
        <f t="shared" si="3"/>
        <v>42.19</v>
      </c>
      <c r="H58" s="17">
        <f t="shared" si="4"/>
        <v>0</v>
      </c>
      <c r="I58" s="17">
        <f t="shared" si="5"/>
        <v>0</v>
      </c>
      <c r="J58" s="18">
        <f t="shared" si="6"/>
        <v>0</v>
      </c>
      <c r="K58" s="18">
        <f t="shared" si="7"/>
        <v>0</v>
      </c>
      <c r="L58" s="18">
        <f t="shared" si="1"/>
        <v>42.19</v>
      </c>
      <c r="M58" s="18">
        <f t="shared" si="9"/>
        <v>0</v>
      </c>
      <c r="N58" s="18">
        <f t="shared" si="2"/>
        <v>42.19</v>
      </c>
      <c r="O58" s="8"/>
    </row>
    <row r="59" spans="1:15">
      <c r="A59" s="1" t="s">
        <v>49</v>
      </c>
      <c r="B59" s="11"/>
      <c r="C59" s="11">
        <v>1007000</v>
      </c>
      <c r="D59" s="11">
        <v>1017000</v>
      </c>
      <c r="E59" s="11">
        <v>0</v>
      </c>
      <c r="F59" s="11">
        <f t="shared" si="0"/>
        <v>10000</v>
      </c>
      <c r="G59" s="17">
        <f t="shared" si="3"/>
        <v>42.19</v>
      </c>
      <c r="H59" s="17">
        <f t="shared" si="4"/>
        <v>0</v>
      </c>
      <c r="I59" s="17">
        <f t="shared" si="5"/>
        <v>0</v>
      </c>
      <c r="J59" s="18">
        <f t="shared" si="6"/>
        <v>0</v>
      </c>
      <c r="K59" s="18">
        <f t="shared" si="7"/>
        <v>0</v>
      </c>
      <c r="L59" s="18">
        <f t="shared" si="1"/>
        <v>42.19</v>
      </c>
      <c r="M59" s="18">
        <f t="shared" si="9"/>
        <v>0</v>
      </c>
      <c r="N59" s="18">
        <f t="shared" si="2"/>
        <v>42.19</v>
      </c>
      <c r="O59" s="8"/>
    </row>
    <row r="60" spans="1:15">
      <c r="A60" s="1" t="s">
        <v>50</v>
      </c>
      <c r="B60" s="11"/>
      <c r="C60" s="11">
        <v>3616000</v>
      </c>
      <c r="D60" s="11">
        <v>3644000</v>
      </c>
      <c r="E60" s="11">
        <v>0</v>
      </c>
      <c r="F60" s="11">
        <f t="shared" si="0"/>
        <v>28000</v>
      </c>
      <c r="G60" s="17">
        <f t="shared" si="3"/>
        <v>42.19</v>
      </c>
      <c r="H60" s="17">
        <f t="shared" si="4"/>
        <v>23</v>
      </c>
      <c r="I60" s="17">
        <f t="shared" si="5"/>
        <v>21.36</v>
      </c>
      <c r="J60" s="18">
        <f t="shared" si="6"/>
        <v>0</v>
      </c>
      <c r="K60" s="18">
        <f t="shared" si="7"/>
        <v>0</v>
      </c>
      <c r="L60" s="18">
        <f t="shared" si="1"/>
        <v>86.55</v>
      </c>
      <c r="M60" s="18">
        <f t="shared" si="9"/>
        <v>0</v>
      </c>
      <c r="N60" s="18">
        <f t="shared" si="2"/>
        <v>86.55</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9"/>
        <v>0</v>
      </c>
      <c r="N61" s="18">
        <f t="shared" si="2"/>
        <v>12.41</v>
      </c>
      <c r="O61" s="8"/>
    </row>
    <row r="62" spans="1:15">
      <c r="A62" s="1" t="s">
        <v>52</v>
      </c>
      <c r="B62" s="11"/>
      <c r="C62" s="11">
        <v>1769000</v>
      </c>
      <c r="D62" s="11">
        <v>1778000</v>
      </c>
      <c r="E62" s="11">
        <v>0</v>
      </c>
      <c r="F62" s="11">
        <f t="shared" si="0"/>
        <v>9000</v>
      </c>
      <c r="G62" s="17">
        <f t="shared" si="3"/>
        <v>42.19</v>
      </c>
      <c r="H62" s="17">
        <f t="shared" si="4"/>
        <v>0</v>
      </c>
      <c r="I62" s="17">
        <f t="shared" si="5"/>
        <v>0</v>
      </c>
      <c r="J62" s="18">
        <f t="shared" si="6"/>
        <v>0</v>
      </c>
      <c r="K62" s="18">
        <f t="shared" si="7"/>
        <v>0</v>
      </c>
      <c r="L62" s="18">
        <f t="shared" si="1"/>
        <v>42.19</v>
      </c>
      <c r="M62" s="18">
        <f t="shared" si="9"/>
        <v>0</v>
      </c>
      <c r="N62" s="18">
        <f t="shared" si="2"/>
        <v>42.19</v>
      </c>
      <c r="O62" s="8"/>
    </row>
    <row r="63" spans="1:15">
      <c r="A63" s="1" t="s">
        <v>53</v>
      </c>
      <c r="B63" s="11"/>
      <c r="C63" s="11">
        <v>2529000</v>
      </c>
      <c r="D63" s="11">
        <v>2539000</v>
      </c>
      <c r="E63" s="11">
        <v>0</v>
      </c>
      <c r="F63" s="11">
        <f t="shared" si="0"/>
        <v>10000</v>
      </c>
      <c r="G63" s="17">
        <f t="shared" si="3"/>
        <v>42.19</v>
      </c>
      <c r="H63" s="17">
        <f t="shared" si="4"/>
        <v>0</v>
      </c>
      <c r="I63" s="17">
        <f t="shared" si="5"/>
        <v>0</v>
      </c>
      <c r="J63" s="18">
        <f t="shared" si="6"/>
        <v>0</v>
      </c>
      <c r="K63" s="18">
        <f t="shared" si="7"/>
        <v>0</v>
      </c>
      <c r="L63" s="18">
        <f t="shared" si="1"/>
        <v>42.19</v>
      </c>
      <c r="M63" s="18">
        <f t="shared" si="9"/>
        <v>0</v>
      </c>
      <c r="N63" s="18">
        <f t="shared" si="2"/>
        <v>42.19</v>
      </c>
      <c r="O63" s="8"/>
    </row>
    <row r="64" spans="1:15">
      <c r="A64" s="1" t="s">
        <v>54</v>
      </c>
      <c r="B64" s="11"/>
      <c r="C64" s="11">
        <v>3927000</v>
      </c>
      <c r="D64" s="11">
        <v>4026000</v>
      </c>
      <c r="E64" s="11">
        <v>0</v>
      </c>
      <c r="F64" s="11">
        <f t="shared" si="0"/>
        <v>99000</v>
      </c>
      <c r="G64" s="17">
        <f t="shared" si="3"/>
        <v>42.19</v>
      </c>
      <c r="H64" s="17">
        <f t="shared" si="4"/>
        <v>23</v>
      </c>
      <c r="I64" s="17">
        <f t="shared" si="5"/>
        <v>26.7</v>
      </c>
      <c r="J64" s="18">
        <f t="shared" si="6"/>
        <v>31</v>
      </c>
      <c r="K64" s="18">
        <f t="shared" si="7"/>
        <v>212.4</v>
      </c>
      <c r="L64" s="18">
        <f t="shared" si="1"/>
        <v>335.29</v>
      </c>
      <c r="M64" s="18">
        <f t="shared" si="9"/>
        <v>170.48064000000002</v>
      </c>
      <c r="N64" s="18">
        <f t="shared" si="2"/>
        <v>505.77064000000007</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9"/>
        <v>0</v>
      </c>
      <c r="N65" s="18">
        <f t="shared" si="2"/>
        <v>12.41</v>
      </c>
      <c r="O65" s="8"/>
    </row>
    <row r="66" spans="1:15">
      <c r="A66" s="1" t="s">
        <v>56</v>
      </c>
      <c r="B66" s="11"/>
      <c r="C66" s="11">
        <v>1715000</v>
      </c>
      <c r="D66" s="11">
        <v>1745000</v>
      </c>
      <c r="E66" s="11">
        <v>0</v>
      </c>
      <c r="F66" s="11">
        <f t="shared" si="0"/>
        <v>30000</v>
      </c>
      <c r="G66" s="17">
        <f t="shared" si="3"/>
        <v>42.19</v>
      </c>
      <c r="H66" s="17">
        <f t="shared" si="4"/>
        <v>23</v>
      </c>
      <c r="I66" s="17">
        <f t="shared" si="5"/>
        <v>26.7</v>
      </c>
      <c r="J66" s="18">
        <f t="shared" si="6"/>
        <v>0</v>
      </c>
      <c r="K66" s="18">
        <f t="shared" si="7"/>
        <v>0</v>
      </c>
      <c r="L66" s="18">
        <f t="shared" si="1"/>
        <v>91.89</v>
      </c>
      <c r="M66" s="18">
        <f t="shared" si="9"/>
        <v>0</v>
      </c>
      <c r="N66" s="18">
        <f t="shared" si="2"/>
        <v>91.89</v>
      </c>
      <c r="O66" s="8"/>
    </row>
    <row r="67" spans="1:15">
      <c r="A67" s="1" t="s">
        <v>57</v>
      </c>
      <c r="B67" s="11"/>
      <c r="C67" s="11">
        <v>1624000</v>
      </c>
      <c r="D67" s="11">
        <v>1629000</v>
      </c>
      <c r="E67" s="11">
        <v>0</v>
      </c>
      <c r="F67" s="11">
        <f t="shared" si="0"/>
        <v>5000</v>
      </c>
      <c r="G67" s="17">
        <f t="shared" si="3"/>
        <v>42.19</v>
      </c>
      <c r="H67" s="17">
        <f t="shared" si="4"/>
        <v>0</v>
      </c>
      <c r="I67" s="17">
        <f t="shared" si="5"/>
        <v>0</v>
      </c>
      <c r="J67" s="18">
        <f t="shared" si="6"/>
        <v>0</v>
      </c>
      <c r="K67" s="18">
        <f t="shared" si="7"/>
        <v>0</v>
      </c>
      <c r="L67" s="18">
        <f t="shared" si="1"/>
        <v>42.19</v>
      </c>
      <c r="M67" s="18">
        <f t="shared" si="9"/>
        <v>0</v>
      </c>
      <c r="N67" s="18">
        <f t="shared" si="2"/>
        <v>42.19</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9"/>
        <v>0</v>
      </c>
      <c r="N68" s="18">
        <f t="shared" si="2"/>
        <v>12.41</v>
      </c>
      <c r="O68" s="8" t="s">
        <v>183</v>
      </c>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9"/>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9"/>
        <v>0</v>
      </c>
      <c r="N70" s="18">
        <f t="shared" si="2"/>
        <v>12.41</v>
      </c>
      <c r="O70" s="8"/>
    </row>
    <row r="71" spans="1:15">
      <c r="A71" s="1" t="s">
        <v>61</v>
      </c>
      <c r="B71" s="11"/>
      <c r="C71" s="11">
        <v>1390000</v>
      </c>
      <c r="D71" s="11">
        <v>1396000</v>
      </c>
      <c r="E71" s="11">
        <v>0</v>
      </c>
      <c r="F71" s="11">
        <f t="shared" si="0"/>
        <v>6000</v>
      </c>
      <c r="G71" s="17">
        <f t="shared" si="3"/>
        <v>42.19</v>
      </c>
      <c r="H71" s="17">
        <f t="shared" si="4"/>
        <v>0</v>
      </c>
      <c r="I71" s="17">
        <f t="shared" si="5"/>
        <v>0</v>
      </c>
      <c r="J71" s="18">
        <f t="shared" si="6"/>
        <v>0</v>
      </c>
      <c r="K71" s="18">
        <f t="shared" si="7"/>
        <v>0</v>
      </c>
      <c r="L71" s="18">
        <f t="shared" si="1"/>
        <v>42.19</v>
      </c>
      <c r="M71" s="18">
        <f t="shared" si="9"/>
        <v>0</v>
      </c>
      <c r="N71" s="18">
        <f t="shared" si="2"/>
        <v>42.19</v>
      </c>
      <c r="O71" s="8"/>
    </row>
    <row r="72" spans="1:15">
      <c r="A72" s="1" t="s">
        <v>62</v>
      </c>
      <c r="B72" s="11"/>
      <c r="C72" s="11">
        <v>2045000</v>
      </c>
      <c r="D72" s="11">
        <v>2049000</v>
      </c>
      <c r="E72" s="11">
        <v>0</v>
      </c>
      <c r="F72" s="11">
        <f t="shared" si="0"/>
        <v>4000</v>
      </c>
      <c r="G72" s="17">
        <f t="shared" si="3"/>
        <v>42.19</v>
      </c>
      <c r="H72" s="17">
        <f t="shared" si="4"/>
        <v>0</v>
      </c>
      <c r="I72" s="17">
        <f t="shared" si="5"/>
        <v>0</v>
      </c>
      <c r="J72" s="18">
        <f t="shared" si="6"/>
        <v>0</v>
      </c>
      <c r="K72" s="18">
        <f t="shared" si="7"/>
        <v>0</v>
      </c>
      <c r="L72" s="18">
        <f t="shared" si="1"/>
        <v>42.19</v>
      </c>
      <c r="M72" s="18">
        <f t="shared" si="9"/>
        <v>0</v>
      </c>
      <c r="N72" s="18">
        <f t="shared" si="2"/>
        <v>42.19</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9"/>
        <v>0</v>
      </c>
      <c r="N73" s="18">
        <f t="shared" si="2"/>
        <v>12.41</v>
      </c>
      <c r="O73" s="8"/>
    </row>
    <row r="74" spans="1:15">
      <c r="A74" s="1" t="s">
        <v>64</v>
      </c>
      <c r="B74" s="11"/>
      <c r="C74" s="11">
        <v>5148000</v>
      </c>
      <c r="D74" s="11">
        <v>5156000</v>
      </c>
      <c r="E74" s="11">
        <v>0</v>
      </c>
      <c r="F74" s="11">
        <f t="shared" si="0"/>
        <v>8000</v>
      </c>
      <c r="G74" s="17">
        <f t="shared" si="3"/>
        <v>42.19</v>
      </c>
      <c r="H74" s="17">
        <f t="shared" si="4"/>
        <v>0</v>
      </c>
      <c r="I74" s="17">
        <f t="shared" si="5"/>
        <v>0</v>
      </c>
      <c r="J74" s="18">
        <f t="shared" si="6"/>
        <v>0</v>
      </c>
      <c r="K74" s="18">
        <f t="shared" si="7"/>
        <v>0</v>
      </c>
      <c r="L74" s="18">
        <f t="shared" si="1"/>
        <v>42.19</v>
      </c>
      <c r="M74" s="18">
        <f t="shared" si="9"/>
        <v>0</v>
      </c>
      <c r="N74" s="18">
        <f t="shared" si="2"/>
        <v>42.19</v>
      </c>
      <c r="O74" s="8"/>
    </row>
    <row r="75" spans="1:15">
      <c r="A75" s="1" t="s">
        <v>65</v>
      </c>
      <c r="B75" s="11"/>
      <c r="C75" s="11">
        <v>6958000</v>
      </c>
      <c r="D75" s="11">
        <v>6960000</v>
      </c>
      <c r="E75" s="11">
        <v>0</v>
      </c>
      <c r="F75" s="11">
        <f t="shared" ref="F75:F136" si="10">($D75-$C75)+$E75</f>
        <v>2000</v>
      </c>
      <c r="G75" s="17">
        <f t="shared" si="3"/>
        <v>42.19</v>
      </c>
      <c r="H75" s="17">
        <f t="shared" si="4"/>
        <v>0</v>
      </c>
      <c r="I75" s="17">
        <f t="shared" si="5"/>
        <v>0</v>
      </c>
      <c r="J75" s="18">
        <f t="shared" si="6"/>
        <v>0</v>
      </c>
      <c r="K75" s="18">
        <f t="shared" si="7"/>
        <v>0</v>
      </c>
      <c r="L75" s="18">
        <f t="shared" si="1"/>
        <v>42.19</v>
      </c>
      <c r="M75" s="18">
        <f t="shared" si="9"/>
        <v>0</v>
      </c>
      <c r="N75" s="18">
        <f t="shared" si="2"/>
        <v>42.19</v>
      </c>
      <c r="O75" s="8"/>
    </row>
    <row r="76" spans="1:15">
      <c r="A76" s="1" t="s">
        <v>66</v>
      </c>
      <c r="B76" s="11"/>
      <c r="C76" s="11">
        <v>9431000</v>
      </c>
      <c r="D76" s="11">
        <v>9435000</v>
      </c>
      <c r="E76" s="11">
        <v>0</v>
      </c>
      <c r="F76" s="11">
        <f t="shared" si="10"/>
        <v>4000</v>
      </c>
      <c r="G76" s="17">
        <f t="shared" si="3"/>
        <v>42.19</v>
      </c>
      <c r="H76" s="17">
        <f t="shared" si="4"/>
        <v>0</v>
      </c>
      <c r="I76" s="17">
        <f t="shared" si="5"/>
        <v>0</v>
      </c>
      <c r="J76" s="18">
        <f t="shared" si="6"/>
        <v>0</v>
      </c>
      <c r="K76" s="18">
        <f t="shared" si="7"/>
        <v>0</v>
      </c>
      <c r="L76" s="18">
        <f t="shared" ref="L76:L136" si="11">SUM(G76:K76)</f>
        <v>42.19</v>
      </c>
      <c r="M76" s="18">
        <f t="shared" si="9"/>
        <v>0</v>
      </c>
      <c r="N76" s="18">
        <f t="shared" ref="N76:N136" si="12">SUM(L76:M76)</f>
        <v>42.19</v>
      </c>
      <c r="O76" s="8"/>
    </row>
    <row r="77" spans="1:15">
      <c r="A77" s="1" t="s">
        <v>67</v>
      </c>
      <c r="B77" s="11" t="s">
        <v>138</v>
      </c>
      <c r="C77" s="11">
        <v>0</v>
      </c>
      <c r="D77" s="11">
        <v>0</v>
      </c>
      <c r="E77" s="11">
        <v>0</v>
      </c>
      <c r="F77" s="11">
        <f t="shared" si="10"/>
        <v>0</v>
      </c>
      <c r="G77" s="17">
        <f t="shared" si="3"/>
        <v>12.41</v>
      </c>
      <c r="H77" s="17">
        <f t="shared" si="4"/>
        <v>0</v>
      </c>
      <c r="I77" s="17">
        <f t="shared" si="5"/>
        <v>0</v>
      </c>
      <c r="J77" s="18">
        <f t="shared" si="6"/>
        <v>0</v>
      </c>
      <c r="K77" s="18">
        <f t="shared" si="7"/>
        <v>0</v>
      </c>
      <c r="L77" s="18">
        <f t="shared" si="11"/>
        <v>12.41</v>
      </c>
      <c r="M77" s="18">
        <f t="shared" si="9"/>
        <v>0</v>
      </c>
      <c r="N77" s="18">
        <f t="shared" si="12"/>
        <v>12.41</v>
      </c>
      <c r="O77" s="8"/>
    </row>
    <row r="78" spans="1:15">
      <c r="A78" s="1" t="s">
        <v>68</v>
      </c>
      <c r="B78" s="11"/>
      <c r="C78" s="11">
        <v>3755000</v>
      </c>
      <c r="D78" s="11">
        <v>3770000</v>
      </c>
      <c r="E78" s="11">
        <v>0</v>
      </c>
      <c r="F78" s="11">
        <f t="shared" si="10"/>
        <v>15000</v>
      </c>
      <c r="G78" s="17">
        <f t="shared" si="3"/>
        <v>42.19</v>
      </c>
      <c r="H78" s="17">
        <f t="shared" si="4"/>
        <v>11.5</v>
      </c>
      <c r="I78" s="17">
        <f t="shared" si="5"/>
        <v>0</v>
      </c>
      <c r="J78" s="18">
        <f t="shared" si="6"/>
        <v>0</v>
      </c>
      <c r="K78" s="18">
        <f t="shared" si="7"/>
        <v>0</v>
      </c>
      <c r="L78" s="18">
        <f t="shared" si="11"/>
        <v>53.69</v>
      </c>
      <c r="M78" s="18">
        <f t="shared" si="9"/>
        <v>0</v>
      </c>
      <c r="N78" s="18">
        <f t="shared" si="12"/>
        <v>53.69</v>
      </c>
      <c r="O78" s="8"/>
    </row>
    <row r="79" spans="1:15">
      <c r="A79" s="1" t="s">
        <v>69</v>
      </c>
      <c r="B79" s="11"/>
      <c r="C79" s="11">
        <v>2506000</v>
      </c>
      <c r="D79" s="11">
        <v>2515000</v>
      </c>
      <c r="E79" s="11">
        <v>0</v>
      </c>
      <c r="F79" s="11">
        <f t="shared" si="10"/>
        <v>9000</v>
      </c>
      <c r="G79" s="17">
        <f t="shared" si="3"/>
        <v>42.19</v>
      </c>
      <c r="H79" s="17">
        <f t="shared" si="4"/>
        <v>0</v>
      </c>
      <c r="I79" s="17">
        <f t="shared" si="5"/>
        <v>0</v>
      </c>
      <c r="J79" s="18">
        <f t="shared" si="6"/>
        <v>0</v>
      </c>
      <c r="K79" s="18">
        <f t="shared" si="7"/>
        <v>0</v>
      </c>
      <c r="L79" s="18">
        <f t="shared" si="11"/>
        <v>42.19</v>
      </c>
      <c r="M79" s="18">
        <f t="shared" si="9"/>
        <v>0</v>
      </c>
      <c r="N79" s="18">
        <f t="shared" si="12"/>
        <v>42.19</v>
      </c>
      <c r="O79" s="8"/>
    </row>
    <row r="80" spans="1:15">
      <c r="A80" s="1" t="s">
        <v>70</v>
      </c>
      <c r="B80" s="11"/>
      <c r="C80" s="11">
        <v>1604000</v>
      </c>
      <c r="D80" s="11">
        <v>1617000</v>
      </c>
      <c r="E80" s="11">
        <v>0</v>
      </c>
      <c r="F80" s="11">
        <f t="shared" si="10"/>
        <v>13000</v>
      </c>
      <c r="G80" s="17">
        <f t="shared" si="3"/>
        <v>42.19</v>
      </c>
      <c r="H80" s="17">
        <f t="shared" si="4"/>
        <v>6.8999999999999995</v>
      </c>
      <c r="I80" s="17">
        <f t="shared" si="5"/>
        <v>0</v>
      </c>
      <c r="J80" s="18">
        <f t="shared" si="6"/>
        <v>0</v>
      </c>
      <c r="K80" s="18">
        <f t="shared" si="7"/>
        <v>0</v>
      </c>
      <c r="L80" s="18">
        <f t="shared" si="11"/>
        <v>49.089999999999996</v>
      </c>
      <c r="M80" s="18">
        <f t="shared" si="9"/>
        <v>0</v>
      </c>
      <c r="N80" s="18">
        <f t="shared" si="12"/>
        <v>49.089999999999996</v>
      </c>
      <c r="O80" s="8"/>
    </row>
    <row r="81" spans="1:15">
      <c r="A81" s="1" t="s">
        <v>71</v>
      </c>
      <c r="B81" s="11" t="s">
        <v>138</v>
      </c>
      <c r="C81" s="11">
        <v>0</v>
      </c>
      <c r="D81" s="11">
        <v>0</v>
      </c>
      <c r="E81" s="11">
        <v>0</v>
      </c>
      <c r="F81" s="11">
        <f t="shared" si="10"/>
        <v>0</v>
      </c>
      <c r="G81" s="17">
        <f t="shared" ref="G81:G136" si="13">IF(OR($F81&gt;0,$B81=""),$K$4,$N$4)</f>
        <v>12.41</v>
      </c>
      <c r="H81" s="17">
        <f t="shared" ref="H81:H136" si="14">IF(AND((($F81-10000)&gt;=0),(($F81-10000)&lt;= 10000)),($F81-10000)/1000*$K$5,IF(($F81-10000)&gt;=10000,$K$5*10,0))</f>
        <v>0</v>
      </c>
      <c r="I81" s="17">
        <f t="shared" ref="I81:I136" si="15">IF(AND((($F81-20000)&gt;=0),(($F81-20000)&lt;=10000)),($F81-20000)/1000*$K$6,IF(($F81-20000)&gt;=10000,$K$6*10,0))</f>
        <v>0</v>
      </c>
      <c r="J81" s="18">
        <f t="shared" ref="J81:J136" si="16">IF(AND((($F81-30000)&gt;=0),(($F81-30000)&lt;=10000)),($F81-30000)/1000*$K$7,IF(($F81-30000)&gt;=10000,$K$7*10,0))</f>
        <v>0</v>
      </c>
      <c r="K81" s="18">
        <f t="shared" ref="K81:K136" si="17">IF((($F81-40000)&gt;=0),($F81-40000)/1000*$K$8,0)</f>
        <v>0</v>
      </c>
      <c r="L81" s="18">
        <f t="shared" si="11"/>
        <v>12.41</v>
      </c>
      <c r="M81" s="18">
        <f t="shared" ref="M81:M112" si="18">IF(   $H$5=1,    IF((F81-$H$6)&gt;0,((F81-$H$6)/$P$7)*$E$8,0),   IF(F81&gt;0,(F81/$P$4)*$E$8,0)    )</f>
        <v>0</v>
      </c>
      <c r="N81" s="18">
        <f t="shared" si="12"/>
        <v>12.41</v>
      </c>
      <c r="O81" s="8"/>
    </row>
    <row r="82" spans="1:15">
      <c r="A82" s="1" t="s">
        <v>72</v>
      </c>
      <c r="B82" s="11"/>
      <c r="C82" s="11">
        <v>376000</v>
      </c>
      <c r="D82" s="11">
        <v>413000</v>
      </c>
      <c r="E82" s="11">
        <v>0</v>
      </c>
      <c r="F82" s="11">
        <f t="shared" si="10"/>
        <v>37000</v>
      </c>
      <c r="G82" s="17">
        <f t="shared" si="13"/>
        <v>42.19</v>
      </c>
      <c r="H82" s="17">
        <f t="shared" si="14"/>
        <v>23</v>
      </c>
      <c r="I82" s="17">
        <f t="shared" si="15"/>
        <v>26.7</v>
      </c>
      <c r="J82" s="18">
        <f t="shared" si="16"/>
        <v>21.7</v>
      </c>
      <c r="K82" s="18">
        <f t="shared" si="17"/>
        <v>0</v>
      </c>
      <c r="L82" s="18">
        <f t="shared" si="11"/>
        <v>113.59</v>
      </c>
      <c r="M82" s="18">
        <f t="shared" si="18"/>
        <v>5.3275200000000007</v>
      </c>
      <c r="N82" s="18">
        <f t="shared" si="12"/>
        <v>118.91752000000001</v>
      </c>
      <c r="O82" s="8" t="s">
        <v>139</v>
      </c>
    </row>
    <row r="83" spans="1:15">
      <c r="A83" s="1" t="s">
        <v>73</v>
      </c>
      <c r="B83" s="11"/>
      <c r="C83" s="11">
        <v>2004000</v>
      </c>
      <c r="D83" s="11">
        <v>2010000</v>
      </c>
      <c r="E83" s="11">
        <v>0</v>
      </c>
      <c r="F83" s="11">
        <f t="shared" si="10"/>
        <v>6000</v>
      </c>
      <c r="G83" s="17">
        <f t="shared" si="13"/>
        <v>42.19</v>
      </c>
      <c r="H83" s="17">
        <f t="shared" si="14"/>
        <v>0</v>
      </c>
      <c r="I83" s="17">
        <f t="shared" si="15"/>
        <v>0</v>
      </c>
      <c r="J83" s="18">
        <f t="shared" si="16"/>
        <v>0</v>
      </c>
      <c r="K83" s="18">
        <f t="shared" si="17"/>
        <v>0</v>
      </c>
      <c r="L83" s="18">
        <f t="shared" si="11"/>
        <v>42.19</v>
      </c>
      <c r="M83" s="18">
        <f t="shared" si="18"/>
        <v>0</v>
      </c>
      <c r="N83" s="18">
        <f t="shared" si="12"/>
        <v>42.19</v>
      </c>
      <c r="O83" s="8"/>
    </row>
    <row r="84" spans="1:15">
      <c r="A84" s="1" t="s">
        <v>74</v>
      </c>
      <c r="B84" s="11" t="s">
        <v>138</v>
      </c>
      <c r="C84" s="11">
        <v>0</v>
      </c>
      <c r="D84" s="11">
        <v>0</v>
      </c>
      <c r="E84" s="11">
        <v>0</v>
      </c>
      <c r="F84" s="11">
        <f t="shared" si="10"/>
        <v>0</v>
      </c>
      <c r="G84" s="17">
        <f t="shared" si="13"/>
        <v>12.41</v>
      </c>
      <c r="H84" s="17">
        <f t="shared" si="14"/>
        <v>0</v>
      </c>
      <c r="I84" s="17">
        <f t="shared" si="15"/>
        <v>0</v>
      </c>
      <c r="J84" s="18">
        <f t="shared" si="16"/>
        <v>0</v>
      </c>
      <c r="K84" s="18">
        <f t="shared" si="17"/>
        <v>0</v>
      </c>
      <c r="L84" s="18">
        <f t="shared" si="11"/>
        <v>12.41</v>
      </c>
      <c r="M84" s="18">
        <f t="shared" si="18"/>
        <v>0</v>
      </c>
      <c r="N84" s="18">
        <f t="shared" si="12"/>
        <v>12.41</v>
      </c>
      <c r="O84" s="8"/>
    </row>
    <row r="85" spans="1:15">
      <c r="A85" s="1" t="s">
        <v>75</v>
      </c>
      <c r="B85" s="11"/>
      <c r="C85" s="11">
        <v>761000</v>
      </c>
      <c r="D85" s="11">
        <v>783000</v>
      </c>
      <c r="E85" s="11">
        <v>0</v>
      </c>
      <c r="F85" s="11">
        <f t="shared" si="10"/>
        <v>22000</v>
      </c>
      <c r="G85" s="17">
        <f t="shared" si="13"/>
        <v>42.19</v>
      </c>
      <c r="H85" s="17">
        <f t="shared" si="14"/>
        <v>23</v>
      </c>
      <c r="I85" s="17">
        <f t="shared" si="15"/>
        <v>5.34</v>
      </c>
      <c r="J85" s="18">
        <f t="shared" si="16"/>
        <v>0</v>
      </c>
      <c r="K85" s="18">
        <f t="shared" si="17"/>
        <v>0</v>
      </c>
      <c r="L85" s="18">
        <f t="shared" si="11"/>
        <v>70.53</v>
      </c>
      <c r="M85" s="18">
        <f t="shared" si="18"/>
        <v>0</v>
      </c>
      <c r="N85" s="18">
        <f t="shared" si="12"/>
        <v>70.53</v>
      </c>
      <c r="O85" s="8"/>
    </row>
    <row r="86" spans="1:15">
      <c r="A86" s="1" t="s">
        <v>76</v>
      </c>
      <c r="B86" s="11"/>
      <c r="C86" s="11">
        <v>326000</v>
      </c>
      <c r="D86" s="11">
        <v>339000</v>
      </c>
      <c r="E86" s="11">
        <v>0</v>
      </c>
      <c r="F86" s="11">
        <f t="shared" si="10"/>
        <v>13000</v>
      </c>
      <c r="G86" s="17">
        <f t="shared" si="13"/>
        <v>42.19</v>
      </c>
      <c r="H86" s="17">
        <f t="shared" si="14"/>
        <v>6.8999999999999995</v>
      </c>
      <c r="I86" s="17">
        <f t="shared" si="15"/>
        <v>0</v>
      </c>
      <c r="J86" s="18">
        <f t="shared" si="16"/>
        <v>0</v>
      </c>
      <c r="K86" s="18">
        <f t="shared" si="17"/>
        <v>0</v>
      </c>
      <c r="L86" s="18">
        <f t="shared" si="11"/>
        <v>49.089999999999996</v>
      </c>
      <c r="M86" s="18">
        <f t="shared" si="18"/>
        <v>0</v>
      </c>
      <c r="N86" s="18">
        <f t="shared" si="12"/>
        <v>49.089999999999996</v>
      </c>
      <c r="O86" s="8" t="s">
        <v>139</v>
      </c>
    </row>
    <row r="87" spans="1:15">
      <c r="A87" s="1" t="s">
        <v>77</v>
      </c>
      <c r="B87" s="11"/>
      <c r="C87" s="11">
        <v>182000</v>
      </c>
      <c r="D87" s="11">
        <v>192000</v>
      </c>
      <c r="E87" s="11">
        <v>0</v>
      </c>
      <c r="F87" s="11">
        <f t="shared" si="10"/>
        <v>10000</v>
      </c>
      <c r="G87" s="17">
        <f t="shared" si="13"/>
        <v>42.19</v>
      </c>
      <c r="H87" s="17">
        <f t="shared" si="14"/>
        <v>0</v>
      </c>
      <c r="I87" s="17">
        <f t="shared" si="15"/>
        <v>0</v>
      </c>
      <c r="J87" s="18">
        <f t="shared" si="16"/>
        <v>0</v>
      </c>
      <c r="K87" s="18">
        <f t="shared" si="17"/>
        <v>0</v>
      </c>
      <c r="L87" s="18">
        <f t="shared" si="11"/>
        <v>42.19</v>
      </c>
      <c r="M87" s="18">
        <f t="shared" si="18"/>
        <v>0</v>
      </c>
      <c r="N87" s="18">
        <f t="shared" si="12"/>
        <v>42.19</v>
      </c>
      <c r="O87" s="8"/>
    </row>
    <row r="88" spans="1:15">
      <c r="A88" s="1" t="s">
        <v>78</v>
      </c>
      <c r="B88" s="11"/>
      <c r="C88" s="11">
        <v>1501000</v>
      </c>
      <c r="D88" s="11">
        <v>1513000</v>
      </c>
      <c r="E88" s="11">
        <v>0</v>
      </c>
      <c r="F88" s="11">
        <f t="shared" si="10"/>
        <v>12000</v>
      </c>
      <c r="G88" s="17">
        <f t="shared" si="13"/>
        <v>42.19</v>
      </c>
      <c r="H88" s="17">
        <f t="shared" si="14"/>
        <v>4.5999999999999996</v>
      </c>
      <c r="I88" s="17">
        <f t="shared" si="15"/>
        <v>0</v>
      </c>
      <c r="J88" s="18">
        <f t="shared" si="16"/>
        <v>0</v>
      </c>
      <c r="K88" s="18">
        <f t="shared" si="17"/>
        <v>0</v>
      </c>
      <c r="L88" s="18">
        <f t="shared" si="11"/>
        <v>46.79</v>
      </c>
      <c r="M88" s="18">
        <f t="shared" si="18"/>
        <v>0</v>
      </c>
      <c r="N88" s="18">
        <f t="shared" si="12"/>
        <v>46.79</v>
      </c>
      <c r="O88" s="8"/>
    </row>
    <row r="89" spans="1:15">
      <c r="A89" s="1" t="s">
        <v>79</v>
      </c>
      <c r="B89" s="11"/>
      <c r="C89" s="11">
        <v>3515000</v>
      </c>
      <c r="D89" s="11">
        <v>3521000</v>
      </c>
      <c r="E89" s="11">
        <v>0</v>
      </c>
      <c r="F89" s="11">
        <f t="shared" si="10"/>
        <v>6000</v>
      </c>
      <c r="G89" s="17">
        <f t="shared" si="13"/>
        <v>42.19</v>
      </c>
      <c r="H89" s="17">
        <f t="shared" si="14"/>
        <v>0</v>
      </c>
      <c r="I89" s="17">
        <f t="shared" si="15"/>
        <v>0</v>
      </c>
      <c r="J89" s="18">
        <f t="shared" si="16"/>
        <v>0</v>
      </c>
      <c r="K89" s="18">
        <f t="shared" si="17"/>
        <v>0</v>
      </c>
      <c r="L89" s="18">
        <f t="shared" si="11"/>
        <v>42.19</v>
      </c>
      <c r="M89" s="18">
        <f t="shared" si="18"/>
        <v>0</v>
      </c>
      <c r="N89" s="18">
        <f t="shared" si="12"/>
        <v>42.19</v>
      </c>
      <c r="O89" s="8"/>
    </row>
    <row r="90" spans="1:15">
      <c r="A90" s="1" t="s">
        <v>80</v>
      </c>
      <c r="B90" s="11"/>
      <c r="C90" s="11">
        <v>3057000</v>
      </c>
      <c r="D90" s="11">
        <v>3062000</v>
      </c>
      <c r="E90" s="11">
        <v>0</v>
      </c>
      <c r="F90" s="11">
        <f t="shared" si="10"/>
        <v>5000</v>
      </c>
      <c r="G90" s="17">
        <f t="shared" si="13"/>
        <v>42.19</v>
      </c>
      <c r="H90" s="17">
        <f t="shared" si="14"/>
        <v>0</v>
      </c>
      <c r="I90" s="17">
        <f t="shared" si="15"/>
        <v>0</v>
      </c>
      <c r="J90" s="18">
        <f t="shared" si="16"/>
        <v>0</v>
      </c>
      <c r="K90" s="18">
        <f t="shared" si="17"/>
        <v>0</v>
      </c>
      <c r="L90" s="18">
        <f t="shared" si="11"/>
        <v>42.19</v>
      </c>
      <c r="M90" s="18">
        <f t="shared" si="18"/>
        <v>0</v>
      </c>
      <c r="N90" s="18">
        <f t="shared" si="12"/>
        <v>42.19</v>
      </c>
      <c r="O90" s="8"/>
    </row>
    <row r="91" spans="1:15">
      <c r="A91" s="1" t="s">
        <v>81</v>
      </c>
      <c r="B91" s="11" t="s">
        <v>138</v>
      </c>
      <c r="C91" s="11">
        <v>0</v>
      </c>
      <c r="D91" s="11">
        <v>0</v>
      </c>
      <c r="E91" s="11">
        <v>0</v>
      </c>
      <c r="F91" s="11">
        <f t="shared" si="10"/>
        <v>0</v>
      </c>
      <c r="G91" s="17">
        <f t="shared" si="13"/>
        <v>12.41</v>
      </c>
      <c r="H91" s="17">
        <f t="shared" si="14"/>
        <v>0</v>
      </c>
      <c r="I91" s="17">
        <f t="shared" si="15"/>
        <v>0</v>
      </c>
      <c r="J91" s="18">
        <f t="shared" si="16"/>
        <v>0</v>
      </c>
      <c r="K91" s="18">
        <f t="shared" si="17"/>
        <v>0</v>
      </c>
      <c r="L91" s="18">
        <f t="shared" si="11"/>
        <v>12.41</v>
      </c>
      <c r="M91" s="18">
        <f t="shared" si="18"/>
        <v>0</v>
      </c>
      <c r="N91" s="18">
        <f t="shared" si="12"/>
        <v>12.41</v>
      </c>
      <c r="O91" s="8"/>
    </row>
    <row r="92" spans="1:15">
      <c r="A92" s="1" t="s">
        <v>82</v>
      </c>
      <c r="B92" s="11"/>
      <c r="C92" s="11">
        <v>3572000</v>
      </c>
      <c r="D92" s="11">
        <v>3597000</v>
      </c>
      <c r="E92" s="11">
        <v>0</v>
      </c>
      <c r="F92" s="11">
        <f t="shared" si="10"/>
        <v>25000</v>
      </c>
      <c r="G92" s="17">
        <f t="shared" si="13"/>
        <v>42.19</v>
      </c>
      <c r="H92" s="17">
        <f t="shared" si="14"/>
        <v>23</v>
      </c>
      <c r="I92" s="17">
        <f t="shared" si="15"/>
        <v>13.35</v>
      </c>
      <c r="J92" s="18">
        <f t="shared" si="16"/>
        <v>0</v>
      </c>
      <c r="K92" s="18">
        <f t="shared" si="17"/>
        <v>0</v>
      </c>
      <c r="L92" s="18">
        <f t="shared" si="11"/>
        <v>78.539999999999992</v>
      </c>
      <c r="M92" s="18">
        <f t="shared" si="18"/>
        <v>0</v>
      </c>
      <c r="N92" s="18">
        <f t="shared" si="12"/>
        <v>78.539999999999992</v>
      </c>
      <c r="O92" s="8"/>
    </row>
    <row r="93" spans="1:15">
      <c r="A93" s="1" t="s">
        <v>83</v>
      </c>
      <c r="B93" s="11"/>
      <c r="C93" s="11">
        <v>7869000</v>
      </c>
      <c r="D93" s="11">
        <v>7904000</v>
      </c>
      <c r="E93" s="11">
        <v>0</v>
      </c>
      <c r="F93" s="11">
        <f t="shared" si="10"/>
        <v>35000</v>
      </c>
      <c r="G93" s="17">
        <f t="shared" si="13"/>
        <v>42.19</v>
      </c>
      <c r="H93" s="17">
        <f t="shared" si="14"/>
        <v>23</v>
      </c>
      <c r="I93" s="17">
        <f t="shared" si="15"/>
        <v>26.7</v>
      </c>
      <c r="J93" s="18">
        <f t="shared" si="16"/>
        <v>15.5</v>
      </c>
      <c r="K93" s="18">
        <f t="shared" si="17"/>
        <v>0</v>
      </c>
      <c r="L93" s="18">
        <f t="shared" si="11"/>
        <v>107.39</v>
      </c>
      <c r="M93" s="18">
        <f t="shared" si="18"/>
        <v>0</v>
      </c>
      <c r="N93" s="18">
        <f t="shared" si="12"/>
        <v>107.39</v>
      </c>
      <c r="O93" s="8"/>
    </row>
    <row r="94" spans="1:15">
      <c r="A94" s="1" t="s">
        <v>84</v>
      </c>
      <c r="B94" s="11"/>
      <c r="C94" s="11">
        <v>3800000</v>
      </c>
      <c r="D94" s="11">
        <v>3800000</v>
      </c>
      <c r="E94" s="11">
        <v>0</v>
      </c>
      <c r="F94" s="11">
        <f t="shared" si="10"/>
        <v>0</v>
      </c>
      <c r="G94" s="17">
        <f t="shared" si="13"/>
        <v>42.19</v>
      </c>
      <c r="H94" s="17">
        <f t="shared" si="14"/>
        <v>0</v>
      </c>
      <c r="I94" s="17">
        <f t="shared" si="15"/>
        <v>0</v>
      </c>
      <c r="J94" s="18">
        <f t="shared" si="16"/>
        <v>0</v>
      </c>
      <c r="K94" s="18">
        <f t="shared" si="17"/>
        <v>0</v>
      </c>
      <c r="L94" s="18">
        <f t="shared" si="11"/>
        <v>42.19</v>
      </c>
      <c r="M94" s="18">
        <f t="shared" si="18"/>
        <v>0</v>
      </c>
      <c r="N94" s="18">
        <f t="shared" si="12"/>
        <v>42.19</v>
      </c>
      <c r="O94" s="8"/>
    </row>
    <row r="95" spans="1:15">
      <c r="A95" s="1" t="s">
        <v>85</v>
      </c>
      <c r="B95" s="11"/>
      <c r="C95" s="11">
        <v>2175000</v>
      </c>
      <c r="D95" s="11">
        <v>2190000</v>
      </c>
      <c r="E95" s="11">
        <v>0</v>
      </c>
      <c r="F95" s="11">
        <f t="shared" si="10"/>
        <v>15000</v>
      </c>
      <c r="G95" s="17">
        <f t="shared" si="13"/>
        <v>42.19</v>
      </c>
      <c r="H95" s="17">
        <f t="shared" si="14"/>
        <v>11.5</v>
      </c>
      <c r="I95" s="17">
        <f t="shared" si="15"/>
        <v>0</v>
      </c>
      <c r="J95" s="18">
        <f t="shared" si="16"/>
        <v>0</v>
      </c>
      <c r="K95" s="18">
        <f t="shared" si="17"/>
        <v>0</v>
      </c>
      <c r="L95" s="18">
        <f t="shared" si="11"/>
        <v>53.69</v>
      </c>
      <c r="M95" s="18">
        <f t="shared" si="18"/>
        <v>0</v>
      </c>
      <c r="N95" s="18">
        <f t="shared" si="12"/>
        <v>53.69</v>
      </c>
      <c r="O95" s="8"/>
    </row>
    <row r="96" spans="1:15">
      <c r="A96" s="1" t="s">
        <v>86</v>
      </c>
      <c r="B96" s="11"/>
      <c r="C96" s="11">
        <v>1888000</v>
      </c>
      <c r="D96" s="11">
        <v>1897000</v>
      </c>
      <c r="E96" s="11">
        <v>0</v>
      </c>
      <c r="F96" s="11">
        <f t="shared" si="10"/>
        <v>9000</v>
      </c>
      <c r="G96" s="17">
        <f t="shared" si="13"/>
        <v>42.19</v>
      </c>
      <c r="H96" s="17">
        <f t="shared" si="14"/>
        <v>0</v>
      </c>
      <c r="I96" s="17">
        <f t="shared" si="15"/>
        <v>0</v>
      </c>
      <c r="J96" s="18">
        <f t="shared" si="16"/>
        <v>0</v>
      </c>
      <c r="K96" s="18">
        <f t="shared" si="17"/>
        <v>0</v>
      </c>
      <c r="L96" s="18">
        <f t="shared" si="11"/>
        <v>42.19</v>
      </c>
      <c r="M96" s="18">
        <f t="shared" si="18"/>
        <v>0</v>
      </c>
      <c r="N96" s="18">
        <f t="shared" si="12"/>
        <v>42.19</v>
      </c>
      <c r="O96" s="8"/>
    </row>
    <row r="97" spans="1:15">
      <c r="A97" s="1" t="s">
        <v>87</v>
      </c>
      <c r="B97" s="11" t="s">
        <v>138</v>
      </c>
      <c r="C97" s="11">
        <v>0</v>
      </c>
      <c r="D97" s="11">
        <v>0</v>
      </c>
      <c r="E97" s="11">
        <v>0</v>
      </c>
      <c r="F97" s="11">
        <f t="shared" si="10"/>
        <v>0</v>
      </c>
      <c r="G97" s="17">
        <f t="shared" si="13"/>
        <v>12.41</v>
      </c>
      <c r="H97" s="17">
        <f t="shared" si="14"/>
        <v>0</v>
      </c>
      <c r="I97" s="17">
        <f t="shared" si="15"/>
        <v>0</v>
      </c>
      <c r="J97" s="18">
        <f t="shared" si="16"/>
        <v>0</v>
      </c>
      <c r="K97" s="18">
        <f t="shared" si="17"/>
        <v>0</v>
      </c>
      <c r="L97" s="18">
        <f t="shared" si="11"/>
        <v>12.41</v>
      </c>
      <c r="M97" s="18">
        <f t="shared" si="18"/>
        <v>0</v>
      </c>
      <c r="N97" s="18">
        <f t="shared" si="12"/>
        <v>12.41</v>
      </c>
      <c r="O97" s="8"/>
    </row>
    <row r="98" spans="1:15">
      <c r="A98" s="1" t="s">
        <v>88</v>
      </c>
      <c r="B98" s="11"/>
      <c r="C98" s="11">
        <v>1294000</v>
      </c>
      <c r="D98" s="11">
        <v>1305000</v>
      </c>
      <c r="E98" s="11">
        <v>0</v>
      </c>
      <c r="F98" s="11">
        <f t="shared" si="10"/>
        <v>11000</v>
      </c>
      <c r="G98" s="17">
        <f t="shared" si="13"/>
        <v>42.19</v>
      </c>
      <c r="H98" s="17">
        <f t="shared" si="14"/>
        <v>2.2999999999999998</v>
      </c>
      <c r="I98" s="17">
        <f t="shared" si="15"/>
        <v>0</v>
      </c>
      <c r="J98" s="18">
        <f t="shared" si="16"/>
        <v>0</v>
      </c>
      <c r="K98" s="18">
        <f t="shared" si="17"/>
        <v>0</v>
      </c>
      <c r="L98" s="18">
        <f t="shared" si="11"/>
        <v>44.489999999999995</v>
      </c>
      <c r="M98" s="18">
        <f t="shared" si="18"/>
        <v>0</v>
      </c>
      <c r="N98" s="18">
        <f t="shared" si="12"/>
        <v>44.489999999999995</v>
      </c>
      <c r="O98" s="8"/>
    </row>
    <row r="99" spans="1:15">
      <c r="A99" s="1" t="s">
        <v>89</v>
      </c>
      <c r="B99" s="11"/>
      <c r="C99" s="11">
        <v>2543000</v>
      </c>
      <c r="D99" s="11">
        <v>2562000</v>
      </c>
      <c r="E99" s="11">
        <v>0</v>
      </c>
      <c r="F99" s="11">
        <f t="shared" si="10"/>
        <v>19000</v>
      </c>
      <c r="G99" s="17">
        <f t="shared" si="13"/>
        <v>42.19</v>
      </c>
      <c r="H99" s="17">
        <f t="shared" si="14"/>
        <v>20.7</v>
      </c>
      <c r="I99" s="17">
        <f t="shared" si="15"/>
        <v>0</v>
      </c>
      <c r="J99" s="18">
        <f t="shared" si="16"/>
        <v>0</v>
      </c>
      <c r="K99" s="18">
        <f t="shared" si="17"/>
        <v>0</v>
      </c>
      <c r="L99" s="18">
        <f t="shared" si="11"/>
        <v>62.89</v>
      </c>
      <c r="M99" s="18">
        <f t="shared" si="18"/>
        <v>0</v>
      </c>
      <c r="N99" s="18">
        <f t="shared" si="12"/>
        <v>62.89</v>
      </c>
      <c r="O99" s="8"/>
    </row>
    <row r="100" spans="1:15">
      <c r="A100" s="1" t="s">
        <v>90</v>
      </c>
      <c r="B100" s="11"/>
      <c r="C100" s="11">
        <v>1269000</v>
      </c>
      <c r="D100" s="11">
        <v>1275000</v>
      </c>
      <c r="E100" s="11">
        <v>0</v>
      </c>
      <c r="F100" s="11">
        <f t="shared" si="10"/>
        <v>6000</v>
      </c>
      <c r="G100" s="17">
        <f t="shared" si="13"/>
        <v>42.19</v>
      </c>
      <c r="H100" s="17">
        <f t="shared" si="14"/>
        <v>0</v>
      </c>
      <c r="I100" s="17">
        <f t="shared" si="15"/>
        <v>0</v>
      </c>
      <c r="J100" s="18">
        <f t="shared" si="16"/>
        <v>0</v>
      </c>
      <c r="K100" s="18">
        <f t="shared" si="17"/>
        <v>0</v>
      </c>
      <c r="L100" s="18">
        <f t="shared" si="11"/>
        <v>42.19</v>
      </c>
      <c r="M100" s="18">
        <f t="shared" si="18"/>
        <v>0</v>
      </c>
      <c r="N100" s="18">
        <f t="shared" si="12"/>
        <v>42.19</v>
      </c>
      <c r="O100" s="8"/>
    </row>
    <row r="101" spans="1:15">
      <c r="A101" s="1" t="s">
        <v>91</v>
      </c>
      <c r="B101" s="11"/>
      <c r="C101" s="11">
        <v>277200</v>
      </c>
      <c r="D101" s="11">
        <v>279600</v>
      </c>
      <c r="E101" s="11">
        <v>0</v>
      </c>
      <c r="F101" s="11">
        <f>ROUND(($D101-$C101)+$E101,-3)</f>
        <v>2000</v>
      </c>
      <c r="G101" s="17">
        <f t="shared" si="13"/>
        <v>42.19</v>
      </c>
      <c r="H101" s="17">
        <f t="shared" si="14"/>
        <v>0</v>
      </c>
      <c r="I101" s="17">
        <f t="shared" si="15"/>
        <v>0</v>
      </c>
      <c r="J101" s="18">
        <f t="shared" si="16"/>
        <v>0</v>
      </c>
      <c r="K101" s="18">
        <f t="shared" si="17"/>
        <v>0</v>
      </c>
      <c r="L101" s="18">
        <f t="shared" si="11"/>
        <v>42.19</v>
      </c>
      <c r="M101" s="18">
        <f t="shared" si="18"/>
        <v>0</v>
      </c>
      <c r="N101" s="18">
        <f t="shared" si="12"/>
        <v>42.19</v>
      </c>
      <c r="O101" s="8"/>
    </row>
    <row r="102" spans="1:15">
      <c r="A102" s="1" t="s">
        <v>92</v>
      </c>
      <c r="B102" s="11"/>
      <c r="C102" s="11">
        <v>2574000</v>
      </c>
      <c r="D102" s="11">
        <v>2581000</v>
      </c>
      <c r="E102" s="11">
        <v>0</v>
      </c>
      <c r="F102" s="11">
        <f t="shared" si="10"/>
        <v>7000</v>
      </c>
      <c r="G102" s="17">
        <f t="shared" si="13"/>
        <v>42.19</v>
      </c>
      <c r="H102" s="17">
        <f t="shared" si="14"/>
        <v>0</v>
      </c>
      <c r="I102" s="17">
        <f t="shared" si="15"/>
        <v>0</v>
      </c>
      <c r="J102" s="18">
        <f t="shared" si="16"/>
        <v>0</v>
      </c>
      <c r="K102" s="18">
        <f t="shared" si="17"/>
        <v>0</v>
      </c>
      <c r="L102" s="18">
        <f t="shared" si="11"/>
        <v>42.19</v>
      </c>
      <c r="M102" s="18">
        <f t="shared" si="18"/>
        <v>0</v>
      </c>
      <c r="N102" s="18">
        <f t="shared" si="12"/>
        <v>42.19</v>
      </c>
      <c r="O102" s="8"/>
    </row>
    <row r="103" spans="1:15">
      <c r="A103" s="1" t="s">
        <v>93</v>
      </c>
      <c r="B103" s="11" t="s">
        <v>138</v>
      </c>
      <c r="C103" s="11">
        <v>0</v>
      </c>
      <c r="D103" s="11">
        <v>0</v>
      </c>
      <c r="E103" s="11">
        <v>0</v>
      </c>
      <c r="F103" s="11">
        <f t="shared" si="10"/>
        <v>0</v>
      </c>
      <c r="G103" s="17">
        <f t="shared" si="13"/>
        <v>12.41</v>
      </c>
      <c r="H103" s="17">
        <f t="shared" si="14"/>
        <v>0</v>
      </c>
      <c r="I103" s="17">
        <f t="shared" si="15"/>
        <v>0</v>
      </c>
      <c r="J103" s="18">
        <f t="shared" si="16"/>
        <v>0</v>
      </c>
      <c r="K103" s="18">
        <f t="shared" si="17"/>
        <v>0</v>
      </c>
      <c r="L103" s="18">
        <f t="shared" si="11"/>
        <v>12.41</v>
      </c>
      <c r="M103" s="18">
        <f t="shared" si="18"/>
        <v>0</v>
      </c>
      <c r="N103" s="18">
        <f t="shared" si="12"/>
        <v>12.41</v>
      </c>
      <c r="O103" s="8"/>
    </row>
    <row r="104" spans="1:15">
      <c r="A104" s="1" t="s">
        <v>94</v>
      </c>
      <c r="B104" s="11" t="s">
        <v>138</v>
      </c>
      <c r="C104" s="11">
        <v>0</v>
      </c>
      <c r="D104" s="11">
        <v>0</v>
      </c>
      <c r="E104" s="11">
        <v>0</v>
      </c>
      <c r="F104" s="11">
        <f t="shared" si="10"/>
        <v>0</v>
      </c>
      <c r="G104" s="17">
        <f t="shared" si="13"/>
        <v>12.41</v>
      </c>
      <c r="H104" s="17">
        <f t="shared" si="14"/>
        <v>0</v>
      </c>
      <c r="I104" s="17">
        <f t="shared" si="15"/>
        <v>0</v>
      </c>
      <c r="J104" s="18">
        <f t="shared" si="16"/>
        <v>0</v>
      </c>
      <c r="K104" s="18">
        <f t="shared" si="17"/>
        <v>0</v>
      </c>
      <c r="L104" s="18">
        <f t="shared" si="11"/>
        <v>12.41</v>
      </c>
      <c r="M104" s="18">
        <f t="shared" si="18"/>
        <v>0</v>
      </c>
      <c r="N104" s="18">
        <f t="shared" si="12"/>
        <v>12.41</v>
      </c>
      <c r="O104" s="8"/>
    </row>
    <row r="105" spans="1:15">
      <c r="A105" s="1" t="s">
        <v>95</v>
      </c>
      <c r="B105" s="11" t="s">
        <v>138</v>
      </c>
      <c r="C105" s="11">
        <v>0</v>
      </c>
      <c r="D105" s="11">
        <v>0</v>
      </c>
      <c r="E105" s="11">
        <v>0</v>
      </c>
      <c r="F105" s="11">
        <f t="shared" si="10"/>
        <v>0</v>
      </c>
      <c r="G105" s="17">
        <f t="shared" si="13"/>
        <v>12.41</v>
      </c>
      <c r="H105" s="17">
        <f t="shared" si="14"/>
        <v>0</v>
      </c>
      <c r="I105" s="17">
        <f t="shared" si="15"/>
        <v>0</v>
      </c>
      <c r="J105" s="18">
        <f t="shared" si="16"/>
        <v>0</v>
      </c>
      <c r="K105" s="18">
        <f t="shared" si="17"/>
        <v>0</v>
      </c>
      <c r="L105" s="18">
        <f t="shared" si="11"/>
        <v>12.41</v>
      </c>
      <c r="M105" s="18">
        <f t="shared" si="18"/>
        <v>0</v>
      </c>
      <c r="N105" s="18">
        <f t="shared" si="12"/>
        <v>12.41</v>
      </c>
      <c r="O105" s="8"/>
    </row>
    <row r="106" spans="1:15">
      <c r="A106" s="1" t="s">
        <v>96</v>
      </c>
      <c r="B106" s="11"/>
      <c r="C106" s="11">
        <v>1942000</v>
      </c>
      <c r="D106" s="11">
        <v>1953000</v>
      </c>
      <c r="E106" s="11">
        <v>0</v>
      </c>
      <c r="F106" s="11">
        <f t="shared" si="10"/>
        <v>11000</v>
      </c>
      <c r="G106" s="17">
        <f t="shared" si="13"/>
        <v>42.19</v>
      </c>
      <c r="H106" s="17">
        <f t="shared" si="14"/>
        <v>2.2999999999999998</v>
      </c>
      <c r="I106" s="17">
        <f t="shared" si="15"/>
        <v>0</v>
      </c>
      <c r="J106" s="18">
        <f t="shared" si="16"/>
        <v>0</v>
      </c>
      <c r="K106" s="18">
        <f t="shared" si="17"/>
        <v>0</v>
      </c>
      <c r="L106" s="18">
        <f t="shared" si="11"/>
        <v>44.489999999999995</v>
      </c>
      <c r="M106" s="18">
        <f t="shared" si="18"/>
        <v>0</v>
      </c>
      <c r="N106" s="18">
        <f t="shared" si="12"/>
        <v>44.489999999999995</v>
      </c>
      <c r="O106" s="8"/>
    </row>
    <row r="107" spans="1:15">
      <c r="A107" s="1" t="s">
        <v>97</v>
      </c>
      <c r="B107" s="11" t="s">
        <v>138</v>
      </c>
      <c r="C107" s="11">
        <v>0</v>
      </c>
      <c r="D107" s="11">
        <v>0</v>
      </c>
      <c r="E107" s="11">
        <v>0</v>
      </c>
      <c r="F107" s="11">
        <f t="shared" si="10"/>
        <v>0</v>
      </c>
      <c r="G107" s="17">
        <f t="shared" si="13"/>
        <v>12.41</v>
      </c>
      <c r="H107" s="17">
        <f t="shared" si="14"/>
        <v>0</v>
      </c>
      <c r="I107" s="17">
        <f t="shared" si="15"/>
        <v>0</v>
      </c>
      <c r="J107" s="18">
        <f t="shared" si="16"/>
        <v>0</v>
      </c>
      <c r="K107" s="18">
        <f t="shared" si="17"/>
        <v>0</v>
      </c>
      <c r="L107" s="18">
        <f t="shared" si="11"/>
        <v>12.41</v>
      </c>
      <c r="M107" s="18">
        <f t="shared" si="18"/>
        <v>0</v>
      </c>
      <c r="N107" s="18">
        <f t="shared" si="12"/>
        <v>12.41</v>
      </c>
      <c r="O107" s="8"/>
    </row>
    <row r="108" spans="1:15">
      <c r="A108" s="1" t="s">
        <v>98</v>
      </c>
      <c r="B108" s="11" t="s">
        <v>138</v>
      </c>
      <c r="C108" s="11">
        <v>0</v>
      </c>
      <c r="D108" s="11">
        <v>0</v>
      </c>
      <c r="E108" s="11">
        <v>0</v>
      </c>
      <c r="F108" s="11">
        <f t="shared" si="10"/>
        <v>0</v>
      </c>
      <c r="G108" s="17">
        <f t="shared" si="13"/>
        <v>12.41</v>
      </c>
      <c r="H108" s="17">
        <f t="shared" si="14"/>
        <v>0</v>
      </c>
      <c r="I108" s="17">
        <f t="shared" si="15"/>
        <v>0</v>
      </c>
      <c r="J108" s="18">
        <f t="shared" si="16"/>
        <v>0</v>
      </c>
      <c r="K108" s="18">
        <f t="shared" si="17"/>
        <v>0</v>
      </c>
      <c r="L108" s="18">
        <f t="shared" si="11"/>
        <v>12.41</v>
      </c>
      <c r="M108" s="18">
        <f t="shared" si="18"/>
        <v>0</v>
      </c>
      <c r="N108" s="18">
        <f t="shared" si="12"/>
        <v>12.41</v>
      </c>
      <c r="O108" s="8"/>
    </row>
    <row r="109" spans="1:15">
      <c r="A109" s="1" t="s">
        <v>99</v>
      </c>
      <c r="B109" s="11"/>
      <c r="C109" s="11">
        <v>1680000</v>
      </c>
      <c r="D109" s="11">
        <v>1680000</v>
      </c>
      <c r="E109" s="11">
        <v>0</v>
      </c>
      <c r="F109" s="11">
        <f t="shared" si="10"/>
        <v>0</v>
      </c>
      <c r="G109" s="17">
        <f t="shared" si="13"/>
        <v>42.19</v>
      </c>
      <c r="H109" s="17">
        <f t="shared" si="14"/>
        <v>0</v>
      </c>
      <c r="I109" s="17">
        <f t="shared" si="15"/>
        <v>0</v>
      </c>
      <c r="J109" s="18">
        <f t="shared" si="16"/>
        <v>0</v>
      </c>
      <c r="K109" s="18">
        <f t="shared" si="17"/>
        <v>0</v>
      </c>
      <c r="L109" s="18">
        <f t="shared" si="11"/>
        <v>42.19</v>
      </c>
      <c r="M109" s="18">
        <f t="shared" si="18"/>
        <v>0</v>
      </c>
      <c r="N109" s="18">
        <f t="shared" si="12"/>
        <v>42.19</v>
      </c>
      <c r="O109" s="8"/>
    </row>
    <row r="110" spans="1:15">
      <c r="A110" s="37" t="s">
        <v>100</v>
      </c>
      <c r="B110" s="38"/>
      <c r="C110" s="38">
        <v>546000</v>
      </c>
      <c r="D110" s="38">
        <v>546000</v>
      </c>
      <c r="E110" s="38">
        <v>0</v>
      </c>
      <c r="F110" s="38">
        <f t="shared" si="10"/>
        <v>0</v>
      </c>
      <c r="G110" s="39">
        <f t="shared" si="13"/>
        <v>42.19</v>
      </c>
      <c r="H110" s="39">
        <f t="shared" si="14"/>
        <v>0</v>
      </c>
      <c r="I110" s="39">
        <f t="shared" si="15"/>
        <v>0</v>
      </c>
      <c r="J110" s="40">
        <f t="shared" si="16"/>
        <v>0</v>
      </c>
      <c r="K110" s="40">
        <f t="shared" si="17"/>
        <v>0</v>
      </c>
      <c r="L110" s="40">
        <f t="shared" si="11"/>
        <v>42.19</v>
      </c>
      <c r="M110" s="40">
        <f t="shared" si="18"/>
        <v>0</v>
      </c>
      <c r="N110" s="40">
        <f t="shared" si="12"/>
        <v>42.19</v>
      </c>
      <c r="O110" s="41" t="s">
        <v>184</v>
      </c>
    </row>
    <row r="111" spans="1:15">
      <c r="A111" s="1" t="s">
        <v>101</v>
      </c>
      <c r="B111" s="11"/>
      <c r="C111" s="11">
        <v>4667000</v>
      </c>
      <c r="D111" s="11">
        <v>4673000</v>
      </c>
      <c r="E111" s="11">
        <v>0</v>
      </c>
      <c r="F111" s="11">
        <f t="shared" si="10"/>
        <v>6000</v>
      </c>
      <c r="G111" s="17">
        <f t="shared" si="13"/>
        <v>42.19</v>
      </c>
      <c r="H111" s="17">
        <f t="shared" si="14"/>
        <v>0</v>
      </c>
      <c r="I111" s="17">
        <f t="shared" si="15"/>
        <v>0</v>
      </c>
      <c r="J111" s="18">
        <f t="shared" si="16"/>
        <v>0</v>
      </c>
      <c r="K111" s="18">
        <f t="shared" si="17"/>
        <v>0</v>
      </c>
      <c r="L111" s="18">
        <f t="shared" si="11"/>
        <v>42.19</v>
      </c>
      <c r="M111" s="18">
        <f t="shared" si="18"/>
        <v>0</v>
      </c>
      <c r="N111" s="18">
        <f t="shared" si="12"/>
        <v>42.19</v>
      </c>
      <c r="O111" s="8"/>
    </row>
    <row r="112" spans="1:15">
      <c r="A112" s="1" t="s">
        <v>102</v>
      </c>
      <c r="B112" s="11" t="s">
        <v>138</v>
      </c>
      <c r="C112" s="11">
        <v>0</v>
      </c>
      <c r="D112" s="11">
        <v>0</v>
      </c>
      <c r="E112" s="11">
        <v>0</v>
      </c>
      <c r="F112" s="11">
        <f t="shared" si="10"/>
        <v>0</v>
      </c>
      <c r="G112" s="17">
        <f t="shared" si="13"/>
        <v>12.41</v>
      </c>
      <c r="H112" s="17">
        <f t="shared" si="14"/>
        <v>0</v>
      </c>
      <c r="I112" s="17">
        <f t="shared" si="15"/>
        <v>0</v>
      </c>
      <c r="J112" s="18">
        <f t="shared" si="16"/>
        <v>0</v>
      </c>
      <c r="K112" s="18">
        <f t="shared" si="17"/>
        <v>0</v>
      </c>
      <c r="L112" s="18">
        <f t="shared" si="11"/>
        <v>12.41</v>
      </c>
      <c r="M112" s="18">
        <f t="shared" si="18"/>
        <v>0</v>
      </c>
      <c r="N112" s="18">
        <f t="shared" si="12"/>
        <v>12.41</v>
      </c>
      <c r="O112" s="8"/>
    </row>
    <row r="113" spans="1:15">
      <c r="A113" s="1" t="s">
        <v>103</v>
      </c>
      <c r="B113" s="11"/>
      <c r="C113" s="11">
        <v>1472000</v>
      </c>
      <c r="D113" s="11">
        <v>1496000</v>
      </c>
      <c r="E113" s="11">
        <v>0</v>
      </c>
      <c r="F113" s="11">
        <f t="shared" si="10"/>
        <v>24000</v>
      </c>
      <c r="G113" s="17">
        <f t="shared" si="13"/>
        <v>42.19</v>
      </c>
      <c r="H113" s="17">
        <f t="shared" si="14"/>
        <v>23</v>
      </c>
      <c r="I113" s="17">
        <f t="shared" si="15"/>
        <v>10.68</v>
      </c>
      <c r="J113" s="18">
        <f t="shared" si="16"/>
        <v>0</v>
      </c>
      <c r="K113" s="18">
        <f t="shared" si="17"/>
        <v>0</v>
      </c>
      <c r="L113" s="18">
        <f t="shared" si="11"/>
        <v>75.87</v>
      </c>
      <c r="M113" s="18">
        <f t="shared" ref="M113:M136" si="19">IF(   $H$5=1,    IF((F113-$H$6)&gt;0,((F113-$H$6)/$P$7)*$E$8,0),   IF(F113&gt;0,(F113/$P$4)*$E$8,0)    )</f>
        <v>0</v>
      </c>
      <c r="N113" s="18">
        <f t="shared" si="12"/>
        <v>75.87</v>
      </c>
      <c r="O113" s="8"/>
    </row>
    <row r="114" spans="1:15">
      <c r="A114" s="1" t="s">
        <v>104</v>
      </c>
      <c r="B114" s="11" t="s">
        <v>138</v>
      </c>
      <c r="C114" s="11">
        <v>0</v>
      </c>
      <c r="D114" s="11">
        <v>0</v>
      </c>
      <c r="E114" s="11">
        <v>0</v>
      </c>
      <c r="F114" s="11">
        <f t="shared" si="10"/>
        <v>0</v>
      </c>
      <c r="G114" s="17">
        <f t="shared" si="13"/>
        <v>12.41</v>
      </c>
      <c r="H114" s="17">
        <f t="shared" si="14"/>
        <v>0</v>
      </c>
      <c r="I114" s="17">
        <f t="shared" si="15"/>
        <v>0</v>
      </c>
      <c r="J114" s="18">
        <f t="shared" si="16"/>
        <v>0</v>
      </c>
      <c r="K114" s="18">
        <f t="shared" si="17"/>
        <v>0</v>
      </c>
      <c r="L114" s="18">
        <f t="shared" si="11"/>
        <v>12.41</v>
      </c>
      <c r="M114" s="18">
        <f t="shared" si="19"/>
        <v>0</v>
      </c>
      <c r="N114" s="18">
        <f t="shared" si="12"/>
        <v>12.41</v>
      </c>
      <c r="O114" s="8"/>
    </row>
    <row r="115" spans="1:15">
      <c r="A115" s="1" t="s">
        <v>105</v>
      </c>
      <c r="B115" s="11"/>
      <c r="C115" s="11">
        <v>1724000</v>
      </c>
      <c r="D115" s="11">
        <v>1754000</v>
      </c>
      <c r="E115" s="11">
        <v>0</v>
      </c>
      <c r="F115" s="11">
        <f t="shared" si="10"/>
        <v>30000</v>
      </c>
      <c r="G115" s="17">
        <f t="shared" si="13"/>
        <v>42.19</v>
      </c>
      <c r="H115" s="17">
        <f t="shared" si="14"/>
        <v>23</v>
      </c>
      <c r="I115" s="17">
        <f t="shared" si="15"/>
        <v>26.7</v>
      </c>
      <c r="J115" s="18">
        <f t="shared" si="16"/>
        <v>0</v>
      </c>
      <c r="K115" s="18">
        <f t="shared" si="17"/>
        <v>0</v>
      </c>
      <c r="L115" s="18">
        <f t="shared" si="11"/>
        <v>91.89</v>
      </c>
      <c r="M115" s="18">
        <f t="shared" si="19"/>
        <v>0</v>
      </c>
      <c r="N115" s="18">
        <f t="shared" si="12"/>
        <v>91.89</v>
      </c>
      <c r="O115" s="8"/>
    </row>
    <row r="116" spans="1:15">
      <c r="A116" s="1" t="s">
        <v>106</v>
      </c>
      <c r="B116" s="11"/>
      <c r="C116" s="11">
        <v>1805000</v>
      </c>
      <c r="D116" s="11">
        <v>1806000</v>
      </c>
      <c r="E116" s="11">
        <v>0</v>
      </c>
      <c r="F116" s="11">
        <f t="shared" si="10"/>
        <v>1000</v>
      </c>
      <c r="G116" s="17">
        <f t="shared" si="13"/>
        <v>42.19</v>
      </c>
      <c r="H116" s="17">
        <f t="shared" si="14"/>
        <v>0</v>
      </c>
      <c r="I116" s="17">
        <f t="shared" si="15"/>
        <v>0</v>
      </c>
      <c r="J116" s="18">
        <f t="shared" si="16"/>
        <v>0</v>
      </c>
      <c r="K116" s="18">
        <f t="shared" si="17"/>
        <v>0</v>
      </c>
      <c r="L116" s="18">
        <f t="shared" si="11"/>
        <v>42.19</v>
      </c>
      <c r="M116" s="18">
        <f t="shared" si="19"/>
        <v>0</v>
      </c>
      <c r="N116" s="18">
        <f t="shared" si="12"/>
        <v>42.19</v>
      </c>
      <c r="O116" s="8"/>
    </row>
    <row r="117" spans="1:15">
      <c r="A117" s="1" t="s">
        <v>107</v>
      </c>
      <c r="B117" s="11"/>
      <c r="C117" s="11">
        <v>340000</v>
      </c>
      <c r="D117" s="11">
        <v>343000</v>
      </c>
      <c r="E117" s="11">
        <v>0</v>
      </c>
      <c r="F117" s="11">
        <f t="shared" si="10"/>
        <v>3000</v>
      </c>
      <c r="G117" s="17">
        <f t="shared" si="13"/>
        <v>42.19</v>
      </c>
      <c r="H117" s="17">
        <f t="shared" si="14"/>
        <v>0</v>
      </c>
      <c r="I117" s="17">
        <f t="shared" si="15"/>
        <v>0</v>
      </c>
      <c r="J117" s="18">
        <f t="shared" si="16"/>
        <v>0</v>
      </c>
      <c r="K117" s="18">
        <f t="shared" si="17"/>
        <v>0</v>
      </c>
      <c r="L117" s="18">
        <f t="shared" si="11"/>
        <v>42.19</v>
      </c>
      <c r="M117" s="18">
        <f t="shared" si="19"/>
        <v>0</v>
      </c>
      <c r="N117" s="18">
        <f t="shared" si="12"/>
        <v>42.19</v>
      </c>
      <c r="O117" s="8"/>
    </row>
    <row r="118" spans="1:15">
      <c r="A118" s="1" t="s">
        <v>108</v>
      </c>
      <c r="B118" s="11"/>
      <c r="C118" s="11">
        <v>2745000</v>
      </c>
      <c r="D118" s="11">
        <v>2753000</v>
      </c>
      <c r="E118" s="11">
        <v>0</v>
      </c>
      <c r="F118" s="11">
        <f t="shared" si="10"/>
        <v>8000</v>
      </c>
      <c r="G118" s="17">
        <f t="shared" si="13"/>
        <v>42.19</v>
      </c>
      <c r="H118" s="17">
        <f t="shared" si="14"/>
        <v>0</v>
      </c>
      <c r="I118" s="17">
        <f t="shared" si="15"/>
        <v>0</v>
      </c>
      <c r="J118" s="18">
        <f t="shared" si="16"/>
        <v>0</v>
      </c>
      <c r="K118" s="18">
        <f t="shared" si="17"/>
        <v>0</v>
      </c>
      <c r="L118" s="18">
        <f t="shared" si="11"/>
        <v>42.19</v>
      </c>
      <c r="M118" s="18">
        <f t="shared" si="19"/>
        <v>0</v>
      </c>
      <c r="N118" s="18">
        <f t="shared" si="12"/>
        <v>42.19</v>
      </c>
      <c r="O118" s="8"/>
    </row>
    <row r="119" spans="1:15">
      <c r="A119" s="1" t="s">
        <v>109</v>
      </c>
      <c r="B119" s="11" t="s">
        <v>138</v>
      </c>
      <c r="C119" s="11">
        <v>0</v>
      </c>
      <c r="D119" s="11">
        <v>0</v>
      </c>
      <c r="E119" s="11">
        <v>0</v>
      </c>
      <c r="F119" s="11">
        <f t="shared" si="10"/>
        <v>0</v>
      </c>
      <c r="G119" s="17">
        <f t="shared" si="13"/>
        <v>12.41</v>
      </c>
      <c r="H119" s="17">
        <f t="shared" si="14"/>
        <v>0</v>
      </c>
      <c r="I119" s="17">
        <f t="shared" si="15"/>
        <v>0</v>
      </c>
      <c r="J119" s="18">
        <f t="shared" si="16"/>
        <v>0</v>
      </c>
      <c r="K119" s="18">
        <f t="shared" si="17"/>
        <v>0</v>
      </c>
      <c r="L119" s="18">
        <f t="shared" si="11"/>
        <v>12.41</v>
      </c>
      <c r="M119" s="18">
        <f t="shared" si="19"/>
        <v>0</v>
      </c>
      <c r="N119" s="18">
        <f t="shared" si="12"/>
        <v>12.41</v>
      </c>
      <c r="O119" s="8"/>
    </row>
    <row r="120" spans="1:15">
      <c r="A120" s="1" t="s">
        <v>110</v>
      </c>
      <c r="B120" s="11"/>
      <c r="C120" s="11">
        <v>3889000</v>
      </c>
      <c r="D120" s="11">
        <v>3899000</v>
      </c>
      <c r="E120" s="11">
        <v>0</v>
      </c>
      <c r="F120" s="11">
        <f t="shared" si="10"/>
        <v>10000</v>
      </c>
      <c r="G120" s="17">
        <f t="shared" si="13"/>
        <v>42.19</v>
      </c>
      <c r="H120" s="17">
        <f t="shared" si="14"/>
        <v>0</v>
      </c>
      <c r="I120" s="17">
        <f t="shared" si="15"/>
        <v>0</v>
      </c>
      <c r="J120" s="18">
        <f t="shared" si="16"/>
        <v>0</v>
      </c>
      <c r="K120" s="18">
        <f t="shared" si="17"/>
        <v>0</v>
      </c>
      <c r="L120" s="18">
        <f t="shared" si="11"/>
        <v>42.19</v>
      </c>
      <c r="M120" s="18">
        <f t="shared" si="19"/>
        <v>0</v>
      </c>
      <c r="N120" s="18">
        <f t="shared" si="12"/>
        <v>42.19</v>
      </c>
      <c r="O120" s="8"/>
    </row>
    <row r="121" spans="1:15">
      <c r="A121" s="1" t="s">
        <v>111</v>
      </c>
      <c r="B121" s="11"/>
      <c r="C121" s="11">
        <v>3755000</v>
      </c>
      <c r="D121" s="11">
        <v>3768000</v>
      </c>
      <c r="E121" s="11">
        <v>0</v>
      </c>
      <c r="F121" s="11">
        <f t="shared" si="10"/>
        <v>13000</v>
      </c>
      <c r="G121" s="17">
        <f t="shared" si="13"/>
        <v>42.19</v>
      </c>
      <c r="H121" s="17">
        <f t="shared" si="14"/>
        <v>6.8999999999999995</v>
      </c>
      <c r="I121" s="17">
        <f t="shared" si="15"/>
        <v>0</v>
      </c>
      <c r="J121" s="18">
        <f t="shared" si="16"/>
        <v>0</v>
      </c>
      <c r="K121" s="18">
        <f t="shared" si="17"/>
        <v>0</v>
      </c>
      <c r="L121" s="18">
        <f t="shared" si="11"/>
        <v>49.089999999999996</v>
      </c>
      <c r="M121" s="18">
        <f t="shared" si="19"/>
        <v>0</v>
      </c>
      <c r="N121" s="18">
        <f t="shared" si="12"/>
        <v>49.089999999999996</v>
      </c>
      <c r="O121" s="8"/>
    </row>
    <row r="122" spans="1:15">
      <c r="A122" s="1" t="s">
        <v>112</v>
      </c>
      <c r="B122" s="11"/>
      <c r="C122" s="11">
        <v>363000</v>
      </c>
      <c r="D122" s="11">
        <v>365000</v>
      </c>
      <c r="E122" s="11">
        <v>0</v>
      </c>
      <c r="F122" s="11">
        <f t="shared" si="10"/>
        <v>2000</v>
      </c>
      <c r="G122" s="17">
        <f t="shared" si="13"/>
        <v>42.19</v>
      </c>
      <c r="H122" s="17">
        <f t="shared" si="14"/>
        <v>0</v>
      </c>
      <c r="I122" s="17">
        <f t="shared" si="15"/>
        <v>0</v>
      </c>
      <c r="J122" s="18">
        <f t="shared" si="16"/>
        <v>0</v>
      </c>
      <c r="K122" s="18">
        <f t="shared" si="17"/>
        <v>0</v>
      </c>
      <c r="L122" s="18">
        <f t="shared" si="11"/>
        <v>42.19</v>
      </c>
      <c r="M122" s="18">
        <f t="shared" si="19"/>
        <v>0</v>
      </c>
      <c r="N122" s="18">
        <f t="shared" si="12"/>
        <v>42.19</v>
      </c>
      <c r="O122" s="8"/>
    </row>
    <row r="123" spans="1:15">
      <c r="A123" s="1" t="s">
        <v>113</v>
      </c>
      <c r="B123" s="11"/>
      <c r="C123" s="11">
        <v>1609000</v>
      </c>
      <c r="D123" s="11">
        <v>1625000</v>
      </c>
      <c r="E123" s="11">
        <v>0</v>
      </c>
      <c r="F123" s="11">
        <f t="shared" si="10"/>
        <v>16000</v>
      </c>
      <c r="G123" s="17">
        <f t="shared" si="13"/>
        <v>42.19</v>
      </c>
      <c r="H123" s="17">
        <f t="shared" si="14"/>
        <v>13.799999999999999</v>
      </c>
      <c r="I123" s="17">
        <f t="shared" si="15"/>
        <v>0</v>
      </c>
      <c r="J123" s="18">
        <f t="shared" si="16"/>
        <v>0</v>
      </c>
      <c r="K123" s="18">
        <f t="shared" si="17"/>
        <v>0</v>
      </c>
      <c r="L123" s="18">
        <f t="shared" si="11"/>
        <v>55.989999999999995</v>
      </c>
      <c r="M123" s="18">
        <f t="shared" si="19"/>
        <v>0</v>
      </c>
      <c r="N123" s="18">
        <f t="shared" si="12"/>
        <v>55.989999999999995</v>
      </c>
      <c r="O123" s="8"/>
    </row>
    <row r="124" spans="1:15">
      <c r="A124" s="1" t="s">
        <v>114</v>
      </c>
      <c r="B124" s="11"/>
      <c r="C124" s="11">
        <v>2667000</v>
      </c>
      <c r="D124" s="11">
        <v>2673000</v>
      </c>
      <c r="E124" s="11">
        <v>0</v>
      </c>
      <c r="F124" s="11">
        <f t="shared" si="10"/>
        <v>6000</v>
      </c>
      <c r="G124" s="17">
        <f t="shared" si="13"/>
        <v>42.19</v>
      </c>
      <c r="H124" s="17">
        <f t="shared" si="14"/>
        <v>0</v>
      </c>
      <c r="I124" s="17">
        <f t="shared" si="15"/>
        <v>0</v>
      </c>
      <c r="J124" s="18">
        <f t="shared" si="16"/>
        <v>0</v>
      </c>
      <c r="K124" s="18">
        <f t="shared" si="17"/>
        <v>0</v>
      </c>
      <c r="L124" s="18">
        <f t="shared" si="11"/>
        <v>42.19</v>
      </c>
      <c r="M124" s="18">
        <f t="shared" si="19"/>
        <v>0</v>
      </c>
      <c r="N124" s="18">
        <f t="shared" si="12"/>
        <v>42.19</v>
      </c>
      <c r="O124" s="8"/>
    </row>
    <row r="125" spans="1:15">
      <c r="A125" s="1" t="s">
        <v>115</v>
      </c>
      <c r="B125" s="11"/>
      <c r="C125" s="11">
        <v>2619000</v>
      </c>
      <c r="D125" s="11">
        <v>2630000</v>
      </c>
      <c r="E125" s="11">
        <v>0</v>
      </c>
      <c r="F125" s="11">
        <f t="shared" si="10"/>
        <v>11000</v>
      </c>
      <c r="G125" s="17">
        <f t="shared" si="13"/>
        <v>42.19</v>
      </c>
      <c r="H125" s="17">
        <f t="shared" si="14"/>
        <v>2.2999999999999998</v>
      </c>
      <c r="I125" s="17">
        <f t="shared" si="15"/>
        <v>0</v>
      </c>
      <c r="J125" s="18">
        <f t="shared" si="16"/>
        <v>0</v>
      </c>
      <c r="K125" s="18">
        <f t="shared" si="17"/>
        <v>0</v>
      </c>
      <c r="L125" s="18">
        <f t="shared" si="11"/>
        <v>44.489999999999995</v>
      </c>
      <c r="M125" s="18">
        <f t="shared" si="19"/>
        <v>0</v>
      </c>
      <c r="N125" s="18">
        <f t="shared" si="12"/>
        <v>44.489999999999995</v>
      </c>
      <c r="O125" s="8"/>
    </row>
    <row r="126" spans="1:15">
      <c r="A126" s="1" t="s">
        <v>116</v>
      </c>
      <c r="B126" s="11"/>
      <c r="C126" s="11">
        <v>4281000</v>
      </c>
      <c r="D126" s="11">
        <v>4283000</v>
      </c>
      <c r="E126" s="11">
        <v>0</v>
      </c>
      <c r="F126" s="11">
        <f t="shared" si="10"/>
        <v>2000</v>
      </c>
      <c r="G126" s="17">
        <f t="shared" si="13"/>
        <v>42.19</v>
      </c>
      <c r="H126" s="17">
        <f t="shared" si="14"/>
        <v>0</v>
      </c>
      <c r="I126" s="17">
        <f t="shared" si="15"/>
        <v>0</v>
      </c>
      <c r="J126" s="18">
        <f t="shared" si="16"/>
        <v>0</v>
      </c>
      <c r="K126" s="18">
        <f t="shared" si="17"/>
        <v>0</v>
      </c>
      <c r="L126" s="18">
        <f t="shared" si="11"/>
        <v>42.19</v>
      </c>
      <c r="M126" s="18">
        <f t="shared" si="19"/>
        <v>0</v>
      </c>
      <c r="N126" s="18">
        <f t="shared" si="12"/>
        <v>42.19</v>
      </c>
      <c r="O126" s="8"/>
    </row>
    <row r="127" spans="1:15">
      <c r="A127" s="1" t="s">
        <v>117</v>
      </c>
      <c r="B127" s="11"/>
      <c r="C127" s="11">
        <v>1935000</v>
      </c>
      <c r="D127" s="11">
        <v>1940000</v>
      </c>
      <c r="E127" s="11">
        <v>0</v>
      </c>
      <c r="F127" s="11">
        <f t="shared" si="10"/>
        <v>5000</v>
      </c>
      <c r="G127" s="17">
        <f t="shared" si="13"/>
        <v>42.19</v>
      </c>
      <c r="H127" s="17">
        <f t="shared" si="14"/>
        <v>0</v>
      </c>
      <c r="I127" s="17">
        <f t="shared" si="15"/>
        <v>0</v>
      </c>
      <c r="J127" s="18">
        <f t="shared" si="16"/>
        <v>0</v>
      </c>
      <c r="K127" s="18">
        <f t="shared" si="17"/>
        <v>0</v>
      </c>
      <c r="L127" s="18">
        <f t="shared" si="11"/>
        <v>42.19</v>
      </c>
      <c r="M127" s="18">
        <f t="shared" si="19"/>
        <v>0</v>
      </c>
      <c r="N127" s="18">
        <f t="shared" si="12"/>
        <v>42.19</v>
      </c>
      <c r="O127" s="8"/>
    </row>
    <row r="128" spans="1:15">
      <c r="A128" s="1" t="s">
        <v>118</v>
      </c>
      <c r="B128" s="11"/>
      <c r="C128" s="11">
        <v>65000</v>
      </c>
      <c r="D128" s="11">
        <v>74000</v>
      </c>
      <c r="E128" s="11">
        <v>0</v>
      </c>
      <c r="F128" s="11">
        <f t="shared" si="10"/>
        <v>9000</v>
      </c>
      <c r="G128" s="17">
        <f t="shared" si="13"/>
        <v>42.19</v>
      </c>
      <c r="H128" s="17">
        <f t="shared" si="14"/>
        <v>0</v>
      </c>
      <c r="I128" s="17">
        <f t="shared" si="15"/>
        <v>0</v>
      </c>
      <c r="J128" s="18">
        <f t="shared" si="16"/>
        <v>0</v>
      </c>
      <c r="K128" s="18">
        <f t="shared" si="17"/>
        <v>0</v>
      </c>
      <c r="L128" s="18">
        <f t="shared" si="11"/>
        <v>42.19</v>
      </c>
      <c r="M128" s="18">
        <f t="shared" si="19"/>
        <v>0</v>
      </c>
      <c r="N128" s="18">
        <f t="shared" si="12"/>
        <v>42.19</v>
      </c>
      <c r="O128" s="8" t="s">
        <v>174</v>
      </c>
    </row>
    <row r="129" spans="1:15">
      <c r="A129" s="1" t="s">
        <v>119</v>
      </c>
      <c r="B129" s="11"/>
      <c r="C129" s="11">
        <v>7563000</v>
      </c>
      <c r="D129" s="11">
        <v>7571000</v>
      </c>
      <c r="E129" s="11">
        <v>0</v>
      </c>
      <c r="F129" s="11">
        <f t="shared" si="10"/>
        <v>8000</v>
      </c>
      <c r="G129" s="17">
        <f t="shared" si="13"/>
        <v>42.19</v>
      </c>
      <c r="H129" s="17">
        <f t="shared" si="14"/>
        <v>0</v>
      </c>
      <c r="I129" s="17">
        <f t="shared" si="15"/>
        <v>0</v>
      </c>
      <c r="J129" s="18">
        <f t="shared" si="16"/>
        <v>0</v>
      </c>
      <c r="K129" s="18">
        <f t="shared" si="17"/>
        <v>0</v>
      </c>
      <c r="L129" s="18">
        <f t="shared" si="11"/>
        <v>42.19</v>
      </c>
      <c r="M129" s="18">
        <f t="shared" si="19"/>
        <v>0</v>
      </c>
      <c r="N129" s="18">
        <f t="shared" si="12"/>
        <v>42.19</v>
      </c>
      <c r="O129" s="8"/>
    </row>
    <row r="130" spans="1:15">
      <c r="A130" s="1" t="s">
        <v>120</v>
      </c>
      <c r="B130" s="11"/>
      <c r="C130" s="11">
        <v>3780000</v>
      </c>
      <c r="D130" s="11">
        <v>3794000</v>
      </c>
      <c r="E130" s="11">
        <v>0</v>
      </c>
      <c r="F130" s="11">
        <f t="shared" si="10"/>
        <v>14000</v>
      </c>
      <c r="G130" s="17">
        <f t="shared" si="13"/>
        <v>42.19</v>
      </c>
      <c r="H130" s="17">
        <f t="shared" si="14"/>
        <v>9.1999999999999993</v>
      </c>
      <c r="I130" s="17">
        <f t="shared" si="15"/>
        <v>0</v>
      </c>
      <c r="J130" s="18">
        <f t="shared" si="16"/>
        <v>0</v>
      </c>
      <c r="K130" s="18">
        <f t="shared" si="17"/>
        <v>0</v>
      </c>
      <c r="L130" s="18">
        <f t="shared" si="11"/>
        <v>51.39</v>
      </c>
      <c r="M130" s="18">
        <f t="shared" si="19"/>
        <v>0</v>
      </c>
      <c r="N130" s="18">
        <f t="shared" si="12"/>
        <v>51.39</v>
      </c>
      <c r="O130" s="8"/>
    </row>
    <row r="131" spans="1:15">
      <c r="A131" s="1" t="s">
        <v>121</v>
      </c>
      <c r="B131" s="11" t="s">
        <v>138</v>
      </c>
      <c r="C131" s="11">
        <v>0</v>
      </c>
      <c r="D131" s="11">
        <v>0</v>
      </c>
      <c r="E131" s="11">
        <v>0</v>
      </c>
      <c r="F131" s="11">
        <f t="shared" si="10"/>
        <v>0</v>
      </c>
      <c r="G131" s="17">
        <f t="shared" si="13"/>
        <v>12.41</v>
      </c>
      <c r="H131" s="17">
        <f t="shared" si="14"/>
        <v>0</v>
      </c>
      <c r="I131" s="17">
        <f t="shared" si="15"/>
        <v>0</v>
      </c>
      <c r="J131" s="18">
        <f t="shared" si="16"/>
        <v>0</v>
      </c>
      <c r="K131" s="18">
        <f t="shared" si="17"/>
        <v>0</v>
      </c>
      <c r="L131" s="18">
        <f t="shared" si="11"/>
        <v>12.41</v>
      </c>
      <c r="M131" s="18">
        <f t="shared" si="19"/>
        <v>0</v>
      </c>
      <c r="N131" s="18">
        <f t="shared" si="12"/>
        <v>12.41</v>
      </c>
      <c r="O131" s="8"/>
    </row>
    <row r="132" spans="1:15">
      <c r="A132" s="1" t="s">
        <v>122</v>
      </c>
      <c r="B132" s="11"/>
      <c r="C132" s="11">
        <v>1429000</v>
      </c>
      <c r="D132" s="11">
        <v>1447000</v>
      </c>
      <c r="E132" s="11">
        <v>0</v>
      </c>
      <c r="F132" s="11">
        <f t="shared" si="10"/>
        <v>18000</v>
      </c>
      <c r="G132" s="17">
        <f t="shared" si="13"/>
        <v>42.19</v>
      </c>
      <c r="H132" s="17">
        <f t="shared" si="14"/>
        <v>18.399999999999999</v>
      </c>
      <c r="I132" s="17">
        <f t="shared" si="15"/>
        <v>0</v>
      </c>
      <c r="J132" s="18">
        <f t="shared" si="16"/>
        <v>0</v>
      </c>
      <c r="K132" s="18">
        <f t="shared" si="17"/>
        <v>0</v>
      </c>
      <c r="L132" s="18">
        <f t="shared" si="11"/>
        <v>60.589999999999996</v>
      </c>
      <c r="M132" s="18">
        <f t="shared" si="19"/>
        <v>0</v>
      </c>
      <c r="N132" s="18">
        <f t="shared" si="12"/>
        <v>60.589999999999996</v>
      </c>
      <c r="O132" s="8"/>
    </row>
    <row r="133" spans="1:15">
      <c r="A133" s="1" t="s">
        <v>123</v>
      </c>
      <c r="B133" s="11" t="s">
        <v>138</v>
      </c>
      <c r="C133" s="11">
        <v>0</v>
      </c>
      <c r="D133" s="11">
        <v>0</v>
      </c>
      <c r="E133" s="11">
        <v>0</v>
      </c>
      <c r="F133" s="11">
        <f t="shared" si="10"/>
        <v>0</v>
      </c>
      <c r="G133" s="17">
        <f t="shared" si="13"/>
        <v>12.41</v>
      </c>
      <c r="H133" s="17">
        <f t="shared" si="14"/>
        <v>0</v>
      </c>
      <c r="I133" s="17">
        <f t="shared" si="15"/>
        <v>0</v>
      </c>
      <c r="J133" s="18">
        <f t="shared" si="16"/>
        <v>0</v>
      </c>
      <c r="K133" s="18">
        <f t="shared" si="17"/>
        <v>0</v>
      </c>
      <c r="L133" s="18">
        <f t="shared" si="11"/>
        <v>12.41</v>
      </c>
      <c r="M133" s="18">
        <f t="shared" si="19"/>
        <v>0</v>
      </c>
      <c r="N133" s="18">
        <f t="shared" si="12"/>
        <v>12.41</v>
      </c>
      <c r="O133" s="8"/>
    </row>
    <row r="134" spans="1:15">
      <c r="A134" s="1" t="s">
        <v>124</v>
      </c>
      <c r="B134" s="11" t="s">
        <v>138</v>
      </c>
      <c r="C134" s="11">
        <v>0</v>
      </c>
      <c r="D134" s="11">
        <v>0</v>
      </c>
      <c r="E134" s="11">
        <v>0</v>
      </c>
      <c r="F134" s="11">
        <f t="shared" si="10"/>
        <v>0</v>
      </c>
      <c r="G134" s="17">
        <f t="shared" si="13"/>
        <v>12.41</v>
      </c>
      <c r="H134" s="17">
        <f t="shared" si="14"/>
        <v>0</v>
      </c>
      <c r="I134" s="17">
        <f t="shared" si="15"/>
        <v>0</v>
      </c>
      <c r="J134" s="18">
        <f t="shared" si="16"/>
        <v>0</v>
      </c>
      <c r="K134" s="18">
        <f t="shared" si="17"/>
        <v>0</v>
      </c>
      <c r="L134" s="18">
        <f t="shared" si="11"/>
        <v>12.41</v>
      </c>
      <c r="M134" s="18">
        <f t="shared" si="19"/>
        <v>0</v>
      </c>
      <c r="N134" s="18">
        <f t="shared" si="12"/>
        <v>12.41</v>
      </c>
      <c r="O134" s="8"/>
    </row>
    <row r="135" spans="1:15">
      <c r="A135" s="1" t="s">
        <v>125</v>
      </c>
      <c r="B135" s="11" t="s">
        <v>138</v>
      </c>
      <c r="C135" s="11">
        <v>0</v>
      </c>
      <c r="D135" s="11">
        <v>0</v>
      </c>
      <c r="E135" s="11">
        <v>0</v>
      </c>
      <c r="F135" s="11">
        <f t="shared" si="10"/>
        <v>0</v>
      </c>
      <c r="G135" s="17">
        <f t="shared" si="13"/>
        <v>12.41</v>
      </c>
      <c r="H135" s="17">
        <f t="shared" si="14"/>
        <v>0</v>
      </c>
      <c r="I135" s="17">
        <f t="shared" si="15"/>
        <v>0</v>
      </c>
      <c r="J135" s="18">
        <f t="shared" si="16"/>
        <v>0</v>
      </c>
      <c r="K135" s="18">
        <f t="shared" si="17"/>
        <v>0</v>
      </c>
      <c r="L135" s="18">
        <f t="shared" si="11"/>
        <v>12.41</v>
      </c>
      <c r="M135" s="18">
        <f t="shared" si="19"/>
        <v>0</v>
      </c>
      <c r="N135" s="18">
        <f t="shared" si="12"/>
        <v>12.41</v>
      </c>
      <c r="O135" s="8"/>
    </row>
    <row r="136" spans="1:15">
      <c r="A136" s="1" t="s">
        <v>126</v>
      </c>
      <c r="B136" s="11"/>
      <c r="C136" s="11">
        <v>1368000</v>
      </c>
      <c r="D136" s="11">
        <v>1416000</v>
      </c>
      <c r="E136" s="11">
        <v>0</v>
      </c>
      <c r="F136" s="11">
        <f t="shared" si="10"/>
        <v>48000</v>
      </c>
      <c r="G136" s="17">
        <f t="shared" si="13"/>
        <v>42.19</v>
      </c>
      <c r="H136" s="17">
        <f t="shared" si="14"/>
        <v>23</v>
      </c>
      <c r="I136" s="17">
        <f t="shared" si="15"/>
        <v>26.7</v>
      </c>
      <c r="J136" s="18">
        <f t="shared" si="16"/>
        <v>31</v>
      </c>
      <c r="K136" s="18">
        <f t="shared" si="17"/>
        <v>28.8</v>
      </c>
      <c r="L136" s="18">
        <f t="shared" si="11"/>
        <v>151.69</v>
      </c>
      <c r="M136" s="18">
        <f t="shared" si="19"/>
        <v>34.628880000000002</v>
      </c>
      <c r="N136" s="18">
        <f t="shared" si="12"/>
        <v>186.31888000000001</v>
      </c>
      <c r="O136" s="8"/>
    </row>
    <row r="137" spans="1:15">
      <c r="B137" s="11"/>
      <c r="C137" s="11"/>
      <c r="D137" s="11"/>
      <c r="E137" s="11"/>
      <c r="F137" s="11"/>
      <c r="G137" s="17"/>
      <c r="H137" s="17"/>
      <c r="I137" s="17"/>
      <c r="J137" s="18"/>
      <c r="K137" s="18"/>
      <c r="L137" s="18"/>
      <c r="M137" s="18"/>
      <c r="N137" s="18"/>
      <c r="O137" s="8"/>
    </row>
    <row r="138" spans="1:15">
      <c r="J138" s="1" t="s">
        <v>136</v>
      </c>
      <c r="M138" s="27">
        <f>SUM(M11:M136)</f>
        <v>332.97</v>
      </c>
      <c r="N138" s="5">
        <f>SUM(N11:N136)</f>
        <v>6383.8899999999894</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SUM(F11:F136)</f>
        <v>1310000</v>
      </c>
      <c r="G140" s="75">
        <f t="shared" ref="G140:L140" si="20">SUM(G11:G136)</f>
        <v>4416.4499999999989</v>
      </c>
      <c r="H140" s="75">
        <f t="shared" si="20"/>
        <v>673.89999999999986</v>
      </c>
      <c r="I140" s="75">
        <f t="shared" si="20"/>
        <v>403.1699999999999</v>
      </c>
      <c r="J140" s="75">
        <f t="shared" si="20"/>
        <v>204.6</v>
      </c>
      <c r="K140" s="75">
        <f t="shared" si="20"/>
        <v>352.8</v>
      </c>
      <c r="L140" s="75">
        <f t="shared" si="20"/>
        <v>6050.9199999999901</v>
      </c>
    </row>
    <row r="141" spans="1:15" customFormat="1">
      <c r="A141" t="s">
        <v>250</v>
      </c>
    </row>
    <row r="142" spans="1:15" customFormat="1">
      <c r="D142" t="s">
        <v>248</v>
      </c>
      <c r="E142" t="s">
        <v>148</v>
      </c>
      <c r="F142" s="1"/>
      <c r="G142" t="s">
        <v>258</v>
      </c>
      <c r="H142" t="s">
        <v>166</v>
      </c>
      <c r="I142" t="s">
        <v>167</v>
      </c>
      <c r="J142" t="s">
        <v>169</v>
      </c>
      <c r="K142" t="s">
        <v>252</v>
      </c>
      <c r="L142" t="s">
        <v>251</v>
      </c>
    </row>
    <row r="143" spans="1:15" customFormat="1">
      <c r="A143" t="s">
        <v>254</v>
      </c>
      <c r="D143">
        <v>82</v>
      </c>
      <c r="E143" s="25">
        <f>SUM(M18:M130)</f>
        <v>213.10080000000002</v>
      </c>
      <c r="F143" s="1"/>
      <c r="G143" s="25">
        <f>SUM(G18:G130)-G145</f>
        <v>3459.5800000000027</v>
      </c>
      <c r="H143" s="80">
        <f>SUM(H18:H130)-H145</f>
        <v>581.9</v>
      </c>
      <c r="I143" s="25">
        <f>SUM(I18:I130)-I145</f>
        <v>333.74999999999994</v>
      </c>
      <c r="J143" s="25">
        <f>SUM(J18:J130)-J145</f>
        <v>142.60000000000002</v>
      </c>
      <c r="K143" s="25">
        <f>SUM(K18:K130)-K145</f>
        <v>226.8</v>
      </c>
      <c r="L143" s="25">
        <f>SUM(F143:K143)</f>
        <v>4744.6300000000028</v>
      </c>
    </row>
    <row r="144" spans="1:15" customFormat="1">
      <c r="A144" t="s">
        <v>255</v>
      </c>
      <c r="D144">
        <v>8</v>
      </c>
      <c r="E144" s="25">
        <f>SUM(M11:M15)+M17+SUM(M131:M136)</f>
        <v>119.86920000000001</v>
      </c>
      <c r="F144" s="1"/>
      <c r="G144" s="34">
        <f>SUM(G11:G15)+G17+G132+G136</f>
        <v>337.52</v>
      </c>
      <c r="H144" s="34">
        <f>SUM(H11:H15)+H17+H132+H136</f>
        <v>92</v>
      </c>
      <c r="I144" s="34">
        <f>SUM(I11:I15)+I17+I132+I136</f>
        <v>69.42</v>
      </c>
      <c r="J144" s="34">
        <f>SUM(J11:J15)+J17+J132+J136</f>
        <v>62</v>
      </c>
      <c r="K144" s="34">
        <f>SUM(K11:K15)+K17+K132+K136</f>
        <v>126</v>
      </c>
      <c r="L144" s="25">
        <f t="shared" ref="L144:L147" si="21">SUM(F144:K144)</f>
        <v>686.94</v>
      </c>
    </row>
    <row r="145" spans="1:13" customFormat="1">
      <c r="A145" t="s">
        <v>260</v>
      </c>
      <c r="D145">
        <v>31</v>
      </c>
      <c r="E145" s="25">
        <v>0</v>
      </c>
      <c r="F145" s="1"/>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384.71000000000021</v>
      </c>
    </row>
    <row r="146" spans="1:13" customFormat="1">
      <c r="A146" t="s">
        <v>261</v>
      </c>
      <c r="D146">
        <v>4</v>
      </c>
      <c r="E146" s="25">
        <v>0</v>
      </c>
      <c r="F146" s="1"/>
      <c r="G146" s="25">
        <f>G135+G134+G133+G131</f>
        <v>49.64</v>
      </c>
      <c r="H146" s="25">
        <f>H135+H134+H133+H131</f>
        <v>0</v>
      </c>
      <c r="I146" s="25">
        <f>I135+I134+I133+I131</f>
        <v>0</v>
      </c>
      <c r="J146" s="25">
        <f>J135+J134+J133+J131</f>
        <v>0</v>
      </c>
      <c r="K146" s="25">
        <f>K135+K134+K133+K131</f>
        <v>0</v>
      </c>
      <c r="L146" s="25">
        <f t="shared" si="21"/>
        <v>49.64</v>
      </c>
    </row>
    <row r="147" spans="1:13" customFormat="1">
      <c r="A147" t="s">
        <v>253</v>
      </c>
      <c r="D147">
        <v>1</v>
      </c>
      <c r="E147" s="25">
        <f>M16</f>
        <v>0</v>
      </c>
      <c r="G147" s="25">
        <f>G16</f>
        <v>185</v>
      </c>
      <c r="H147" s="25">
        <f>H16</f>
        <v>0</v>
      </c>
      <c r="I147" s="25">
        <f>I16</f>
        <v>0</v>
      </c>
      <c r="J147" s="25">
        <f>J16</f>
        <v>0</v>
      </c>
      <c r="K147" s="25">
        <f>K16</f>
        <v>0</v>
      </c>
      <c r="L147" s="25">
        <f t="shared" si="21"/>
        <v>185</v>
      </c>
      <c r="M147" s="1"/>
    </row>
    <row r="148" spans="1:13" customFormat="1" ht="15.75" thickBot="1">
      <c r="B148" t="s">
        <v>257</v>
      </c>
      <c r="D148" s="73">
        <f>SUM(D143:D147)</f>
        <v>126</v>
      </c>
      <c r="E148" s="74">
        <f>SUM(E143:E147)</f>
        <v>332.97</v>
      </c>
      <c r="F148" s="73"/>
      <c r="G148" s="74">
        <f t="shared" ref="G148:L148" si="22">SUM(G143:G147)</f>
        <v>4416.4500000000035</v>
      </c>
      <c r="H148" s="74">
        <f t="shared" si="22"/>
        <v>673.9</v>
      </c>
      <c r="I148" s="74">
        <f t="shared" si="22"/>
        <v>403.16999999999996</v>
      </c>
      <c r="J148" s="74">
        <f t="shared" si="22"/>
        <v>204.60000000000002</v>
      </c>
      <c r="K148" s="74">
        <f t="shared" si="22"/>
        <v>352.8</v>
      </c>
      <c r="L148" s="74">
        <f t="shared" si="22"/>
        <v>6050.9200000000037</v>
      </c>
      <c r="M148" s="1"/>
    </row>
    <row r="149" spans="1:13" customFormat="1" ht="16.5" thickTop="1" thickBot="1">
      <c r="D149" s="78"/>
      <c r="E149" s="78"/>
      <c r="F149" s="78"/>
      <c r="G149" s="79"/>
      <c r="H149" s="79"/>
      <c r="I149" s="79"/>
      <c r="J149" s="79"/>
      <c r="K149" s="79"/>
      <c r="L149" s="79"/>
      <c r="M149" s="1"/>
    </row>
    <row r="150" spans="1:13" customFormat="1">
      <c r="D150" s="188" t="s">
        <v>376</v>
      </c>
      <c r="E150" s="78"/>
      <c r="F150" s="78"/>
      <c r="G150" s="79"/>
      <c r="H150" s="79"/>
      <c r="I150" s="79"/>
      <c r="J150" s="79"/>
      <c r="K150" s="79"/>
      <c r="L150" s="79"/>
      <c r="M150" s="1"/>
    </row>
    <row r="151" spans="1:13" customFormat="1" ht="15.75" thickBot="1">
      <c r="D151" s="189" t="s">
        <v>375</v>
      </c>
      <c r="E151" s="78"/>
      <c r="F151" s="78"/>
      <c r="G151" s="79"/>
      <c r="H151" s="79"/>
      <c r="I151" s="79"/>
      <c r="J151" s="79"/>
      <c r="K151" s="79"/>
      <c r="L151" s="79"/>
      <c r="M151" s="1"/>
    </row>
    <row r="152" spans="1:13" customFormat="1">
      <c r="A152" t="s">
        <v>262</v>
      </c>
      <c r="D152" s="81">
        <f>COUNTIF(M18:M130,"&gt;0")</f>
        <v>4</v>
      </c>
      <c r="E152" s="81">
        <f>E143/E148*P7</f>
        <v>80000</v>
      </c>
      <c r="F152" s="75"/>
      <c r="G152" s="81">
        <f>F140-G153-G154-(SUM(H155:K155))</f>
        <v>614000</v>
      </c>
      <c r="H152" s="81">
        <f>H143/2.3*1000</f>
        <v>253000</v>
      </c>
      <c r="I152" s="81">
        <f>I143/2.67*1000</f>
        <v>124999.99999999999</v>
      </c>
      <c r="J152" s="81">
        <f>J143/3.1*1000</f>
        <v>46000.000000000007</v>
      </c>
      <c r="K152" s="81">
        <f>K143/3.6*1000</f>
        <v>63000</v>
      </c>
      <c r="L152" s="81">
        <f>SUM(G152:K152)</f>
        <v>1101000</v>
      </c>
      <c r="M152" s="1"/>
    </row>
    <row r="153" spans="1:13" customFormat="1">
      <c r="A153" t="s">
        <v>263</v>
      </c>
      <c r="D153" s="81">
        <v>5</v>
      </c>
      <c r="E153" s="81">
        <f>E144/E148*P7</f>
        <v>45000</v>
      </c>
      <c r="F153" s="75"/>
      <c r="G153" s="81">
        <f>(SUM(F11:F15)+F17+SUM(F131:F136)-H153-I153-J153-K153)</f>
        <v>50000</v>
      </c>
      <c r="H153" s="81">
        <f>H144/2.3*1000</f>
        <v>40000</v>
      </c>
      <c r="I153" s="81">
        <f>I144/2.67*1000</f>
        <v>26000</v>
      </c>
      <c r="J153" s="81">
        <f>J144/3.1*1000</f>
        <v>20000</v>
      </c>
      <c r="K153" s="81">
        <f>K144/3.6*1000</f>
        <v>35000</v>
      </c>
      <c r="L153" s="81">
        <f>SUM(G153:K153)</f>
        <v>171000</v>
      </c>
      <c r="M153" s="1"/>
    </row>
    <row r="154" spans="1:13" customFormat="1">
      <c r="A154" t="s">
        <v>264</v>
      </c>
      <c r="D154" s="81">
        <v>0</v>
      </c>
      <c r="E154" s="81">
        <f>E147/E148*P7</f>
        <v>0</v>
      </c>
      <c r="F154" s="75"/>
      <c r="G154" s="81">
        <f>IF(F16&gt;100000,100000,F16)</f>
        <v>38000</v>
      </c>
      <c r="H154" s="81">
        <f>H147/1.99*1000</f>
        <v>0</v>
      </c>
      <c r="I154" s="81" t="s">
        <v>259</v>
      </c>
      <c r="J154" s="81" t="s">
        <v>259</v>
      </c>
      <c r="K154" s="81" t="s">
        <v>259</v>
      </c>
      <c r="L154" s="81">
        <f>SUM(G154:K154)</f>
        <v>38000</v>
      </c>
      <c r="M154" s="1"/>
    </row>
    <row r="155" spans="1:13" customFormat="1" ht="15.75" thickBot="1">
      <c r="B155" t="s">
        <v>265</v>
      </c>
      <c r="D155" s="77"/>
      <c r="E155" s="82">
        <f>SUM(E152:E154)</f>
        <v>125000</v>
      </c>
      <c r="F155" s="77"/>
      <c r="G155" s="82">
        <f>G152+G153+G154</f>
        <v>702000</v>
      </c>
      <c r="H155" s="82">
        <f>SUM(H152:H154)</f>
        <v>293000</v>
      </c>
      <c r="I155" s="82">
        <f>SUM(I152:I154)</f>
        <v>151000</v>
      </c>
      <c r="J155" s="82">
        <f>SUM(J152:J154)</f>
        <v>66000</v>
      </c>
      <c r="K155" s="82">
        <f>SUM(K152:K154)</f>
        <v>98000</v>
      </c>
      <c r="L155" s="82">
        <f>SUM(L152:L154)</f>
        <v>1310000</v>
      </c>
      <c r="M155" s="1"/>
    </row>
    <row r="156" spans="1:13" ht="15.75" thickTop="1">
      <c r="E156" s="1" t="s">
        <v>274</v>
      </c>
    </row>
    <row r="157" spans="1:13">
      <c r="E157" s="75" t="s">
        <v>275</v>
      </c>
    </row>
    <row r="158" spans="1:13">
      <c r="E158" s="75" t="s">
        <v>273</v>
      </c>
    </row>
    <row r="159" spans="1:13">
      <c r="E159" s="75" t="s">
        <v>276</v>
      </c>
    </row>
    <row r="160" spans="1:13">
      <c r="F160" s="86"/>
      <c r="G160" s="191"/>
      <c r="H160" s="191"/>
      <c r="I160" s="191"/>
      <c r="J160" s="191"/>
      <c r="K160" s="191"/>
      <c r="L160" s="191"/>
    </row>
    <row r="161" spans="6:6">
      <c r="F161" s="191"/>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sheetPr>
    <pageSetUpPr fitToPage="1"/>
  </sheetPr>
  <dimension ref="A1:R157"/>
  <sheetViews>
    <sheetView zoomScale="90" zoomScaleNormal="90" zoomScalePageLayoutView="25"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3" width="11.42578125" style="1" customWidth="1"/>
    <col min="14" max="14" width="11.85546875" style="1" customWidth="1"/>
    <col min="15" max="15" width="44.7109375" style="1" customWidth="1"/>
    <col min="16" max="16384" width="9.140625" style="1"/>
  </cols>
  <sheetData>
    <row r="1" spans="1:18" ht="46.5">
      <c r="A1" s="2" t="s">
        <v>141</v>
      </c>
    </row>
    <row r="2" spans="1:18" ht="28.5">
      <c r="A2" s="3" t="s">
        <v>142</v>
      </c>
    </row>
    <row r="4" spans="1:18">
      <c r="A4" s="1" t="s">
        <v>143</v>
      </c>
      <c r="B4" s="23">
        <v>41153</v>
      </c>
      <c r="D4" s="1" t="s">
        <v>146</v>
      </c>
      <c r="G4" s="1" t="s">
        <v>156</v>
      </c>
      <c r="J4" s="1" t="s">
        <v>163</v>
      </c>
      <c r="K4" s="5">
        <v>42.19</v>
      </c>
      <c r="M4" s="1" t="s">
        <v>164</v>
      </c>
      <c r="N4" s="5">
        <v>12.41</v>
      </c>
      <c r="O4" s="1" t="s">
        <v>149</v>
      </c>
      <c r="R4" s="1">
        <f>SUM(F11:F136)</f>
        <v>2600300</v>
      </c>
    </row>
    <row r="5" spans="1:18">
      <c r="A5" s="1" t="s">
        <v>165</v>
      </c>
      <c r="B5" s="24">
        <v>41182</v>
      </c>
      <c r="D5" s="1" t="s">
        <v>144</v>
      </c>
      <c r="E5" s="1">
        <v>8182600</v>
      </c>
      <c r="G5" s="1" t="s">
        <v>155</v>
      </c>
      <c r="H5" s="1">
        <v>1</v>
      </c>
      <c r="J5" s="1" t="s">
        <v>166</v>
      </c>
      <c r="K5" s="5">
        <v>2.2999999999999998</v>
      </c>
      <c r="M5" s="1" t="s">
        <v>6</v>
      </c>
      <c r="N5" s="5">
        <v>185</v>
      </c>
      <c r="O5" s="1" t="s">
        <v>154</v>
      </c>
      <c r="R5" s="1">
        <f>R4-F16</f>
        <v>2492300</v>
      </c>
    </row>
    <row r="6" spans="1:18">
      <c r="B6" s="4"/>
      <c r="D6" s="1" t="s">
        <v>145</v>
      </c>
      <c r="E6" s="1">
        <v>8343900</v>
      </c>
      <c r="G6" s="1" t="s">
        <v>158</v>
      </c>
      <c r="H6" s="1">
        <v>35000</v>
      </c>
      <c r="J6" s="1" t="s">
        <v>167</v>
      </c>
      <c r="K6" s="5">
        <v>2.67</v>
      </c>
      <c r="M6" s="1" t="s">
        <v>168</v>
      </c>
      <c r="N6" s="5">
        <v>1.99</v>
      </c>
      <c r="O6" s="1" t="s">
        <v>160</v>
      </c>
      <c r="R6" s="1">
        <f>SUMIF(F11:F15,"&gt;" &amp; $H$6)+SUMIF(F17:F136,"&gt;" &amp; $H$6)+SUMIF(F16,"&gt;" &amp; $H$7)</f>
        <v>1788000</v>
      </c>
    </row>
    <row r="7" spans="1:18">
      <c r="B7" s="4"/>
      <c r="D7" s="1" t="s">
        <v>150</v>
      </c>
      <c r="E7" s="12">
        <f>E6-E5</f>
        <v>161300</v>
      </c>
      <c r="G7" s="1" t="s">
        <v>159</v>
      </c>
      <c r="H7" s="12">
        <v>100000</v>
      </c>
      <c r="J7" s="1" t="s">
        <v>169</v>
      </c>
      <c r="K7" s="5">
        <v>3.1</v>
      </c>
      <c r="M7" s="1" t="s">
        <v>170</v>
      </c>
      <c r="N7" s="5">
        <v>1755</v>
      </c>
      <c r="O7" s="1" t="s">
        <v>161</v>
      </c>
      <c r="R7" s="1">
        <f>(SUMIF(F11:F15,"&gt;" &amp; $H$6)-(COUNTIF(F11:F15,"&gt;" &amp; $H$6)*$H$6))+(SUMIF(F17:F136,"&gt;" &amp; $H$6)-(COUNTIF(F17:F136,"&gt;" &amp; $H$6)*$H$6))+(SUMIF(F16,"&gt;" &amp; $H$7)-(COUNTIF(F16,"&gt;" &amp; $H$7)*$H$7))</f>
        <v>848000</v>
      </c>
    </row>
    <row r="8" spans="1:18">
      <c r="D8" s="1" t="s">
        <v>147</v>
      </c>
      <c r="E8" s="25">
        <v>0</v>
      </c>
      <c r="H8" s="6"/>
      <c r="J8" s="1" t="s">
        <v>171</v>
      </c>
      <c r="K8" s="5">
        <v>3.6</v>
      </c>
    </row>
    <row r="10" spans="1:18">
      <c r="A10" s="7" t="s">
        <v>0</v>
      </c>
      <c r="B10" s="10" t="s">
        <v>137</v>
      </c>
      <c r="C10" s="13" t="s">
        <v>195</v>
      </c>
      <c r="D10" s="26" t="s">
        <v>205</v>
      </c>
      <c r="E10" s="10" t="s">
        <v>140</v>
      </c>
      <c r="F10" s="10" t="s">
        <v>157</v>
      </c>
      <c r="G10" s="21" t="s">
        <v>132</v>
      </c>
      <c r="H10" s="21" t="s">
        <v>128</v>
      </c>
      <c r="I10" s="21" t="s">
        <v>129</v>
      </c>
      <c r="J10" s="22" t="s">
        <v>130</v>
      </c>
      <c r="K10" s="22" t="s">
        <v>131</v>
      </c>
      <c r="L10" s="22" t="s">
        <v>162</v>
      </c>
      <c r="M10" s="22" t="s">
        <v>148</v>
      </c>
      <c r="N10" s="22" t="s">
        <v>135</v>
      </c>
      <c r="O10" s="9" t="s">
        <v>127</v>
      </c>
    </row>
    <row r="11" spans="1:18">
      <c r="A11" s="1" t="s">
        <v>1</v>
      </c>
      <c r="B11" s="11"/>
      <c r="C11" s="11">
        <v>9249000</v>
      </c>
      <c r="D11" s="11">
        <v>9515000</v>
      </c>
      <c r="E11" s="11">
        <v>0</v>
      </c>
      <c r="F11" s="11">
        <f t="shared" ref="F11:F74" si="0">($D11-$C11)+$E11</f>
        <v>266000</v>
      </c>
      <c r="G11" s="17">
        <f>IF(OR($F11&gt;0,$B11=""),$K$4,$N$4)</f>
        <v>42.19</v>
      </c>
      <c r="H11" s="17">
        <f>IF(AND((($F11-10000)&gt;=0),(($F11-10000)&lt;= 10000)),($F11-10000)/1000*$K$5,IF(($F11-10000)&gt;=10000,$K$5*10,0))</f>
        <v>23</v>
      </c>
      <c r="I11" s="17">
        <f>IF(AND((($F11-20000)&gt;=0),(($F11-20000)&lt;=10000)),($F11-20000)/1000*$K$6,IF(($F11-20000)&gt;=10000,$K$6*10,0))</f>
        <v>26.7</v>
      </c>
      <c r="J11" s="18">
        <f>IF(AND((($F11-30000)&gt;=0),(($F11-30000)&lt;=10000)),($F11-30000)/1000*$K$7,IF(($F11-30000)&gt;=10000,$K$7*10,0))</f>
        <v>31</v>
      </c>
      <c r="K11" s="18">
        <f>IF((($F11-40000)&gt;=0),($F11-40000)/1000*$K$8,0)</f>
        <v>813.6</v>
      </c>
      <c r="L11" s="18">
        <f>SUM(G11:K11)</f>
        <v>936.49</v>
      </c>
      <c r="M11" s="18">
        <f>IF(   $H$5=1,    IF((F11-$H$6)&gt;0,((F11-$H$6)/$R$7)*$E$8,0),   IF(F11&gt;0,(F11/$R$4)*$E$8,0)    )</f>
        <v>0</v>
      </c>
      <c r="N11" s="18">
        <f>SUM(L11:M11)</f>
        <v>936.49</v>
      </c>
      <c r="O11" s="8"/>
    </row>
    <row r="12" spans="1:18">
      <c r="A12" s="1" t="s">
        <v>2</v>
      </c>
      <c r="B12" s="11"/>
      <c r="C12" s="11">
        <v>7052000</v>
      </c>
      <c r="D12" s="11">
        <v>7052000</v>
      </c>
      <c r="E12" s="11">
        <v>0</v>
      </c>
      <c r="F12" s="11">
        <f t="shared" si="0"/>
        <v>0</v>
      </c>
      <c r="G12" s="17">
        <f>IF(OR($F12&gt;0,$B12=""),$K$4,$N$4)</f>
        <v>42.19</v>
      </c>
      <c r="H12" s="17">
        <f>IF(AND((($F12-10000)&gt;=0),(($F12-10000)&lt;= 10000)),($F12-10000)/1000*$K$5,IF(($F12-10000)&gt;=10000,$K$5*10,0))</f>
        <v>0</v>
      </c>
      <c r="I12" s="17">
        <f>IF(AND((($F12-20000)&gt;=0),(($F12-20000)&lt;=10000)),($F12-20000)/1000*$K$6,IF(($F12-20000)&gt;=10000,$K$6*10,0))</f>
        <v>0</v>
      </c>
      <c r="J12" s="18">
        <f>IF(AND((($F12-30000)&gt;=0),(($F12-30000)&lt;=10000)),($F12-30000)/1000*$K$7,IF(($F12-30000)&gt;=10000,$K$7*10,0))</f>
        <v>0</v>
      </c>
      <c r="K12" s="18">
        <f>IF((($F12-40000)&gt;=0),($F12-40000)/1000*$K$8,0)</f>
        <v>0</v>
      </c>
      <c r="L12" s="18">
        <f t="shared" ref="L12:L75" si="1">SUM(G12:K12)</f>
        <v>42.19</v>
      </c>
      <c r="M12" s="18">
        <f>IF(   $H$5=1,    IF((F12-$H$6)&gt;0,((F12-$H$6)/$R$7)*$E$8,0),   IF(F12&gt;0,(F12/$R$4)*$E$8,0)    )</f>
        <v>0</v>
      </c>
      <c r="N12" s="18">
        <f t="shared" ref="N12:N75" si="2">SUM(L12:M12)</f>
        <v>42.19</v>
      </c>
      <c r="O12" s="8"/>
    </row>
    <row r="13" spans="1:18">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IF((F13-$H$6)&gt;0,((F13-$H$6)/$R$7)*$E$8,0),   IF(F13&gt;0,(F13/$R$4)*$E$8,0)    )</f>
        <v>0</v>
      </c>
      <c r="N13" s="18">
        <f t="shared" si="2"/>
        <v>42.19</v>
      </c>
      <c r="O13" s="8" t="s">
        <v>134</v>
      </c>
    </row>
    <row r="14" spans="1:18">
      <c r="A14" s="1" t="s">
        <v>4</v>
      </c>
      <c r="B14" s="11"/>
      <c r="C14" s="11">
        <v>3718000</v>
      </c>
      <c r="D14" s="11">
        <v>3718000</v>
      </c>
      <c r="E14" s="11">
        <v>0</v>
      </c>
      <c r="F14" s="11">
        <f t="shared" si="0"/>
        <v>0</v>
      </c>
      <c r="G14" s="17">
        <f>IF(OR($F14&gt;0,$B14=""),$K$4,$N$4)</f>
        <v>42.19</v>
      </c>
      <c r="H14" s="17">
        <f>IF(AND((($F14-10000)&gt;=0),(($F14-10000)&lt;= 10000)),($F14-10000)/1000*$K$5,IF(($F14-10000)&gt;=10000,$K$5*10,0))</f>
        <v>0</v>
      </c>
      <c r="I14" s="17">
        <f>IF(AND((($F14-20000)&gt;=0),(($F14-20000)&lt;=10000)),($F14-20000)/1000*$K$6,IF(($F14-20000)&gt;=10000,$K$6*10,0))</f>
        <v>0</v>
      </c>
      <c r="J14" s="18">
        <f>IF(AND((($F14-30000)&gt;=0),(($F14-30000)&lt;=10000)),($F14-30000)/1000*$K$7,IF(($F14-30000)&gt;=10000,$K$7*10,0))</f>
        <v>0</v>
      </c>
      <c r="K14" s="18">
        <f>IF((($F14-40000)&gt;=0),($F14-40000)/1000*$K$8,0)</f>
        <v>0</v>
      </c>
      <c r="L14" s="18">
        <f t="shared" si="1"/>
        <v>42.19</v>
      </c>
      <c r="M14" s="18">
        <f>IF(   $H$5=1,    IF((F14-$H$6)&gt;0,((F14-$H$6)/$R$7)*$E$8,0),   IF(F14&gt;0,(F14/$R$4)*$E$8,0)    )</f>
        <v>0</v>
      </c>
      <c r="N14" s="18">
        <f t="shared" si="2"/>
        <v>42.19</v>
      </c>
      <c r="O14" s="8"/>
    </row>
    <row r="15" spans="1:18">
      <c r="A15" s="1" t="s">
        <v>5</v>
      </c>
      <c r="B15" s="11"/>
      <c r="C15" s="11">
        <v>2848000</v>
      </c>
      <c r="D15" s="11">
        <v>2944000</v>
      </c>
      <c r="E15" s="11">
        <v>0</v>
      </c>
      <c r="F15" s="11">
        <f t="shared" si="0"/>
        <v>96000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201.6</v>
      </c>
      <c r="L15" s="18">
        <f t="shared" si="1"/>
        <v>324.49</v>
      </c>
      <c r="M15" s="18">
        <f>IF(   $H$5=1,    IF((F15-$H$6)&gt;0,((F15-$H$6)/$R$7)*$E$8,0),   IF(F15&gt;0,(F15/$R$4)*$E$8,0)    )</f>
        <v>0</v>
      </c>
      <c r="N15" s="18">
        <f t="shared" si="2"/>
        <v>324.49</v>
      </c>
      <c r="O15" s="8"/>
    </row>
    <row r="16" spans="1:18">
      <c r="A16" s="1" t="s">
        <v>6</v>
      </c>
      <c r="B16" s="11"/>
      <c r="C16" s="11">
        <v>26500000</v>
      </c>
      <c r="D16" s="11">
        <v>26608000</v>
      </c>
      <c r="E16" s="11">
        <v>0</v>
      </c>
      <c r="F16" s="11">
        <f t="shared" si="0"/>
        <v>108000</v>
      </c>
      <c r="G16" s="17">
        <f>$N$5</f>
        <v>185</v>
      </c>
      <c r="H16" s="17">
        <f>IF(($F16-100000)&gt;=0,($F16-100000)/1000*$N$6,0)</f>
        <v>15.92</v>
      </c>
      <c r="I16" s="17"/>
      <c r="J16" s="18"/>
      <c r="K16" s="18"/>
      <c r="L16" s="18">
        <f t="shared" si="1"/>
        <v>200.92</v>
      </c>
      <c r="M16" s="18">
        <f>IF(   $H$5=1,     IF((F16-$H$7)&gt;0,((F16-$H$7)/$R$7)*$E$8,0),   IF(F16&gt;0,(F16/$R$4)*$E$8,0)    )</f>
        <v>0</v>
      </c>
      <c r="N16" s="18">
        <f t="shared" si="2"/>
        <v>200.92</v>
      </c>
      <c r="O16" s="8" t="s">
        <v>133</v>
      </c>
    </row>
    <row r="17" spans="1:15">
      <c r="A17" s="1" t="s">
        <v>7</v>
      </c>
      <c r="B17" s="11"/>
      <c r="C17" s="11">
        <v>656000</v>
      </c>
      <c r="D17" s="11">
        <v>669000</v>
      </c>
      <c r="E17" s="11">
        <v>0</v>
      </c>
      <c r="F17" s="11">
        <f t="shared" si="0"/>
        <v>13000</v>
      </c>
      <c r="G17" s="17">
        <f t="shared" ref="G17:G80" si="3">IF(OR($F17&gt;0,$B17=""),$K$4,$N$4)</f>
        <v>42.19</v>
      </c>
      <c r="H17" s="17">
        <f t="shared" ref="H17:H80" si="4">IF(AND((($F17-10000)&gt;=0),(($F17-10000)&lt;= 10000)),($F17-10000)/1000*$K$5,IF(($F17-10000)&gt;=10000,$K$5*10,0))</f>
        <v>6.8999999999999995</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49.089999999999996</v>
      </c>
      <c r="M17" s="18">
        <f t="shared" ref="M17:M48" si="8">IF(   $H$5=1,    IF((F17-$H$6)&gt;0,((F17-$H$6)/$R$7)*$E$8,0),   IF(F17&gt;0,(F17/$R$4)*$E$8,0)    )</f>
        <v>0</v>
      </c>
      <c r="N17" s="18">
        <f t="shared" si="2"/>
        <v>49.089999999999996</v>
      </c>
      <c r="O17" s="8"/>
    </row>
    <row r="18" spans="1:15">
      <c r="A18" s="1" t="s">
        <v>8</v>
      </c>
      <c r="B18" s="11"/>
      <c r="C18" s="11">
        <v>465000</v>
      </c>
      <c r="D18" s="11">
        <v>556000</v>
      </c>
      <c r="E18" s="11">
        <v>0</v>
      </c>
      <c r="F18" s="11">
        <f t="shared" si="0"/>
        <v>91000</v>
      </c>
      <c r="G18" s="17">
        <f t="shared" si="3"/>
        <v>42.19</v>
      </c>
      <c r="H18" s="17">
        <f t="shared" si="4"/>
        <v>23</v>
      </c>
      <c r="I18" s="17">
        <f t="shared" si="5"/>
        <v>26.7</v>
      </c>
      <c r="J18" s="18">
        <f t="shared" si="6"/>
        <v>31</v>
      </c>
      <c r="K18" s="18">
        <f t="shared" si="7"/>
        <v>183.6</v>
      </c>
      <c r="L18" s="18">
        <f t="shared" si="1"/>
        <v>306.49</v>
      </c>
      <c r="M18" s="18">
        <f t="shared" si="8"/>
        <v>0</v>
      </c>
      <c r="N18" s="18">
        <f t="shared" si="2"/>
        <v>306.49</v>
      </c>
      <c r="O18" s="8" t="s">
        <v>174</v>
      </c>
    </row>
    <row r="19" spans="1:15">
      <c r="A19" s="1" t="s">
        <v>9</v>
      </c>
      <c r="B19" s="11"/>
      <c r="C19" s="11">
        <v>458000</v>
      </c>
      <c r="D19" s="11">
        <v>495000</v>
      </c>
      <c r="E19" s="11">
        <v>0</v>
      </c>
      <c r="F19" s="11">
        <f t="shared" si="0"/>
        <v>37000</v>
      </c>
      <c r="G19" s="17">
        <f t="shared" si="3"/>
        <v>42.19</v>
      </c>
      <c r="H19" s="17">
        <f t="shared" si="4"/>
        <v>23</v>
      </c>
      <c r="I19" s="17">
        <f t="shared" si="5"/>
        <v>26.7</v>
      </c>
      <c r="J19" s="18">
        <f t="shared" si="6"/>
        <v>21.7</v>
      </c>
      <c r="K19" s="18">
        <f t="shared" si="7"/>
        <v>0</v>
      </c>
      <c r="L19" s="18">
        <f t="shared" si="1"/>
        <v>113.59</v>
      </c>
      <c r="M19" s="18">
        <f t="shared" si="8"/>
        <v>0</v>
      </c>
      <c r="N19" s="18">
        <f t="shared" si="2"/>
        <v>113.59</v>
      </c>
      <c r="O19" s="8"/>
    </row>
    <row r="20" spans="1:15">
      <c r="A20" s="1" t="s">
        <v>10</v>
      </c>
      <c r="B20" s="11"/>
      <c r="C20" s="11">
        <v>1661000</v>
      </c>
      <c r="D20" s="11">
        <v>1695000</v>
      </c>
      <c r="E20" s="11">
        <v>0</v>
      </c>
      <c r="F20" s="11">
        <f t="shared" si="0"/>
        <v>34000</v>
      </c>
      <c r="G20" s="17">
        <f t="shared" si="3"/>
        <v>42.19</v>
      </c>
      <c r="H20" s="17">
        <f t="shared" si="4"/>
        <v>23</v>
      </c>
      <c r="I20" s="17">
        <f t="shared" si="5"/>
        <v>26.7</v>
      </c>
      <c r="J20" s="18">
        <f t="shared" si="6"/>
        <v>12.4</v>
      </c>
      <c r="K20" s="18">
        <f t="shared" si="7"/>
        <v>0</v>
      </c>
      <c r="L20" s="18">
        <f t="shared" si="1"/>
        <v>104.29</v>
      </c>
      <c r="M20" s="18">
        <f t="shared" si="8"/>
        <v>0</v>
      </c>
      <c r="N20" s="18">
        <f t="shared" si="2"/>
        <v>104.29</v>
      </c>
      <c r="O20" s="8"/>
    </row>
    <row r="21" spans="1:15">
      <c r="A21" s="1" t="s">
        <v>11</v>
      </c>
      <c r="B21" s="11"/>
      <c r="C21" s="11">
        <v>2096000</v>
      </c>
      <c r="D21" s="11">
        <v>2112000</v>
      </c>
      <c r="E21" s="11">
        <v>0</v>
      </c>
      <c r="F21" s="11">
        <f t="shared" si="0"/>
        <v>16000</v>
      </c>
      <c r="G21" s="17">
        <f t="shared" si="3"/>
        <v>42.19</v>
      </c>
      <c r="H21" s="17">
        <f t="shared" si="4"/>
        <v>13.799999999999999</v>
      </c>
      <c r="I21" s="17">
        <f t="shared" si="5"/>
        <v>0</v>
      </c>
      <c r="J21" s="18">
        <f t="shared" si="6"/>
        <v>0</v>
      </c>
      <c r="K21" s="18">
        <f t="shared" si="7"/>
        <v>0</v>
      </c>
      <c r="L21" s="18">
        <f t="shared" si="1"/>
        <v>55.989999999999995</v>
      </c>
      <c r="M21" s="18">
        <f t="shared" si="8"/>
        <v>0</v>
      </c>
      <c r="N21" s="18">
        <f t="shared" si="2"/>
        <v>55.989999999999995</v>
      </c>
      <c r="O21" s="8"/>
    </row>
    <row r="22" spans="1:15">
      <c r="A22" s="1" t="s">
        <v>12</v>
      </c>
      <c r="B22" s="11"/>
      <c r="C22" s="11">
        <v>2371000</v>
      </c>
      <c r="D22" s="11">
        <v>2393000</v>
      </c>
      <c r="E22" s="11">
        <v>0</v>
      </c>
      <c r="F22" s="11">
        <f t="shared" si="0"/>
        <v>22000</v>
      </c>
      <c r="G22" s="17">
        <f t="shared" si="3"/>
        <v>42.19</v>
      </c>
      <c r="H22" s="17">
        <f t="shared" si="4"/>
        <v>23</v>
      </c>
      <c r="I22" s="17">
        <f t="shared" si="5"/>
        <v>5.34</v>
      </c>
      <c r="J22" s="18">
        <f t="shared" si="6"/>
        <v>0</v>
      </c>
      <c r="K22" s="18">
        <f t="shared" si="7"/>
        <v>0</v>
      </c>
      <c r="L22" s="18">
        <f t="shared" si="1"/>
        <v>70.53</v>
      </c>
      <c r="M22" s="18">
        <f t="shared" si="8"/>
        <v>0</v>
      </c>
      <c r="N22" s="18">
        <f t="shared" si="2"/>
        <v>70.53</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6814000</v>
      </c>
      <c r="D24" s="11">
        <v>6905000</v>
      </c>
      <c r="E24" s="11">
        <v>0</v>
      </c>
      <c r="F24" s="11">
        <f t="shared" si="0"/>
        <v>91000</v>
      </c>
      <c r="G24" s="17">
        <f t="shared" si="3"/>
        <v>42.19</v>
      </c>
      <c r="H24" s="17">
        <f t="shared" si="4"/>
        <v>23</v>
      </c>
      <c r="I24" s="17">
        <f t="shared" si="5"/>
        <v>26.7</v>
      </c>
      <c r="J24" s="18">
        <f t="shared" si="6"/>
        <v>31</v>
      </c>
      <c r="K24" s="18">
        <f t="shared" si="7"/>
        <v>183.6</v>
      </c>
      <c r="L24" s="18">
        <f t="shared" si="1"/>
        <v>306.49</v>
      </c>
      <c r="M24" s="18">
        <f t="shared" si="8"/>
        <v>0</v>
      </c>
      <c r="N24" s="18">
        <f t="shared" si="2"/>
        <v>306.49</v>
      </c>
      <c r="O24" s="8"/>
    </row>
    <row r="25" spans="1:15">
      <c r="A25" s="1" t="s">
        <v>15</v>
      </c>
      <c r="B25" s="11"/>
      <c r="C25" s="11">
        <v>2788000</v>
      </c>
      <c r="D25" s="11">
        <v>2820000</v>
      </c>
      <c r="E25" s="11">
        <v>0</v>
      </c>
      <c r="F25" s="11">
        <f t="shared" si="0"/>
        <v>32000</v>
      </c>
      <c r="G25" s="17">
        <f t="shared" si="3"/>
        <v>42.19</v>
      </c>
      <c r="H25" s="17">
        <f t="shared" si="4"/>
        <v>23</v>
      </c>
      <c r="I25" s="17">
        <f t="shared" si="5"/>
        <v>26.7</v>
      </c>
      <c r="J25" s="18">
        <f t="shared" si="6"/>
        <v>6.2</v>
      </c>
      <c r="K25" s="18">
        <f t="shared" si="7"/>
        <v>0</v>
      </c>
      <c r="L25" s="18">
        <f t="shared" si="1"/>
        <v>98.09</v>
      </c>
      <c r="M25" s="18">
        <f t="shared" si="8"/>
        <v>0</v>
      </c>
      <c r="N25" s="18">
        <f t="shared" si="2"/>
        <v>98.09</v>
      </c>
      <c r="O25" s="8"/>
    </row>
    <row r="26" spans="1:15">
      <c r="A26" s="1" t="s">
        <v>16</v>
      </c>
      <c r="B26" s="11"/>
      <c r="C26" s="11">
        <v>1710000</v>
      </c>
      <c r="D26" s="11">
        <v>1768000</v>
      </c>
      <c r="E26" s="11">
        <v>0</v>
      </c>
      <c r="F26" s="11">
        <f t="shared" si="0"/>
        <v>58000</v>
      </c>
      <c r="G26" s="17">
        <f t="shared" si="3"/>
        <v>42.19</v>
      </c>
      <c r="H26" s="17">
        <f t="shared" si="4"/>
        <v>23</v>
      </c>
      <c r="I26" s="17">
        <f t="shared" si="5"/>
        <v>26.7</v>
      </c>
      <c r="J26" s="18">
        <f t="shared" si="6"/>
        <v>31</v>
      </c>
      <c r="K26" s="18">
        <f t="shared" si="7"/>
        <v>64.8</v>
      </c>
      <c r="L26" s="18">
        <f t="shared" si="1"/>
        <v>187.69</v>
      </c>
      <c r="M26" s="18">
        <f t="shared" si="8"/>
        <v>0</v>
      </c>
      <c r="N26" s="18">
        <f t="shared" si="2"/>
        <v>187.69</v>
      </c>
      <c r="O26" s="8"/>
    </row>
    <row r="27" spans="1:15">
      <c r="A27" s="1" t="s">
        <v>17</v>
      </c>
      <c r="B27" s="11"/>
      <c r="C27" s="11">
        <v>1227000</v>
      </c>
      <c r="D27" s="11">
        <v>1232000</v>
      </c>
      <c r="E27" s="11">
        <v>0</v>
      </c>
      <c r="F27" s="11">
        <f t="shared" si="0"/>
        <v>5000</v>
      </c>
      <c r="G27" s="17">
        <f t="shared" si="3"/>
        <v>42.19</v>
      </c>
      <c r="H27" s="17">
        <f t="shared" si="4"/>
        <v>0</v>
      </c>
      <c r="I27" s="17">
        <f t="shared" si="5"/>
        <v>0</v>
      </c>
      <c r="J27" s="18">
        <f t="shared" si="6"/>
        <v>0</v>
      </c>
      <c r="K27" s="18">
        <f t="shared" si="7"/>
        <v>0</v>
      </c>
      <c r="L27" s="18">
        <f t="shared" si="1"/>
        <v>42.19</v>
      </c>
      <c r="M27" s="18">
        <f t="shared" si="8"/>
        <v>0</v>
      </c>
      <c r="N27" s="18">
        <f t="shared" si="2"/>
        <v>42.19</v>
      </c>
      <c r="O27" s="8"/>
    </row>
    <row r="28" spans="1:15">
      <c r="A28" s="1" t="s">
        <v>18</v>
      </c>
      <c r="B28" s="11"/>
      <c r="C28" s="11">
        <v>4116000</v>
      </c>
      <c r="D28" s="11">
        <v>4123000</v>
      </c>
      <c r="E28" s="11">
        <v>0</v>
      </c>
      <c r="F28" s="11">
        <f t="shared" si="0"/>
        <v>7000</v>
      </c>
      <c r="G28" s="17">
        <f t="shared" si="3"/>
        <v>42.19</v>
      </c>
      <c r="H28" s="17">
        <f t="shared" si="4"/>
        <v>0</v>
      </c>
      <c r="I28" s="17">
        <f t="shared" si="5"/>
        <v>0</v>
      </c>
      <c r="J28" s="18">
        <f t="shared" si="6"/>
        <v>0</v>
      </c>
      <c r="K28" s="18">
        <f t="shared" si="7"/>
        <v>0</v>
      </c>
      <c r="L28" s="18">
        <f t="shared" si="1"/>
        <v>42.19</v>
      </c>
      <c r="M28" s="18">
        <f t="shared" si="8"/>
        <v>0</v>
      </c>
      <c r="N28" s="18">
        <f t="shared" si="2"/>
        <v>42.19</v>
      </c>
      <c r="O28" s="8"/>
    </row>
    <row r="29" spans="1:15">
      <c r="A29" s="1" t="s">
        <v>19</v>
      </c>
      <c r="B29" s="11"/>
      <c r="C29" s="11">
        <v>1373000</v>
      </c>
      <c r="D29" s="11">
        <v>1418000</v>
      </c>
      <c r="E29" s="11">
        <v>0</v>
      </c>
      <c r="F29" s="11">
        <f t="shared" si="0"/>
        <v>45000</v>
      </c>
      <c r="G29" s="17">
        <f t="shared" si="3"/>
        <v>42.19</v>
      </c>
      <c r="H29" s="17">
        <f t="shared" si="4"/>
        <v>23</v>
      </c>
      <c r="I29" s="17">
        <f t="shared" si="5"/>
        <v>26.7</v>
      </c>
      <c r="J29" s="18">
        <f t="shared" si="6"/>
        <v>31</v>
      </c>
      <c r="K29" s="18">
        <f t="shared" si="7"/>
        <v>18</v>
      </c>
      <c r="L29" s="18">
        <f t="shared" si="1"/>
        <v>140.88999999999999</v>
      </c>
      <c r="M29" s="18">
        <f t="shared" si="8"/>
        <v>0</v>
      </c>
      <c r="N29" s="18">
        <f t="shared" si="2"/>
        <v>140.88999999999999</v>
      </c>
      <c r="O29" s="8"/>
    </row>
    <row r="30" spans="1:15">
      <c r="A30" s="1" t="s">
        <v>20</v>
      </c>
      <c r="B30" s="11"/>
      <c r="C30" s="11">
        <v>2260000</v>
      </c>
      <c r="D30" s="11">
        <v>2262000</v>
      </c>
      <c r="E30" s="11">
        <v>0</v>
      </c>
      <c r="F30" s="11">
        <f t="shared" si="0"/>
        <v>2000</v>
      </c>
      <c r="G30" s="17">
        <f t="shared" si="3"/>
        <v>42.19</v>
      </c>
      <c r="H30" s="17">
        <f t="shared" si="4"/>
        <v>0</v>
      </c>
      <c r="I30" s="17">
        <f t="shared" si="5"/>
        <v>0</v>
      </c>
      <c r="J30" s="18">
        <f t="shared" si="6"/>
        <v>0</v>
      </c>
      <c r="K30" s="18">
        <f t="shared" si="7"/>
        <v>0</v>
      </c>
      <c r="L30" s="18">
        <f t="shared" si="1"/>
        <v>42.19</v>
      </c>
      <c r="M30" s="18">
        <f t="shared" si="8"/>
        <v>0</v>
      </c>
      <c r="N30" s="18">
        <f t="shared" si="2"/>
        <v>42.19</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730000</v>
      </c>
      <c r="D32" s="11">
        <v>739000</v>
      </c>
      <c r="E32" s="11">
        <v>0</v>
      </c>
      <c r="F32" s="11">
        <f t="shared" si="0"/>
        <v>9000</v>
      </c>
      <c r="G32" s="17">
        <f t="shared" si="3"/>
        <v>42.19</v>
      </c>
      <c r="H32" s="17">
        <f t="shared" si="4"/>
        <v>0</v>
      </c>
      <c r="I32" s="17">
        <f t="shared" si="5"/>
        <v>0</v>
      </c>
      <c r="J32" s="18">
        <f t="shared" si="6"/>
        <v>0</v>
      </c>
      <c r="K32" s="18">
        <f t="shared" si="7"/>
        <v>0</v>
      </c>
      <c r="L32" s="18">
        <f t="shared" si="1"/>
        <v>42.19</v>
      </c>
      <c r="M32" s="18">
        <f t="shared" si="8"/>
        <v>0</v>
      </c>
      <c r="N32" s="18">
        <f t="shared" si="2"/>
        <v>42.19</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2689000</v>
      </c>
      <c r="D35" s="11">
        <v>2725000</v>
      </c>
      <c r="E35" s="11">
        <v>0</v>
      </c>
      <c r="F35" s="11">
        <f t="shared" si="0"/>
        <v>36000</v>
      </c>
      <c r="G35" s="17">
        <f t="shared" si="3"/>
        <v>42.19</v>
      </c>
      <c r="H35" s="17">
        <f t="shared" si="4"/>
        <v>23</v>
      </c>
      <c r="I35" s="17">
        <f t="shared" si="5"/>
        <v>26.7</v>
      </c>
      <c r="J35" s="18">
        <f t="shared" si="6"/>
        <v>18.600000000000001</v>
      </c>
      <c r="K35" s="18">
        <f t="shared" si="7"/>
        <v>0</v>
      </c>
      <c r="L35" s="18">
        <f t="shared" si="1"/>
        <v>110.49000000000001</v>
      </c>
      <c r="M35" s="18">
        <f t="shared" si="8"/>
        <v>0</v>
      </c>
      <c r="N35" s="18">
        <f t="shared" si="2"/>
        <v>110.49000000000001</v>
      </c>
      <c r="O35" s="8"/>
    </row>
    <row r="36" spans="1:15">
      <c r="A36" s="1" t="s">
        <v>26</v>
      </c>
      <c r="B36" s="11"/>
      <c r="C36" s="11">
        <v>518000</v>
      </c>
      <c r="D36" s="11">
        <v>558000</v>
      </c>
      <c r="E36" s="11">
        <v>0</v>
      </c>
      <c r="F36" s="11">
        <f t="shared" si="0"/>
        <v>40000</v>
      </c>
      <c r="G36" s="17">
        <f t="shared" si="3"/>
        <v>42.19</v>
      </c>
      <c r="H36" s="17">
        <f t="shared" si="4"/>
        <v>23</v>
      </c>
      <c r="I36" s="17">
        <f t="shared" si="5"/>
        <v>26.7</v>
      </c>
      <c r="J36" s="18">
        <f t="shared" si="6"/>
        <v>31</v>
      </c>
      <c r="K36" s="18">
        <f t="shared" si="7"/>
        <v>0</v>
      </c>
      <c r="L36" s="18">
        <f t="shared" si="1"/>
        <v>122.89</v>
      </c>
      <c r="M36" s="18">
        <f t="shared" si="8"/>
        <v>0</v>
      </c>
      <c r="N36" s="18">
        <f t="shared" si="2"/>
        <v>122.89</v>
      </c>
      <c r="O36" s="8"/>
    </row>
    <row r="37" spans="1:15">
      <c r="A37" s="1" t="s">
        <v>27</v>
      </c>
      <c r="B37" s="11"/>
      <c r="C37" s="11">
        <v>2168000</v>
      </c>
      <c r="D37" s="11">
        <v>2172000</v>
      </c>
      <c r="E37" s="11">
        <v>0</v>
      </c>
      <c r="F37" s="11">
        <f t="shared" si="0"/>
        <v>4000</v>
      </c>
      <c r="G37" s="17">
        <f t="shared" si="3"/>
        <v>42.19</v>
      </c>
      <c r="H37" s="17">
        <f t="shared" si="4"/>
        <v>0</v>
      </c>
      <c r="I37" s="17">
        <f t="shared" si="5"/>
        <v>0</v>
      </c>
      <c r="J37" s="18">
        <f t="shared" si="6"/>
        <v>0</v>
      </c>
      <c r="K37" s="18">
        <f t="shared" si="7"/>
        <v>0</v>
      </c>
      <c r="L37" s="18">
        <f t="shared" si="1"/>
        <v>42.19</v>
      </c>
      <c r="M37" s="18">
        <f t="shared" si="8"/>
        <v>0</v>
      </c>
      <c r="N37" s="18">
        <f t="shared" si="2"/>
        <v>42.19</v>
      </c>
      <c r="O37" s="8"/>
    </row>
    <row r="38" spans="1:15">
      <c r="A38" s="1" t="s">
        <v>28</v>
      </c>
      <c r="B38" s="11"/>
      <c r="C38" s="11">
        <v>1423000</v>
      </c>
      <c r="D38" s="11">
        <v>1429000</v>
      </c>
      <c r="E38" s="11">
        <v>0</v>
      </c>
      <c r="F38" s="11">
        <f t="shared" si="0"/>
        <v>6000</v>
      </c>
      <c r="G38" s="17">
        <f t="shared" si="3"/>
        <v>42.19</v>
      </c>
      <c r="H38" s="17">
        <f t="shared" si="4"/>
        <v>0</v>
      </c>
      <c r="I38" s="17">
        <f t="shared" si="5"/>
        <v>0</v>
      </c>
      <c r="J38" s="18">
        <f t="shared" si="6"/>
        <v>0</v>
      </c>
      <c r="K38" s="18">
        <f t="shared" si="7"/>
        <v>0</v>
      </c>
      <c r="L38" s="18">
        <f t="shared" si="1"/>
        <v>42.19</v>
      </c>
      <c r="M38" s="18">
        <f t="shared" si="8"/>
        <v>0</v>
      </c>
      <c r="N38" s="18">
        <f t="shared" si="2"/>
        <v>42.19</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570000</v>
      </c>
      <c r="D41" s="11">
        <v>577000</v>
      </c>
      <c r="E41" s="11">
        <v>0</v>
      </c>
      <c r="F41" s="11">
        <f t="shared" si="0"/>
        <v>7000</v>
      </c>
      <c r="G41" s="17">
        <f t="shared" si="3"/>
        <v>42.19</v>
      </c>
      <c r="H41" s="17">
        <f t="shared" si="4"/>
        <v>0</v>
      </c>
      <c r="I41" s="17">
        <f t="shared" si="5"/>
        <v>0</v>
      </c>
      <c r="J41" s="18">
        <f t="shared" si="6"/>
        <v>0</v>
      </c>
      <c r="K41" s="18">
        <f t="shared" si="7"/>
        <v>0</v>
      </c>
      <c r="L41" s="18">
        <f t="shared" si="1"/>
        <v>42.19</v>
      </c>
      <c r="M41" s="18">
        <f t="shared" si="8"/>
        <v>0</v>
      </c>
      <c r="N41" s="18">
        <f t="shared" si="2"/>
        <v>42.19</v>
      </c>
      <c r="O41" s="8"/>
    </row>
    <row r="42" spans="1:15">
      <c r="A42" s="1" t="s">
        <v>32</v>
      </c>
      <c r="B42" s="11"/>
      <c r="C42" s="11">
        <v>3947000</v>
      </c>
      <c r="D42" s="11">
        <v>3958000</v>
      </c>
      <c r="E42" s="11">
        <v>0</v>
      </c>
      <c r="F42" s="11">
        <f t="shared" si="0"/>
        <v>11000</v>
      </c>
      <c r="G42" s="17">
        <f t="shared" si="3"/>
        <v>42.19</v>
      </c>
      <c r="H42" s="17">
        <f t="shared" si="4"/>
        <v>2.2999999999999998</v>
      </c>
      <c r="I42" s="17">
        <f t="shared" si="5"/>
        <v>0</v>
      </c>
      <c r="J42" s="18">
        <f t="shared" si="6"/>
        <v>0</v>
      </c>
      <c r="K42" s="18">
        <f t="shared" si="7"/>
        <v>0</v>
      </c>
      <c r="L42" s="18">
        <f t="shared" si="1"/>
        <v>44.489999999999995</v>
      </c>
      <c r="M42" s="18">
        <f t="shared" si="8"/>
        <v>0</v>
      </c>
      <c r="N42" s="18">
        <f t="shared" si="2"/>
        <v>44.489999999999995</v>
      </c>
      <c r="O42" s="8"/>
    </row>
    <row r="43" spans="1:15">
      <c r="A43" s="1" t="s">
        <v>33</v>
      </c>
      <c r="B43" s="11"/>
      <c r="C43" s="11">
        <v>1271000</v>
      </c>
      <c r="D43" s="11">
        <v>1282000</v>
      </c>
      <c r="E43" s="11">
        <v>0</v>
      </c>
      <c r="F43" s="11">
        <f t="shared" si="0"/>
        <v>11000</v>
      </c>
      <c r="G43" s="17">
        <f t="shared" si="3"/>
        <v>42.19</v>
      </c>
      <c r="H43" s="17">
        <f t="shared" si="4"/>
        <v>2.2999999999999998</v>
      </c>
      <c r="I43" s="17">
        <f t="shared" si="5"/>
        <v>0</v>
      </c>
      <c r="J43" s="18">
        <f t="shared" si="6"/>
        <v>0</v>
      </c>
      <c r="K43" s="18">
        <f t="shared" si="7"/>
        <v>0</v>
      </c>
      <c r="L43" s="18">
        <f t="shared" si="1"/>
        <v>44.489999999999995</v>
      </c>
      <c r="M43" s="18">
        <f t="shared" si="8"/>
        <v>0</v>
      </c>
      <c r="N43" s="18">
        <f t="shared" si="2"/>
        <v>44.489999999999995</v>
      </c>
      <c r="O43" s="8"/>
    </row>
    <row r="44" spans="1:15">
      <c r="A44" s="1" t="s">
        <v>34</v>
      </c>
      <c r="B44" s="11"/>
      <c r="C44" s="11">
        <v>530000</v>
      </c>
      <c r="D44" s="11">
        <v>571000</v>
      </c>
      <c r="E44" s="11">
        <v>0</v>
      </c>
      <c r="F44" s="11">
        <f t="shared" si="0"/>
        <v>41000</v>
      </c>
      <c r="G44" s="17">
        <f t="shared" si="3"/>
        <v>42.19</v>
      </c>
      <c r="H44" s="17">
        <f t="shared" si="4"/>
        <v>23</v>
      </c>
      <c r="I44" s="17">
        <f t="shared" si="5"/>
        <v>26.7</v>
      </c>
      <c r="J44" s="18">
        <f t="shared" si="6"/>
        <v>31</v>
      </c>
      <c r="K44" s="18">
        <f t="shared" si="7"/>
        <v>3.6</v>
      </c>
      <c r="L44" s="18">
        <f t="shared" si="1"/>
        <v>126.49</v>
      </c>
      <c r="M44" s="18">
        <f t="shared" si="8"/>
        <v>0</v>
      </c>
      <c r="N44" s="18">
        <f t="shared" si="2"/>
        <v>126.49</v>
      </c>
      <c r="O44" s="8" t="s">
        <v>175</v>
      </c>
    </row>
    <row r="45" spans="1:15">
      <c r="A45" s="1" t="s">
        <v>35</v>
      </c>
      <c r="B45" s="11"/>
      <c r="C45" s="11">
        <v>1893000</v>
      </c>
      <c r="D45" s="11">
        <v>1955000</v>
      </c>
      <c r="E45" s="11">
        <v>0</v>
      </c>
      <c r="F45" s="11">
        <f t="shared" si="0"/>
        <v>62000</v>
      </c>
      <c r="G45" s="17">
        <f t="shared" si="3"/>
        <v>42.19</v>
      </c>
      <c r="H45" s="17">
        <f t="shared" si="4"/>
        <v>23</v>
      </c>
      <c r="I45" s="17">
        <f t="shared" si="5"/>
        <v>26.7</v>
      </c>
      <c r="J45" s="18">
        <f t="shared" si="6"/>
        <v>31</v>
      </c>
      <c r="K45" s="18">
        <f t="shared" si="7"/>
        <v>79.2</v>
      </c>
      <c r="L45" s="18">
        <f t="shared" si="1"/>
        <v>202.09</v>
      </c>
      <c r="M45" s="18">
        <f t="shared" si="8"/>
        <v>0</v>
      </c>
      <c r="N45" s="18">
        <f t="shared" si="2"/>
        <v>202.09</v>
      </c>
      <c r="O45" s="8"/>
    </row>
    <row r="46" spans="1:15">
      <c r="A46" s="1" t="s">
        <v>36</v>
      </c>
      <c r="B46" s="11"/>
      <c r="C46" s="11">
        <v>1632000</v>
      </c>
      <c r="D46" s="11">
        <v>1636000</v>
      </c>
      <c r="E46" s="11">
        <v>0</v>
      </c>
      <c r="F46" s="11">
        <f t="shared" si="0"/>
        <v>4000</v>
      </c>
      <c r="G46" s="17">
        <f t="shared" si="3"/>
        <v>42.19</v>
      </c>
      <c r="H46" s="17">
        <f t="shared" si="4"/>
        <v>0</v>
      </c>
      <c r="I46" s="17">
        <f t="shared" si="5"/>
        <v>0</v>
      </c>
      <c r="J46" s="18">
        <f t="shared" si="6"/>
        <v>0</v>
      </c>
      <c r="K46" s="18">
        <f t="shared" si="7"/>
        <v>0</v>
      </c>
      <c r="L46" s="18">
        <f t="shared" si="1"/>
        <v>42.19</v>
      </c>
      <c r="M46" s="18">
        <f t="shared" si="8"/>
        <v>0</v>
      </c>
      <c r="N46" s="18">
        <f t="shared" si="2"/>
        <v>42.19</v>
      </c>
      <c r="O46" s="8"/>
    </row>
    <row r="47" spans="1:15">
      <c r="A47" s="1" t="s">
        <v>37</v>
      </c>
      <c r="B47" s="11"/>
      <c r="C47" s="11">
        <v>2230000</v>
      </c>
      <c r="D47" s="11">
        <v>2285000</v>
      </c>
      <c r="E47" s="11">
        <v>0</v>
      </c>
      <c r="F47" s="11">
        <f t="shared" si="0"/>
        <v>55000</v>
      </c>
      <c r="G47" s="17">
        <f t="shared" si="3"/>
        <v>42.19</v>
      </c>
      <c r="H47" s="17">
        <f t="shared" si="4"/>
        <v>23</v>
      </c>
      <c r="I47" s="17">
        <f t="shared" si="5"/>
        <v>26.7</v>
      </c>
      <c r="J47" s="18">
        <f t="shared" si="6"/>
        <v>31</v>
      </c>
      <c r="K47" s="18">
        <f t="shared" si="7"/>
        <v>54</v>
      </c>
      <c r="L47" s="18">
        <f t="shared" si="1"/>
        <v>176.89</v>
      </c>
      <c r="M47" s="18">
        <f t="shared" si="8"/>
        <v>0</v>
      </c>
      <c r="N47" s="18">
        <f t="shared" si="2"/>
        <v>176.89</v>
      </c>
      <c r="O47" s="8"/>
    </row>
    <row r="48" spans="1:15">
      <c r="A48" s="1" t="s">
        <v>38</v>
      </c>
      <c r="B48" s="11"/>
      <c r="C48" s="11">
        <v>2199000</v>
      </c>
      <c r="D48" s="11">
        <v>2240000</v>
      </c>
      <c r="E48" s="11">
        <v>0</v>
      </c>
      <c r="F48" s="11">
        <f t="shared" si="0"/>
        <v>41000</v>
      </c>
      <c r="G48" s="17">
        <f t="shared" si="3"/>
        <v>42.19</v>
      </c>
      <c r="H48" s="17">
        <f t="shared" si="4"/>
        <v>23</v>
      </c>
      <c r="I48" s="17">
        <f t="shared" si="5"/>
        <v>26.7</v>
      </c>
      <c r="J48" s="18">
        <f t="shared" si="6"/>
        <v>31</v>
      </c>
      <c r="K48" s="18">
        <f t="shared" si="7"/>
        <v>3.6</v>
      </c>
      <c r="L48" s="18">
        <f t="shared" si="1"/>
        <v>126.49</v>
      </c>
      <c r="M48" s="18">
        <f t="shared" si="8"/>
        <v>0</v>
      </c>
      <c r="N48" s="18">
        <f t="shared" si="2"/>
        <v>126.49</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ref="M49:M80" si="9">IF(   $H$5=1,    IF((F49-$H$6)&gt;0,((F49-$H$6)/$R$7)*$E$8,0),   IF(F49&gt;0,(F49/$R$4)*$E$8,0)    )</f>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9"/>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9"/>
        <v>0</v>
      </c>
      <c r="N51" s="18">
        <f t="shared" si="2"/>
        <v>12.41</v>
      </c>
      <c r="O51" s="8"/>
    </row>
    <row r="52" spans="1:15">
      <c r="A52" s="1" t="s">
        <v>42</v>
      </c>
      <c r="B52" s="11"/>
      <c r="C52" s="11">
        <v>3179000</v>
      </c>
      <c r="D52" s="11">
        <v>3196000</v>
      </c>
      <c r="E52" s="11">
        <v>0</v>
      </c>
      <c r="F52" s="11">
        <f t="shared" si="0"/>
        <v>17000</v>
      </c>
      <c r="G52" s="17">
        <f t="shared" si="3"/>
        <v>42.19</v>
      </c>
      <c r="H52" s="17">
        <f t="shared" si="4"/>
        <v>16.099999999999998</v>
      </c>
      <c r="I52" s="17">
        <f t="shared" si="5"/>
        <v>0</v>
      </c>
      <c r="J52" s="18">
        <f t="shared" si="6"/>
        <v>0</v>
      </c>
      <c r="K52" s="18">
        <f t="shared" si="7"/>
        <v>0</v>
      </c>
      <c r="L52" s="18">
        <f t="shared" si="1"/>
        <v>58.289999999999992</v>
      </c>
      <c r="M52" s="18">
        <f t="shared" si="9"/>
        <v>0</v>
      </c>
      <c r="N52" s="18">
        <f t="shared" si="2"/>
        <v>58.289999999999992</v>
      </c>
      <c r="O52" s="8"/>
    </row>
    <row r="53" spans="1:15">
      <c r="A53" s="1" t="s">
        <v>43</v>
      </c>
      <c r="B53" s="11"/>
      <c r="C53" s="11">
        <v>3383000</v>
      </c>
      <c r="D53" s="11">
        <v>3422000</v>
      </c>
      <c r="E53" s="11">
        <v>0</v>
      </c>
      <c r="F53" s="11">
        <f t="shared" si="0"/>
        <v>39000</v>
      </c>
      <c r="G53" s="17">
        <f t="shared" si="3"/>
        <v>42.19</v>
      </c>
      <c r="H53" s="17">
        <f t="shared" si="4"/>
        <v>23</v>
      </c>
      <c r="I53" s="17">
        <f t="shared" si="5"/>
        <v>26.7</v>
      </c>
      <c r="J53" s="18">
        <f t="shared" si="6"/>
        <v>27.900000000000002</v>
      </c>
      <c r="K53" s="18">
        <f t="shared" si="7"/>
        <v>0</v>
      </c>
      <c r="L53" s="18">
        <f t="shared" si="1"/>
        <v>119.79</v>
      </c>
      <c r="M53" s="18">
        <f t="shared" si="9"/>
        <v>0</v>
      </c>
      <c r="N53" s="18">
        <f t="shared" si="2"/>
        <v>119.79</v>
      </c>
      <c r="O53" s="8"/>
    </row>
    <row r="54" spans="1:15">
      <c r="A54" s="1" t="s">
        <v>44</v>
      </c>
      <c r="B54" s="11"/>
      <c r="C54" s="11">
        <v>4533000</v>
      </c>
      <c r="D54" s="11">
        <v>4615000</v>
      </c>
      <c r="E54" s="11">
        <v>0</v>
      </c>
      <c r="F54" s="11">
        <f t="shared" si="0"/>
        <v>82000</v>
      </c>
      <c r="G54" s="17">
        <f t="shared" si="3"/>
        <v>42.19</v>
      </c>
      <c r="H54" s="17">
        <f t="shared" si="4"/>
        <v>23</v>
      </c>
      <c r="I54" s="17">
        <f t="shared" si="5"/>
        <v>26.7</v>
      </c>
      <c r="J54" s="18">
        <f t="shared" si="6"/>
        <v>31</v>
      </c>
      <c r="K54" s="18">
        <f t="shared" si="7"/>
        <v>151.20000000000002</v>
      </c>
      <c r="L54" s="18">
        <f t="shared" si="1"/>
        <v>274.09000000000003</v>
      </c>
      <c r="M54" s="18">
        <f t="shared" si="9"/>
        <v>0</v>
      </c>
      <c r="N54" s="18">
        <f t="shared" si="2"/>
        <v>274.09000000000003</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9"/>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9"/>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9"/>
        <v>0</v>
      </c>
      <c r="N57" s="18">
        <f t="shared" si="2"/>
        <v>12.41</v>
      </c>
      <c r="O57" s="8"/>
    </row>
    <row r="58" spans="1:15">
      <c r="A58" s="1" t="s">
        <v>48</v>
      </c>
      <c r="B58" s="11"/>
      <c r="C58" s="11">
        <v>1141000</v>
      </c>
      <c r="D58" s="11">
        <v>1143000</v>
      </c>
      <c r="E58" s="11">
        <v>0</v>
      </c>
      <c r="F58" s="11">
        <f t="shared" si="0"/>
        <v>2000</v>
      </c>
      <c r="G58" s="17">
        <f t="shared" si="3"/>
        <v>42.19</v>
      </c>
      <c r="H58" s="17">
        <f t="shared" si="4"/>
        <v>0</v>
      </c>
      <c r="I58" s="17">
        <f t="shared" si="5"/>
        <v>0</v>
      </c>
      <c r="J58" s="18">
        <f t="shared" si="6"/>
        <v>0</v>
      </c>
      <c r="K58" s="18">
        <f t="shared" si="7"/>
        <v>0</v>
      </c>
      <c r="L58" s="18">
        <f t="shared" si="1"/>
        <v>42.19</v>
      </c>
      <c r="M58" s="18">
        <f t="shared" si="9"/>
        <v>0</v>
      </c>
      <c r="N58" s="18">
        <f t="shared" si="2"/>
        <v>42.19</v>
      </c>
      <c r="O58" s="8"/>
    </row>
    <row r="59" spans="1:15">
      <c r="A59" s="1" t="s">
        <v>49</v>
      </c>
      <c r="B59" s="11"/>
      <c r="C59" s="11">
        <v>996000</v>
      </c>
      <c r="D59" s="11">
        <v>1007000</v>
      </c>
      <c r="E59" s="11">
        <v>0</v>
      </c>
      <c r="F59" s="11">
        <f t="shared" si="0"/>
        <v>11000</v>
      </c>
      <c r="G59" s="17">
        <f t="shared" si="3"/>
        <v>42.19</v>
      </c>
      <c r="H59" s="17">
        <f t="shared" si="4"/>
        <v>2.2999999999999998</v>
      </c>
      <c r="I59" s="17">
        <f t="shared" si="5"/>
        <v>0</v>
      </c>
      <c r="J59" s="18">
        <f t="shared" si="6"/>
        <v>0</v>
      </c>
      <c r="K59" s="18">
        <f t="shared" si="7"/>
        <v>0</v>
      </c>
      <c r="L59" s="18">
        <f t="shared" si="1"/>
        <v>44.489999999999995</v>
      </c>
      <c r="M59" s="18">
        <f t="shared" si="9"/>
        <v>0</v>
      </c>
      <c r="N59" s="18">
        <f t="shared" si="2"/>
        <v>44.489999999999995</v>
      </c>
      <c r="O59" s="8"/>
    </row>
    <row r="60" spans="1:15">
      <c r="A60" s="1" t="s">
        <v>50</v>
      </c>
      <c r="B60" s="11"/>
      <c r="C60" s="11">
        <v>3599000</v>
      </c>
      <c r="D60" s="11">
        <v>3616000</v>
      </c>
      <c r="E60" s="11">
        <v>0</v>
      </c>
      <c r="F60" s="11">
        <f t="shared" si="0"/>
        <v>17000</v>
      </c>
      <c r="G60" s="17">
        <f t="shared" si="3"/>
        <v>42.19</v>
      </c>
      <c r="H60" s="17">
        <f t="shared" si="4"/>
        <v>16.099999999999998</v>
      </c>
      <c r="I60" s="17">
        <f t="shared" si="5"/>
        <v>0</v>
      </c>
      <c r="J60" s="18">
        <f t="shared" si="6"/>
        <v>0</v>
      </c>
      <c r="K60" s="18">
        <f t="shared" si="7"/>
        <v>0</v>
      </c>
      <c r="L60" s="18">
        <f t="shared" si="1"/>
        <v>58.289999999999992</v>
      </c>
      <c r="M60" s="18">
        <f t="shared" si="9"/>
        <v>0</v>
      </c>
      <c r="N60" s="18">
        <f t="shared" si="2"/>
        <v>58.289999999999992</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9"/>
        <v>0</v>
      </c>
      <c r="N61" s="18">
        <f t="shared" si="2"/>
        <v>12.41</v>
      </c>
      <c r="O61" s="8"/>
    </row>
    <row r="62" spans="1:15">
      <c r="A62" s="1" t="s">
        <v>52</v>
      </c>
      <c r="B62" s="11"/>
      <c r="C62" s="11">
        <v>1762000</v>
      </c>
      <c r="D62" s="11">
        <v>1769000</v>
      </c>
      <c r="E62" s="11">
        <v>0</v>
      </c>
      <c r="F62" s="11">
        <f t="shared" si="0"/>
        <v>7000</v>
      </c>
      <c r="G62" s="17">
        <f t="shared" si="3"/>
        <v>42.19</v>
      </c>
      <c r="H62" s="17">
        <f t="shared" si="4"/>
        <v>0</v>
      </c>
      <c r="I62" s="17">
        <f t="shared" si="5"/>
        <v>0</v>
      </c>
      <c r="J62" s="18">
        <f t="shared" si="6"/>
        <v>0</v>
      </c>
      <c r="K62" s="18">
        <f t="shared" si="7"/>
        <v>0</v>
      </c>
      <c r="L62" s="18">
        <f t="shared" si="1"/>
        <v>42.19</v>
      </c>
      <c r="M62" s="18">
        <f t="shared" si="9"/>
        <v>0</v>
      </c>
      <c r="N62" s="18">
        <f t="shared" si="2"/>
        <v>42.19</v>
      </c>
      <c r="O62" s="8"/>
    </row>
    <row r="63" spans="1:15">
      <c r="A63" s="1" t="s">
        <v>53</v>
      </c>
      <c r="B63" s="11"/>
      <c r="C63" s="11">
        <v>2505000</v>
      </c>
      <c r="D63" s="11">
        <v>2529000</v>
      </c>
      <c r="E63" s="11">
        <v>0</v>
      </c>
      <c r="F63" s="11">
        <f t="shared" si="0"/>
        <v>24000</v>
      </c>
      <c r="G63" s="17">
        <f t="shared" si="3"/>
        <v>42.19</v>
      </c>
      <c r="H63" s="17">
        <f t="shared" si="4"/>
        <v>23</v>
      </c>
      <c r="I63" s="17">
        <f t="shared" si="5"/>
        <v>10.68</v>
      </c>
      <c r="J63" s="18">
        <f t="shared" si="6"/>
        <v>0</v>
      </c>
      <c r="K63" s="18">
        <f t="shared" si="7"/>
        <v>0</v>
      </c>
      <c r="L63" s="18">
        <f t="shared" si="1"/>
        <v>75.87</v>
      </c>
      <c r="M63" s="18">
        <f t="shared" si="9"/>
        <v>0</v>
      </c>
      <c r="N63" s="18">
        <f t="shared" si="2"/>
        <v>75.87</v>
      </c>
      <c r="O63" s="8"/>
    </row>
    <row r="64" spans="1:15">
      <c r="A64" s="1" t="s">
        <v>54</v>
      </c>
      <c r="B64" s="11"/>
      <c r="C64" s="11">
        <v>3801000</v>
      </c>
      <c r="D64" s="11">
        <v>3927000</v>
      </c>
      <c r="E64" s="11">
        <v>0</v>
      </c>
      <c r="F64" s="11">
        <f t="shared" si="0"/>
        <v>126000</v>
      </c>
      <c r="G64" s="17">
        <f t="shared" si="3"/>
        <v>42.19</v>
      </c>
      <c r="H64" s="17">
        <f t="shared" si="4"/>
        <v>23</v>
      </c>
      <c r="I64" s="17">
        <f t="shared" si="5"/>
        <v>26.7</v>
      </c>
      <c r="J64" s="18">
        <f t="shared" si="6"/>
        <v>31</v>
      </c>
      <c r="K64" s="18">
        <f t="shared" si="7"/>
        <v>309.60000000000002</v>
      </c>
      <c r="L64" s="18">
        <f t="shared" si="1"/>
        <v>432.49</v>
      </c>
      <c r="M64" s="18">
        <f t="shared" si="9"/>
        <v>0</v>
      </c>
      <c r="N64" s="18">
        <f t="shared" si="2"/>
        <v>432.49</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9"/>
        <v>0</v>
      </c>
      <c r="N65" s="18">
        <f t="shared" si="2"/>
        <v>12.41</v>
      </c>
      <c r="O65" s="8"/>
    </row>
    <row r="66" spans="1:15">
      <c r="A66" s="1" t="s">
        <v>56</v>
      </c>
      <c r="B66" s="11"/>
      <c r="C66" s="11">
        <v>1679000</v>
      </c>
      <c r="D66" s="11">
        <v>1715000</v>
      </c>
      <c r="E66" s="11">
        <v>0</v>
      </c>
      <c r="F66" s="11">
        <f t="shared" si="0"/>
        <v>36000</v>
      </c>
      <c r="G66" s="17">
        <f t="shared" si="3"/>
        <v>42.19</v>
      </c>
      <c r="H66" s="17">
        <f t="shared" si="4"/>
        <v>23</v>
      </c>
      <c r="I66" s="17">
        <f t="shared" si="5"/>
        <v>26.7</v>
      </c>
      <c r="J66" s="18">
        <f t="shared" si="6"/>
        <v>18.600000000000001</v>
      </c>
      <c r="K66" s="18">
        <f t="shared" si="7"/>
        <v>0</v>
      </c>
      <c r="L66" s="18">
        <f t="shared" si="1"/>
        <v>110.49000000000001</v>
      </c>
      <c r="M66" s="18">
        <f t="shared" si="9"/>
        <v>0</v>
      </c>
      <c r="N66" s="18">
        <f t="shared" si="2"/>
        <v>110.49000000000001</v>
      </c>
      <c r="O66" s="8"/>
    </row>
    <row r="67" spans="1:15">
      <c r="A67" s="1" t="s">
        <v>57</v>
      </c>
      <c r="B67" s="11"/>
      <c r="C67" s="11">
        <v>1622000</v>
      </c>
      <c r="D67" s="11">
        <v>1624000</v>
      </c>
      <c r="E67" s="11">
        <v>0</v>
      </c>
      <c r="F67" s="11">
        <f t="shared" si="0"/>
        <v>2000</v>
      </c>
      <c r="G67" s="17">
        <f t="shared" si="3"/>
        <v>42.19</v>
      </c>
      <c r="H67" s="17">
        <f t="shared" si="4"/>
        <v>0</v>
      </c>
      <c r="I67" s="17">
        <f t="shared" si="5"/>
        <v>0</v>
      </c>
      <c r="J67" s="18">
        <f t="shared" si="6"/>
        <v>0</v>
      </c>
      <c r="K67" s="18">
        <f t="shared" si="7"/>
        <v>0</v>
      </c>
      <c r="L67" s="18">
        <f t="shared" si="1"/>
        <v>42.19</v>
      </c>
      <c r="M67" s="18">
        <f t="shared" si="9"/>
        <v>0</v>
      </c>
      <c r="N67" s="18">
        <f t="shared" si="2"/>
        <v>42.19</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9"/>
        <v>0</v>
      </c>
      <c r="N68" s="18">
        <f t="shared" si="2"/>
        <v>12.41</v>
      </c>
      <c r="O68" s="8" t="s">
        <v>183</v>
      </c>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9"/>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9"/>
        <v>0</v>
      </c>
      <c r="N70" s="18">
        <f t="shared" si="2"/>
        <v>12.41</v>
      </c>
      <c r="O70" s="8"/>
    </row>
    <row r="71" spans="1:15">
      <c r="A71" s="1" t="s">
        <v>61</v>
      </c>
      <c r="B71" s="11"/>
      <c r="C71" s="11">
        <v>1385000</v>
      </c>
      <c r="D71" s="11">
        <v>1390000</v>
      </c>
      <c r="E71" s="11">
        <v>0</v>
      </c>
      <c r="F71" s="11">
        <f t="shared" si="0"/>
        <v>5000</v>
      </c>
      <c r="G71" s="17">
        <f t="shared" si="3"/>
        <v>42.19</v>
      </c>
      <c r="H71" s="17">
        <f t="shared" si="4"/>
        <v>0</v>
      </c>
      <c r="I71" s="17">
        <f t="shared" si="5"/>
        <v>0</v>
      </c>
      <c r="J71" s="18">
        <f t="shared" si="6"/>
        <v>0</v>
      </c>
      <c r="K71" s="18">
        <f t="shared" si="7"/>
        <v>0</v>
      </c>
      <c r="L71" s="18">
        <f t="shared" si="1"/>
        <v>42.19</v>
      </c>
      <c r="M71" s="18">
        <f t="shared" si="9"/>
        <v>0</v>
      </c>
      <c r="N71" s="18">
        <f t="shared" si="2"/>
        <v>42.19</v>
      </c>
      <c r="O71" s="8"/>
    </row>
    <row r="72" spans="1:15">
      <c r="A72" s="1" t="s">
        <v>62</v>
      </c>
      <c r="B72" s="11"/>
      <c r="C72" s="11">
        <v>2020000</v>
      </c>
      <c r="D72" s="11">
        <v>2045000</v>
      </c>
      <c r="E72" s="11">
        <v>0</v>
      </c>
      <c r="F72" s="11">
        <f t="shared" si="0"/>
        <v>25000</v>
      </c>
      <c r="G72" s="17">
        <f t="shared" si="3"/>
        <v>42.19</v>
      </c>
      <c r="H72" s="17">
        <f t="shared" si="4"/>
        <v>23</v>
      </c>
      <c r="I72" s="17">
        <f t="shared" si="5"/>
        <v>13.35</v>
      </c>
      <c r="J72" s="18">
        <f t="shared" si="6"/>
        <v>0</v>
      </c>
      <c r="K72" s="18">
        <f t="shared" si="7"/>
        <v>0</v>
      </c>
      <c r="L72" s="18">
        <f t="shared" si="1"/>
        <v>78.539999999999992</v>
      </c>
      <c r="M72" s="18">
        <f t="shared" si="9"/>
        <v>0</v>
      </c>
      <c r="N72" s="18">
        <f t="shared" si="2"/>
        <v>78.539999999999992</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9"/>
        <v>0</v>
      </c>
      <c r="N73" s="18">
        <f t="shared" si="2"/>
        <v>12.41</v>
      </c>
      <c r="O73" s="8"/>
    </row>
    <row r="74" spans="1:15">
      <c r="A74" s="1" t="s">
        <v>64</v>
      </c>
      <c r="B74" s="11"/>
      <c r="C74" s="11">
        <v>5116000</v>
      </c>
      <c r="D74" s="11">
        <v>5148000</v>
      </c>
      <c r="E74" s="11">
        <v>0</v>
      </c>
      <c r="F74" s="11">
        <f t="shared" si="0"/>
        <v>32000</v>
      </c>
      <c r="G74" s="17">
        <f t="shared" si="3"/>
        <v>42.19</v>
      </c>
      <c r="H74" s="17">
        <f t="shared" si="4"/>
        <v>23</v>
      </c>
      <c r="I74" s="17">
        <f t="shared" si="5"/>
        <v>26.7</v>
      </c>
      <c r="J74" s="18">
        <f t="shared" si="6"/>
        <v>6.2</v>
      </c>
      <c r="K74" s="18">
        <f t="shared" si="7"/>
        <v>0</v>
      </c>
      <c r="L74" s="18">
        <f t="shared" si="1"/>
        <v>98.09</v>
      </c>
      <c r="M74" s="18">
        <f t="shared" si="9"/>
        <v>0</v>
      </c>
      <c r="N74" s="18">
        <f t="shared" si="2"/>
        <v>98.09</v>
      </c>
      <c r="O74" s="8"/>
    </row>
    <row r="75" spans="1:15">
      <c r="A75" s="1" t="s">
        <v>65</v>
      </c>
      <c r="B75" s="11"/>
      <c r="C75" s="11">
        <v>6942000</v>
      </c>
      <c r="D75" s="11">
        <v>6958000</v>
      </c>
      <c r="E75" s="11">
        <v>0</v>
      </c>
      <c r="F75" s="11">
        <f t="shared" ref="F75:F136" si="10">($D75-$C75)+$E75</f>
        <v>16000</v>
      </c>
      <c r="G75" s="17">
        <f t="shared" si="3"/>
        <v>42.19</v>
      </c>
      <c r="H75" s="17">
        <f t="shared" si="4"/>
        <v>13.799999999999999</v>
      </c>
      <c r="I75" s="17">
        <f t="shared" si="5"/>
        <v>0</v>
      </c>
      <c r="J75" s="18">
        <f t="shared" si="6"/>
        <v>0</v>
      </c>
      <c r="K75" s="18">
        <f t="shared" si="7"/>
        <v>0</v>
      </c>
      <c r="L75" s="18">
        <f t="shared" si="1"/>
        <v>55.989999999999995</v>
      </c>
      <c r="M75" s="18">
        <f t="shared" si="9"/>
        <v>0</v>
      </c>
      <c r="N75" s="18">
        <f t="shared" si="2"/>
        <v>55.989999999999995</v>
      </c>
      <c r="O75" s="8"/>
    </row>
    <row r="76" spans="1:15">
      <c r="A76" s="1" t="s">
        <v>66</v>
      </c>
      <c r="B76" s="11"/>
      <c r="C76" s="11">
        <v>9412000</v>
      </c>
      <c r="D76" s="11">
        <v>9431000</v>
      </c>
      <c r="E76" s="11">
        <v>0</v>
      </c>
      <c r="F76" s="11">
        <f t="shared" si="10"/>
        <v>19000</v>
      </c>
      <c r="G76" s="17">
        <f t="shared" si="3"/>
        <v>42.19</v>
      </c>
      <c r="H76" s="17">
        <f t="shared" si="4"/>
        <v>20.7</v>
      </c>
      <c r="I76" s="17">
        <f t="shared" si="5"/>
        <v>0</v>
      </c>
      <c r="J76" s="18">
        <f t="shared" si="6"/>
        <v>0</v>
      </c>
      <c r="K76" s="18">
        <f t="shared" si="7"/>
        <v>0</v>
      </c>
      <c r="L76" s="18">
        <f t="shared" ref="L76:L136" si="11">SUM(G76:K76)</f>
        <v>62.89</v>
      </c>
      <c r="M76" s="18">
        <f t="shared" si="9"/>
        <v>0</v>
      </c>
      <c r="N76" s="18">
        <f t="shared" ref="N76:N136" si="12">SUM(L76:M76)</f>
        <v>62.89</v>
      </c>
      <c r="O76" s="8"/>
    </row>
    <row r="77" spans="1:15">
      <c r="A77" s="1" t="s">
        <v>67</v>
      </c>
      <c r="B77" s="11" t="s">
        <v>138</v>
      </c>
      <c r="C77" s="11">
        <v>0</v>
      </c>
      <c r="D77" s="11">
        <v>0</v>
      </c>
      <c r="E77" s="11">
        <v>0</v>
      </c>
      <c r="F77" s="11">
        <f t="shared" si="10"/>
        <v>0</v>
      </c>
      <c r="G77" s="17">
        <f t="shared" si="3"/>
        <v>12.41</v>
      </c>
      <c r="H77" s="17">
        <f t="shared" si="4"/>
        <v>0</v>
      </c>
      <c r="I77" s="17">
        <f t="shared" si="5"/>
        <v>0</v>
      </c>
      <c r="J77" s="18">
        <f t="shared" si="6"/>
        <v>0</v>
      </c>
      <c r="K77" s="18">
        <f t="shared" si="7"/>
        <v>0</v>
      </c>
      <c r="L77" s="18">
        <f t="shared" si="11"/>
        <v>12.41</v>
      </c>
      <c r="M77" s="18">
        <f t="shared" si="9"/>
        <v>0</v>
      </c>
      <c r="N77" s="18">
        <f t="shared" si="12"/>
        <v>12.41</v>
      </c>
      <c r="O77" s="8"/>
    </row>
    <row r="78" spans="1:15">
      <c r="A78" s="1" t="s">
        <v>68</v>
      </c>
      <c r="B78" s="11"/>
      <c r="C78" s="11">
        <v>3723000</v>
      </c>
      <c r="D78" s="11">
        <v>3755000</v>
      </c>
      <c r="E78" s="11">
        <v>0</v>
      </c>
      <c r="F78" s="11">
        <f t="shared" si="10"/>
        <v>32000</v>
      </c>
      <c r="G78" s="17">
        <f t="shared" si="3"/>
        <v>42.19</v>
      </c>
      <c r="H78" s="17">
        <f t="shared" si="4"/>
        <v>23</v>
      </c>
      <c r="I78" s="17">
        <f t="shared" si="5"/>
        <v>26.7</v>
      </c>
      <c r="J78" s="18">
        <f t="shared" si="6"/>
        <v>6.2</v>
      </c>
      <c r="K78" s="18">
        <f t="shared" si="7"/>
        <v>0</v>
      </c>
      <c r="L78" s="18">
        <f t="shared" si="11"/>
        <v>98.09</v>
      </c>
      <c r="M78" s="18">
        <f t="shared" si="9"/>
        <v>0</v>
      </c>
      <c r="N78" s="18">
        <f t="shared" si="12"/>
        <v>98.09</v>
      </c>
      <c r="O78" s="8"/>
    </row>
    <row r="79" spans="1:15">
      <c r="A79" s="1" t="s">
        <v>69</v>
      </c>
      <c r="B79" s="11"/>
      <c r="C79" s="11">
        <v>2490000</v>
      </c>
      <c r="D79" s="11">
        <v>2506000</v>
      </c>
      <c r="E79" s="11">
        <v>0</v>
      </c>
      <c r="F79" s="11">
        <f t="shared" si="10"/>
        <v>16000</v>
      </c>
      <c r="G79" s="17">
        <f t="shared" si="3"/>
        <v>42.19</v>
      </c>
      <c r="H79" s="17">
        <f t="shared" si="4"/>
        <v>13.799999999999999</v>
      </c>
      <c r="I79" s="17">
        <f t="shared" si="5"/>
        <v>0</v>
      </c>
      <c r="J79" s="18">
        <f t="shared" si="6"/>
        <v>0</v>
      </c>
      <c r="K79" s="18">
        <f t="shared" si="7"/>
        <v>0</v>
      </c>
      <c r="L79" s="18">
        <f t="shared" si="11"/>
        <v>55.989999999999995</v>
      </c>
      <c r="M79" s="18">
        <f t="shared" si="9"/>
        <v>0</v>
      </c>
      <c r="N79" s="18">
        <f t="shared" si="12"/>
        <v>55.989999999999995</v>
      </c>
      <c r="O79" s="8"/>
    </row>
    <row r="80" spans="1:15">
      <c r="A80" s="1" t="s">
        <v>70</v>
      </c>
      <c r="B80" s="11"/>
      <c r="C80" s="11">
        <v>1575000</v>
      </c>
      <c r="D80" s="11">
        <v>1604000</v>
      </c>
      <c r="E80" s="11">
        <v>0</v>
      </c>
      <c r="F80" s="11">
        <f t="shared" si="10"/>
        <v>29000</v>
      </c>
      <c r="G80" s="17">
        <f t="shared" si="3"/>
        <v>42.19</v>
      </c>
      <c r="H80" s="17">
        <f t="shared" si="4"/>
        <v>23</v>
      </c>
      <c r="I80" s="17">
        <f t="shared" si="5"/>
        <v>24.03</v>
      </c>
      <c r="J80" s="18">
        <f t="shared" si="6"/>
        <v>0</v>
      </c>
      <c r="K80" s="18">
        <f t="shared" si="7"/>
        <v>0</v>
      </c>
      <c r="L80" s="18">
        <f t="shared" si="11"/>
        <v>89.22</v>
      </c>
      <c r="M80" s="18">
        <f t="shared" si="9"/>
        <v>0</v>
      </c>
      <c r="N80" s="18">
        <f t="shared" si="12"/>
        <v>89.22</v>
      </c>
      <c r="O80" s="8"/>
    </row>
    <row r="81" spans="1:15">
      <c r="A81" s="1" t="s">
        <v>71</v>
      </c>
      <c r="B81" s="11" t="s">
        <v>138</v>
      </c>
      <c r="C81" s="11">
        <v>0</v>
      </c>
      <c r="D81" s="11">
        <v>0</v>
      </c>
      <c r="E81" s="11">
        <v>0</v>
      </c>
      <c r="F81" s="11">
        <f t="shared" si="10"/>
        <v>0</v>
      </c>
      <c r="G81" s="17">
        <f t="shared" ref="G81:G136" si="13">IF(OR($F81&gt;0,$B81=""),$K$4,$N$4)</f>
        <v>12.41</v>
      </c>
      <c r="H81" s="17">
        <f t="shared" ref="H81:H136" si="14">IF(AND((($F81-10000)&gt;=0),(($F81-10000)&lt;= 10000)),($F81-10000)/1000*$K$5,IF(($F81-10000)&gt;=10000,$K$5*10,0))</f>
        <v>0</v>
      </c>
      <c r="I81" s="17">
        <f t="shared" ref="I81:I136" si="15">IF(AND((($F81-20000)&gt;=0),(($F81-20000)&lt;=10000)),($F81-20000)/1000*$K$6,IF(($F81-20000)&gt;=10000,$K$6*10,0))</f>
        <v>0</v>
      </c>
      <c r="J81" s="18">
        <f t="shared" ref="J81:J136" si="16">IF(AND((($F81-30000)&gt;=0),(($F81-30000)&lt;=10000)),($F81-30000)/1000*$K$7,IF(($F81-30000)&gt;=10000,$K$7*10,0))</f>
        <v>0</v>
      </c>
      <c r="K81" s="18">
        <f t="shared" ref="K81:K136" si="17">IF((($F81-40000)&gt;=0),($F81-40000)/1000*$K$8,0)</f>
        <v>0</v>
      </c>
      <c r="L81" s="18">
        <f t="shared" si="11"/>
        <v>12.41</v>
      </c>
      <c r="M81" s="18">
        <f t="shared" ref="M81:M112" si="18">IF(   $H$5=1,    IF((F81-$H$6)&gt;0,((F81-$H$6)/$R$7)*$E$8,0),   IF(F81&gt;0,(F81/$R$4)*$E$8,0)    )</f>
        <v>0</v>
      </c>
      <c r="N81" s="18">
        <f t="shared" si="12"/>
        <v>12.41</v>
      </c>
      <c r="O81" s="8"/>
    </row>
    <row r="82" spans="1:15">
      <c r="A82" s="1" t="s">
        <v>72</v>
      </c>
      <c r="B82" s="11"/>
      <c r="C82" s="11">
        <v>340000</v>
      </c>
      <c r="D82" s="11">
        <v>376000</v>
      </c>
      <c r="E82" s="11">
        <v>0</v>
      </c>
      <c r="F82" s="11">
        <f t="shared" si="10"/>
        <v>36000</v>
      </c>
      <c r="G82" s="17">
        <f t="shared" si="13"/>
        <v>42.19</v>
      </c>
      <c r="H82" s="17">
        <f t="shared" si="14"/>
        <v>23</v>
      </c>
      <c r="I82" s="17">
        <f t="shared" si="15"/>
        <v>26.7</v>
      </c>
      <c r="J82" s="18">
        <f t="shared" si="16"/>
        <v>18.600000000000001</v>
      </c>
      <c r="K82" s="18">
        <f t="shared" si="17"/>
        <v>0</v>
      </c>
      <c r="L82" s="18">
        <f t="shared" si="11"/>
        <v>110.49000000000001</v>
      </c>
      <c r="M82" s="18">
        <f t="shared" si="18"/>
        <v>0</v>
      </c>
      <c r="N82" s="18">
        <f t="shared" si="12"/>
        <v>110.49000000000001</v>
      </c>
      <c r="O82" s="8" t="s">
        <v>139</v>
      </c>
    </row>
    <row r="83" spans="1:15">
      <c r="A83" s="1" t="s">
        <v>73</v>
      </c>
      <c r="B83" s="11"/>
      <c r="C83" s="11">
        <v>2002000</v>
      </c>
      <c r="D83" s="11">
        <v>2004000</v>
      </c>
      <c r="E83" s="11">
        <v>0</v>
      </c>
      <c r="F83" s="11">
        <f t="shared" si="10"/>
        <v>2000</v>
      </c>
      <c r="G83" s="17">
        <f t="shared" si="13"/>
        <v>42.19</v>
      </c>
      <c r="H83" s="17">
        <f t="shared" si="14"/>
        <v>0</v>
      </c>
      <c r="I83" s="17">
        <f t="shared" si="15"/>
        <v>0</v>
      </c>
      <c r="J83" s="18">
        <f t="shared" si="16"/>
        <v>0</v>
      </c>
      <c r="K83" s="18">
        <f t="shared" si="17"/>
        <v>0</v>
      </c>
      <c r="L83" s="18">
        <f t="shared" si="11"/>
        <v>42.19</v>
      </c>
      <c r="M83" s="18">
        <f t="shared" si="18"/>
        <v>0</v>
      </c>
      <c r="N83" s="18">
        <f t="shared" si="12"/>
        <v>42.19</v>
      </c>
      <c r="O83" s="8"/>
    </row>
    <row r="84" spans="1:15">
      <c r="A84" s="1" t="s">
        <v>74</v>
      </c>
      <c r="B84" s="11" t="s">
        <v>138</v>
      </c>
      <c r="C84" s="11">
        <v>0</v>
      </c>
      <c r="D84" s="11">
        <v>0</v>
      </c>
      <c r="E84" s="11">
        <v>0</v>
      </c>
      <c r="F84" s="11">
        <f t="shared" si="10"/>
        <v>0</v>
      </c>
      <c r="G84" s="17">
        <f t="shared" si="13"/>
        <v>12.41</v>
      </c>
      <c r="H84" s="17">
        <f t="shared" si="14"/>
        <v>0</v>
      </c>
      <c r="I84" s="17">
        <f t="shared" si="15"/>
        <v>0</v>
      </c>
      <c r="J84" s="18">
        <f t="shared" si="16"/>
        <v>0</v>
      </c>
      <c r="K84" s="18">
        <f t="shared" si="17"/>
        <v>0</v>
      </c>
      <c r="L84" s="18">
        <f t="shared" si="11"/>
        <v>12.41</v>
      </c>
      <c r="M84" s="18">
        <f t="shared" si="18"/>
        <v>0</v>
      </c>
      <c r="N84" s="18">
        <f t="shared" si="12"/>
        <v>12.41</v>
      </c>
      <c r="O84" s="8"/>
    </row>
    <row r="85" spans="1:15">
      <c r="A85" s="1" t="s">
        <v>75</v>
      </c>
      <c r="B85" s="11"/>
      <c r="C85" s="11">
        <v>755000</v>
      </c>
      <c r="D85" s="11">
        <v>761000</v>
      </c>
      <c r="E85" s="11">
        <v>0</v>
      </c>
      <c r="F85" s="11">
        <f t="shared" si="10"/>
        <v>6000</v>
      </c>
      <c r="G85" s="17">
        <f t="shared" si="13"/>
        <v>42.19</v>
      </c>
      <c r="H85" s="17">
        <f t="shared" si="14"/>
        <v>0</v>
      </c>
      <c r="I85" s="17">
        <f t="shared" si="15"/>
        <v>0</v>
      </c>
      <c r="J85" s="18">
        <f t="shared" si="16"/>
        <v>0</v>
      </c>
      <c r="K85" s="18">
        <f t="shared" si="17"/>
        <v>0</v>
      </c>
      <c r="L85" s="18">
        <f t="shared" si="11"/>
        <v>42.19</v>
      </c>
      <c r="M85" s="18">
        <f t="shared" si="18"/>
        <v>0</v>
      </c>
      <c r="N85" s="18">
        <f t="shared" si="12"/>
        <v>42.19</v>
      </c>
      <c r="O85" s="8"/>
    </row>
    <row r="86" spans="1:15">
      <c r="A86" s="1" t="s">
        <v>76</v>
      </c>
      <c r="B86" s="11"/>
      <c r="C86" s="11">
        <v>307000</v>
      </c>
      <c r="D86" s="11">
        <v>326000</v>
      </c>
      <c r="E86" s="11">
        <v>0</v>
      </c>
      <c r="F86" s="11">
        <f t="shared" si="10"/>
        <v>19000</v>
      </c>
      <c r="G86" s="17">
        <f t="shared" si="13"/>
        <v>42.19</v>
      </c>
      <c r="H86" s="17">
        <f t="shared" si="14"/>
        <v>20.7</v>
      </c>
      <c r="I86" s="17">
        <f t="shared" si="15"/>
        <v>0</v>
      </c>
      <c r="J86" s="18">
        <f t="shared" si="16"/>
        <v>0</v>
      </c>
      <c r="K86" s="18">
        <f t="shared" si="17"/>
        <v>0</v>
      </c>
      <c r="L86" s="18">
        <f t="shared" si="11"/>
        <v>62.89</v>
      </c>
      <c r="M86" s="18">
        <f t="shared" si="18"/>
        <v>0</v>
      </c>
      <c r="N86" s="18">
        <f t="shared" si="12"/>
        <v>62.89</v>
      </c>
      <c r="O86" s="8" t="s">
        <v>139</v>
      </c>
    </row>
    <row r="87" spans="1:15">
      <c r="A87" s="1" t="s">
        <v>77</v>
      </c>
      <c r="B87" s="11"/>
      <c r="C87" s="11">
        <v>165000</v>
      </c>
      <c r="D87" s="11">
        <v>182000</v>
      </c>
      <c r="E87" s="11">
        <v>0</v>
      </c>
      <c r="F87" s="11">
        <f t="shared" si="10"/>
        <v>17000</v>
      </c>
      <c r="G87" s="17">
        <f t="shared" si="13"/>
        <v>42.19</v>
      </c>
      <c r="H87" s="17">
        <f t="shared" si="14"/>
        <v>16.099999999999998</v>
      </c>
      <c r="I87" s="17">
        <f t="shared" si="15"/>
        <v>0</v>
      </c>
      <c r="J87" s="18">
        <f t="shared" si="16"/>
        <v>0</v>
      </c>
      <c r="K87" s="18">
        <f t="shared" si="17"/>
        <v>0</v>
      </c>
      <c r="L87" s="18">
        <f t="shared" si="11"/>
        <v>58.289999999999992</v>
      </c>
      <c r="M87" s="18">
        <f t="shared" si="18"/>
        <v>0</v>
      </c>
      <c r="N87" s="18">
        <f t="shared" si="12"/>
        <v>58.289999999999992</v>
      </c>
      <c r="O87" s="8"/>
    </row>
    <row r="88" spans="1:15">
      <c r="A88" s="1" t="s">
        <v>78</v>
      </c>
      <c r="B88" s="11"/>
      <c r="C88" s="11">
        <v>1468000</v>
      </c>
      <c r="D88" s="11">
        <v>1501000</v>
      </c>
      <c r="E88" s="11">
        <v>0</v>
      </c>
      <c r="F88" s="11">
        <f t="shared" si="10"/>
        <v>33000</v>
      </c>
      <c r="G88" s="17">
        <f t="shared" si="13"/>
        <v>42.19</v>
      </c>
      <c r="H88" s="17">
        <f t="shared" si="14"/>
        <v>23</v>
      </c>
      <c r="I88" s="17">
        <f t="shared" si="15"/>
        <v>26.7</v>
      </c>
      <c r="J88" s="18">
        <f t="shared" si="16"/>
        <v>9.3000000000000007</v>
      </c>
      <c r="K88" s="18">
        <f t="shared" si="17"/>
        <v>0</v>
      </c>
      <c r="L88" s="18">
        <f t="shared" si="11"/>
        <v>101.19</v>
      </c>
      <c r="M88" s="18">
        <f t="shared" si="18"/>
        <v>0</v>
      </c>
      <c r="N88" s="18">
        <f t="shared" si="12"/>
        <v>101.19</v>
      </c>
      <c r="O88" s="8"/>
    </row>
    <row r="89" spans="1:15">
      <c r="A89" s="1" t="s">
        <v>79</v>
      </c>
      <c r="B89" s="11"/>
      <c r="C89" s="11">
        <v>3511000</v>
      </c>
      <c r="D89" s="11">
        <v>3515000</v>
      </c>
      <c r="E89" s="11">
        <v>0</v>
      </c>
      <c r="F89" s="11">
        <f t="shared" si="10"/>
        <v>4000</v>
      </c>
      <c r="G89" s="17">
        <f t="shared" si="13"/>
        <v>42.19</v>
      </c>
      <c r="H89" s="17">
        <f t="shared" si="14"/>
        <v>0</v>
      </c>
      <c r="I89" s="17">
        <f t="shared" si="15"/>
        <v>0</v>
      </c>
      <c r="J89" s="18">
        <f t="shared" si="16"/>
        <v>0</v>
      </c>
      <c r="K89" s="18">
        <f t="shared" si="17"/>
        <v>0</v>
      </c>
      <c r="L89" s="18">
        <f t="shared" si="11"/>
        <v>42.19</v>
      </c>
      <c r="M89" s="18">
        <f t="shared" si="18"/>
        <v>0</v>
      </c>
      <c r="N89" s="18">
        <f t="shared" si="12"/>
        <v>42.19</v>
      </c>
      <c r="O89" s="8"/>
    </row>
    <row r="90" spans="1:15">
      <c r="A90" s="1" t="s">
        <v>80</v>
      </c>
      <c r="B90" s="11"/>
      <c r="C90" s="11">
        <v>3053000</v>
      </c>
      <c r="D90" s="11">
        <v>3057000</v>
      </c>
      <c r="E90" s="11">
        <v>0</v>
      </c>
      <c r="F90" s="11">
        <f t="shared" si="10"/>
        <v>4000</v>
      </c>
      <c r="G90" s="17">
        <f t="shared" si="13"/>
        <v>42.19</v>
      </c>
      <c r="H90" s="17">
        <f t="shared" si="14"/>
        <v>0</v>
      </c>
      <c r="I90" s="17">
        <f t="shared" si="15"/>
        <v>0</v>
      </c>
      <c r="J90" s="18">
        <f t="shared" si="16"/>
        <v>0</v>
      </c>
      <c r="K90" s="18">
        <f t="shared" si="17"/>
        <v>0</v>
      </c>
      <c r="L90" s="18">
        <f t="shared" si="11"/>
        <v>42.19</v>
      </c>
      <c r="M90" s="18">
        <f t="shared" si="18"/>
        <v>0</v>
      </c>
      <c r="N90" s="18">
        <f t="shared" si="12"/>
        <v>42.19</v>
      </c>
      <c r="O90" s="8"/>
    </row>
    <row r="91" spans="1:15">
      <c r="A91" s="1" t="s">
        <v>81</v>
      </c>
      <c r="B91" s="11" t="s">
        <v>138</v>
      </c>
      <c r="C91" s="11">
        <v>0</v>
      </c>
      <c r="D91" s="11">
        <v>0</v>
      </c>
      <c r="E91" s="11">
        <v>0</v>
      </c>
      <c r="F91" s="11">
        <f t="shared" si="10"/>
        <v>0</v>
      </c>
      <c r="G91" s="17">
        <f t="shared" si="13"/>
        <v>12.41</v>
      </c>
      <c r="H91" s="17">
        <f t="shared" si="14"/>
        <v>0</v>
      </c>
      <c r="I91" s="17">
        <f t="shared" si="15"/>
        <v>0</v>
      </c>
      <c r="J91" s="18">
        <f t="shared" si="16"/>
        <v>0</v>
      </c>
      <c r="K91" s="18">
        <f t="shared" si="17"/>
        <v>0</v>
      </c>
      <c r="L91" s="18">
        <f t="shared" si="11"/>
        <v>12.41</v>
      </c>
      <c r="M91" s="18">
        <f t="shared" si="18"/>
        <v>0</v>
      </c>
      <c r="N91" s="18">
        <f t="shared" si="12"/>
        <v>12.41</v>
      </c>
      <c r="O91" s="8"/>
    </row>
    <row r="92" spans="1:15">
      <c r="A92" s="1" t="s">
        <v>82</v>
      </c>
      <c r="B92" s="11"/>
      <c r="C92" s="11">
        <v>3498000</v>
      </c>
      <c r="D92" s="11">
        <v>3572000</v>
      </c>
      <c r="E92" s="11">
        <v>0</v>
      </c>
      <c r="F92" s="11">
        <f t="shared" si="10"/>
        <v>74000</v>
      </c>
      <c r="G92" s="17">
        <f t="shared" si="13"/>
        <v>42.19</v>
      </c>
      <c r="H92" s="17">
        <f t="shared" si="14"/>
        <v>23</v>
      </c>
      <c r="I92" s="17">
        <f t="shared" si="15"/>
        <v>26.7</v>
      </c>
      <c r="J92" s="18">
        <f t="shared" si="16"/>
        <v>31</v>
      </c>
      <c r="K92" s="18">
        <f t="shared" si="17"/>
        <v>122.4</v>
      </c>
      <c r="L92" s="18">
        <f t="shared" si="11"/>
        <v>245.29000000000002</v>
      </c>
      <c r="M92" s="18">
        <f t="shared" si="18"/>
        <v>0</v>
      </c>
      <c r="N92" s="18">
        <f t="shared" si="12"/>
        <v>245.29000000000002</v>
      </c>
      <c r="O92" s="8"/>
    </row>
    <row r="93" spans="1:15">
      <c r="A93" s="1" t="s">
        <v>83</v>
      </c>
      <c r="B93" s="11"/>
      <c r="C93" s="11">
        <v>7827000</v>
      </c>
      <c r="D93" s="11">
        <v>7869000</v>
      </c>
      <c r="E93" s="11">
        <v>0</v>
      </c>
      <c r="F93" s="11">
        <f t="shared" si="10"/>
        <v>42000</v>
      </c>
      <c r="G93" s="17">
        <f t="shared" si="13"/>
        <v>42.19</v>
      </c>
      <c r="H93" s="17">
        <f t="shared" si="14"/>
        <v>23</v>
      </c>
      <c r="I93" s="17">
        <f t="shared" si="15"/>
        <v>26.7</v>
      </c>
      <c r="J93" s="18">
        <f t="shared" si="16"/>
        <v>31</v>
      </c>
      <c r="K93" s="18">
        <f t="shared" si="17"/>
        <v>7.2</v>
      </c>
      <c r="L93" s="18">
        <f t="shared" si="11"/>
        <v>130.09</v>
      </c>
      <c r="M93" s="18">
        <f t="shared" si="18"/>
        <v>0</v>
      </c>
      <c r="N93" s="18">
        <f t="shared" si="12"/>
        <v>130.09</v>
      </c>
      <c r="O93" s="8"/>
    </row>
    <row r="94" spans="1:15">
      <c r="A94" s="1" t="s">
        <v>84</v>
      </c>
      <c r="B94" s="11"/>
      <c r="C94" s="11">
        <v>3800000</v>
      </c>
      <c r="D94" s="11">
        <v>3800000</v>
      </c>
      <c r="E94" s="11">
        <v>0</v>
      </c>
      <c r="F94" s="11">
        <f t="shared" si="10"/>
        <v>0</v>
      </c>
      <c r="G94" s="17">
        <f t="shared" si="13"/>
        <v>42.19</v>
      </c>
      <c r="H94" s="17">
        <f t="shared" si="14"/>
        <v>0</v>
      </c>
      <c r="I94" s="17">
        <f t="shared" si="15"/>
        <v>0</v>
      </c>
      <c r="J94" s="18">
        <f t="shared" si="16"/>
        <v>0</v>
      </c>
      <c r="K94" s="18">
        <f t="shared" si="17"/>
        <v>0</v>
      </c>
      <c r="L94" s="18">
        <f t="shared" si="11"/>
        <v>42.19</v>
      </c>
      <c r="M94" s="18">
        <f t="shared" si="18"/>
        <v>0</v>
      </c>
      <c r="N94" s="18">
        <f t="shared" si="12"/>
        <v>42.19</v>
      </c>
      <c r="O94" s="8"/>
    </row>
    <row r="95" spans="1:15">
      <c r="A95" s="1" t="s">
        <v>85</v>
      </c>
      <c r="B95" s="11"/>
      <c r="C95" s="11">
        <v>2146000</v>
      </c>
      <c r="D95" s="11">
        <v>2175000</v>
      </c>
      <c r="E95" s="11">
        <v>0</v>
      </c>
      <c r="F95" s="11">
        <f t="shared" si="10"/>
        <v>29000</v>
      </c>
      <c r="G95" s="17">
        <f t="shared" si="13"/>
        <v>42.19</v>
      </c>
      <c r="H95" s="17">
        <f t="shared" si="14"/>
        <v>23</v>
      </c>
      <c r="I95" s="17">
        <f t="shared" si="15"/>
        <v>24.03</v>
      </c>
      <c r="J95" s="18">
        <f t="shared" si="16"/>
        <v>0</v>
      </c>
      <c r="K95" s="18">
        <f t="shared" si="17"/>
        <v>0</v>
      </c>
      <c r="L95" s="18">
        <f t="shared" si="11"/>
        <v>89.22</v>
      </c>
      <c r="M95" s="18">
        <f t="shared" si="18"/>
        <v>0</v>
      </c>
      <c r="N95" s="18">
        <f t="shared" si="12"/>
        <v>89.22</v>
      </c>
      <c r="O95" s="8"/>
    </row>
    <row r="96" spans="1:15">
      <c r="A96" s="1" t="s">
        <v>86</v>
      </c>
      <c r="B96" s="11"/>
      <c r="C96" s="11">
        <v>1880000</v>
      </c>
      <c r="D96" s="11">
        <v>1888000</v>
      </c>
      <c r="E96" s="11">
        <v>0</v>
      </c>
      <c r="F96" s="11">
        <f t="shared" si="10"/>
        <v>8000</v>
      </c>
      <c r="G96" s="17">
        <f t="shared" si="13"/>
        <v>42.19</v>
      </c>
      <c r="H96" s="17">
        <f t="shared" si="14"/>
        <v>0</v>
      </c>
      <c r="I96" s="17">
        <f t="shared" si="15"/>
        <v>0</v>
      </c>
      <c r="J96" s="18">
        <f t="shared" si="16"/>
        <v>0</v>
      </c>
      <c r="K96" s="18">
        <f t="shared" si="17"/>
        <v>0</v>
      </c>
      <c r="L96" s="18">
        <f t="shared" si="11"/>
        <v>42.19</v>
      </c>
      <c r="M96" s="18">
        <f t="shared" si="18"/>
        <v>0</v>
      </c>
      <c r="N96" s="18">
        <f t="shared" si="12"/>
        <v>42.19</v>
      </c>
      <c r="O96" s="8"/>
    </row>
    <row r="97" spans="1:15">
      <c r="A97" s="1" t="s">
        <v>87</v>
      </c>
      <c r="B97" s="11" t="s">
        <v>138</v>
      </c>
      <c r="C97" s="11">
        <v>0</v>
      </c>
      <c r="D97" s="11">
        <v>0</v>
      </c>
      <c r="E97" s="11">
        <v>0</v>
      </c>
      <c r="F97" s="11">
        <f t="shared" si="10"/>
        <v>0</v>
      </c>
      <c r="G97" s="17">
        <f t="shared" si="13"/>
        <v>12.41</v>
      </c>
      <c r="H97" s="17">
        <f t="shared" si="14"/>
        <v>0</v>
      </c>
      <c r="I97" s="17">
        <f t="shared" si="15"/>
        <v>0</v>
      </c>
      <c r="J97" s="18">
        <f t="shared" si="16"/>
        <v>0</v>
      </c>
      <c r="K97" s="18">
        <f t="shared" si="17"/>
        <v>0</v>
      </c>
      <c r="L97" s="18">
        <f t="shared" si="11"/>
        <v>12.41</v>
      </c>
      <c r="M97" s="18">
        <f t="shared" si="18"/>
        <v>0</v>
      </c>
      <c r="N97" s="18">
        <f t="shared" si="12"/>
        <v>12.41</v>
      </c>
      <c r="O97" s="8"/>
    </row>
    <row r="98" spans="1:15">
      <c r="A98" s="1" t="s">
        <v>88</v>
      </c>
      <c r="B98" s="11"/>
      <c r="C98" s="11">
        <v>1282000</v>
      </c>
      <c r="D98" s="11">
        <v>1294000</v>
      </c>
      <c r="E98" s="11">
        <v>0</v>
      </c>
      <c r="F98" s="11">
        <f t="shared" si="10"/>
        <v>12000</v>
      </c>
      <c r="G98" s="17">
        <f t="shared" si="13"/>
        <v>42.19</v>
      </c>
      <c r="H98" s="17">
        <f t="shared" si="14"/>
        <v>4.5999999999999996</v>
      </c>
      <c r="I98" s="17">
        <f t="shared" si="15"/>
        <v>0</v>
      </c>
      <c r="J98" s="18">
        <f t="shared" si="16"/>
        <v>0</v>
      </c>
      <c r="K98" s="18">
        <f t="shared" si="17"/>
        <v>0</v>
      </c>
      <c r="L98" s="18">
        <f t="shared" si="11"/>
        <v>46.79</v>
      </c>
      <c r="M98" s="18">
        <f t="shared" si="18"/>
        <v>0</v>
      </c>
      <c r="N98" s="18">
        <f t="shared" si="12"/>
        <v>46.79</v>
      </c>
      <c r="O98" s="8"/>
    </row>
    <row r="99" spans="1:15">
      <c r="A99" s="1" t="s">
        <v>89</v>
      </c>
      <c r="B99" s="11"/>
      <c r="C99" s="11">
        <v>2510000</v>
      </c>
      <c r="D99" s="11">
        <v>2543000</v>
      </c>
      <c r="E99" s="11">
        <v>0</v>
      </c>
      <c r="F99" s="11">
        <f t="shared" si="10"/>
        <v>33000</v>
      </c>
      <c r="G99" s="17">
        <f t="shared" si="13"/>
        <v>42.19</v>
      </c>
      <c r="H99" s="17">
        <f t="shared" si="14"/>
        <v>23</v>
      </c>
      <c r="I99" s="17">
        <f t="shared" si="15"/>
        <v>26.7</v>
      </c>
      <c r="J99" s="18">
        <f t="shared" si="16"/>
        <v>9.3000000000000007</v>
      </c>
      <c r="K99" s="18">
        <f t="shared" si="17"/>
        <v>0</v>
      </c>
      <c r="L99" s="18">
        <f t="shared" si="11"/>
        <v>101.19</v>
      </c>
      <c r="M99" s="18">
        <f t="shared" si="18"/>
        <v>0</v>
      </c>
      <c r="N99" s="18">
        <f t="shared" si="12"/>
        <v>101.19</v>
      </c>
      <c r="O99" s="8"/>
    </row>
    <row r="100" spans="1:15">
      <c r="A100" s="1" t="s">
        <v>90</v>
      </c>
      <c r="B100" s="11"/>
      <c r="C100" s="11">
        <v>1264000</v>
      </c>
      <c r="D100" s="11">
        <v>1269000</v>
      </c>
      <c r="E100" s="11">
        <v>0</v>
      </c>
      <c r="F100" s="11">
        <f t="shared" si="10"/>
        <v>5000</v>
      </c>
      <c r="G100" s="17">
        <f t="shared" si="13"/>
        <v>42.19</v>
      </c>
      <c r="H100" s="17">
        <f t="shared" si="14"/>
        <v>0</v>
      </c>
      <c r="I100" s="17">
        <f t="shared" si="15"/>
        <v>0</v>
      </c>
      <c r="J100" s="18">
        <f t="shared" si="16"/>
        <v>0</v>
      </c>
      <c r="K100" s="18">
        <f t="shared" si="17"/>
        <v>0</v>
      </c>
      <c r="L100" s="18">
        <f t="shared" si="11"/>
        <v>42.19</v>
      </c>
      <c r="M100" s="18">
        <f t="shared" si="18"/>
        <v>0</v>
      </c>
      <c r="N100" s="18">
        <f t="shared" si="12"/>
        <v>42.19</v>
      </c>
      <c r="O100" s="8"/>
    </row>
    <row r="101" spans="1:15">
      <c r="A101" s="1" t="s">
        <v>91</v>
      </c>
      <c r="B101" s="11"/>
      <c r="C101" s="11">
        <v>272900</v>
      </c>
      <c r="D101" s="11">
        <v>277200</v>
      </c>
      <c r="E101" s="11">
        <v>0</v>
      </c>
      <c r="F101" s="11">
        <f t="shared" si="10"/>
        <v>4300</v>
      </c>
      <c r="G101" s="17">
        <f t="shared" si="13"/>
        <v>42.19</v>
      </c>
      <c r="H101" s="17">
        <f t="shared" si="14"/>
        <v>0</v>
      </c>
      <c r="I101" s="17">
        <f t="shared" si="15"/>
        <v>0</v>
      </c>
      <c r="J101" s="18">
        <f t="shared" si="16"/>
        <v>0</v>
      </c>
      <c r="K101" s="18">
        <f t="shared" si="17"/>
        <v>0</v>
      </c>
      <c r="L101" s="18">
        <f t="shared" si="11"/>
        <v>42.19</v>
      </c>
      <c r="M101" s="18">
        <f t="shared" si="18"/>
        <v>0</v>
      </c>
      <c r="N101" s="18">
        <f t="shared" si="12"/>
        <v>42.19</v>
      </c>
      <c r="O101" s="8"/>
    </row>
    <row r="102" spans="1:15">
      <c r="A102" s="1" t="s">
        <v>92</v>
      </c>
      <c r="B102" s="11"/>
      <c r="C102" s="11">
        <v>2567000</v>
      </c>
      <c r="D102" s="11">
        <v>2574000</v>
      </c>
      <c r="E102" s="11">
        <v>0</v>
      </c>
      <c r="F102" s="11">
        <f t="shared" si="10"/>
        <v>7000</v>
      </c>
      <c r="G102" s="17">
        <f t="shared" si="13"/>
        <v>42.19</v>
      </c>
      <c r="H102" s="17">
        <f t="shared" si="14"/>
        <v>0</v>
      </c>
      <c r="I102" s="17">
        <f t="shared" si="15"/>
        <v>0</v>
      </c>
      <c r="J102" s="18">
        <f t="shared" si="16"/>
        <v>0</v>
      </c>
      <c r="K102" s="18">
        <f t="shared" si="17"/>
        <v>0</v>
      </c>
      <c r="L102" s="18">
        <f t="shared" si="11"/>
        <v>42.19</v>
      </c>
      <c r="M102" s="18">
        <f t="shared" si="18"/>
        <v>0</v>
      </c>
      <c r="N102" s="18">
        <f t="shared" si="12"/>
        <v>42.19</v>
      </c>
      <c r="O102" s="8"/>
    </row>
    <row r="103" spans="1:15">
      <c r="A103" s="1" t="s">
        <v>93</v>
      </c>
      <c r="B103" s="11" t="s">
        <v>138</v>
      </c>
      <c r="C103" s="11">
        <v>0</v>
      </c>
      <c r="D103" s="11">
        <v>0</v>
      </c>
      <c r="E103" s="11">
        <v>0</v>
      </c>
      <c r="F103" s="11">
        <f t="shared" si="10"/>
        <v>0</v>
      </c>
      <c r="G103" s="17">
        <f t="shared" si="13"/>
        <v>12.41</v>
      </c>
      <c r="H103" s="17">
        <f t="shared" si="14"/>
        <v>0</v>
      </c>
      <c r="I103" s="17">
        <f t="shared" si="15"/>
        <v>0</v>
      </c>
      <c r="J103" s="18">
        <f t="shared" si="16"/>
        <v>0</v>
      </c>
      <c r="K103" s="18">
        <f t="shared" si="17"/>
        <v>0</v>
      </c>
      <c r="L103" s="18">
        <f t="shared" si="11"/>
        <v>12.41</v>
      </c>
      <c r="M103" s="18">
        <f t="shared" si="18"/>
        <v>0</v>
      </c>
      <c r="N103" s="18">
        <f t="shared" si="12"/>
        <v>12.41</v>
      </c>
      <c r="O103" s="8"/>
    </row>
    <row r="104" spans="1:15">
      <c r="A104" s="1" t="s">
        <v>94</v>
      </c>
      <c r="B104" s="11" t="s">
        <v>138</v>
      </c>
      <c r="C104" s="11">
        <v>0</v>
      </c>
      <c r="D104" s="11">
        <v>0</v>
      </c>
      <c r="E104" s="11">
        <v>0</v>
      </c>
      <c r="F104" s="11">
        <f t="shared" si="10"/>
        <v>0</v>
      </c>
      <c r="G104" s="17">
        <f t="shared" si="13"/>
        <v>12.41</v>
      </c>
      <c r="H104" s="17">
        <f t="shared" si="14"/>
        <v>0</v>
      </c>
      <c r="I104" s="17">
        <f t="shared" si="15"/>
        <v>0</v>
      </c>
      <c r="J104" s="18">
        <f t="shared" si="16"/>
        <v>0</v>
      </c>
      <c r="K104" s="18">
        <f t="shared" si="17"/>
        <v>0</v>
      </c>
      <c r="L104" s="18">
        <f t="shared" si="11"/>
        <v>12.41</v>
      </c>
      <c r="M104" s="18">
        <f t="shared" si="18"/>
        <v>0</v>
      </c>
      <c r="N104" s="18">
        <f t="shared" si="12"/>
        <v>12.41</v>
      </c>
      <c r="O104" s="8"/>
    </row>
    <row r="105" spans="1:15">
      <c r="A105" s="1" t="s">
        <v>95</v>
      </c>
      <c r="B105" s="11" t="s">
        <v>138</v>
      </c>
      <c r="C105" s="11">
        <v>0</v>
      </c>
      <c r="D105" s="11">
        <v>0</v>
      </c>
      <c r="E105" s="11">
        <v>0</v>
      </c>
      <c r="F105" s="11">
        <f t="shared" si="10"/>
        <v>0</v>
      </c>
      <c r="G105" s="17">
        <f t="shared" si="13"/>
        <v>12.41</v>
      </c>
      <c r="H105" s="17">
        <f t="shared" si="14"/>
        <v>0</v>
      </c>
      <c r="I105" s="17">
        <f t="shared" si="15"/>
        <v>0</v>
      </c>
      <c r="J105" s="18">
        <f t="shared" si="16"/>
        <v>0</v>
      </c>
      <c r="K105" s="18">
        <f t="shared" si="17"/>
        <v>0</v>
      </c>
      <c r="L105" s="18">
        <f t="shared" si="11"/>
        <v>12.41</v>
      </c>
      <c r="M105" s="18">
        <f t="shared" si="18"/>
        <v>0</v>
      </c>
      <c r="N105" s="18">
        <f t="shared" si="12"/>
        <v>12.41</v>
      </c>
      <c r="O105" s="8"/>
    </row>
    <row r="106" spans="1:15">
      <c r="A106" s="1" t="s">
        <v>96</v>
      </c>
      <c r="B106" s="11"/>
      <c r="C106" s="11">
        <v>1929000</v>
      </c>
      <c r="D106" s="11">
        <v>1942000</v>
      </c>
      <c r="E106" s="11">
        <v>0</v>
      </c>
      <c r="F106" s="11">
        <f t="shared" si="10"/>
        <v>13000</v>
      </c>
      <c r="G106" s="17">
        <f t="shared" si="13"/>
        <v>42.19</v>
      </c>
      <c r="H106" s="17">
        <f t="shared" si="14"/>
        <v>6.8999999999999995</v>
      </c>
      <c r="I106" s="17">
        <f t="shared" si="15"/>
        <v>0</v>
      </c>
      <c r="J106" s="18">
        <f t="shared" si="16"/>
        <v>0</v>
      </c>
      <c r="K106" s="18">
        <f t="shared" si="17"/>
        <v>0</v>
      </c>
      <c r="L106" s="18">
        <f t="shared" si="11"/>
        <v>49.089999999999996</v>
      </c>
      <c r="M106" s="18">
        <f t="shared" si="18"/>
        <v>0</v>
      </c>
      <c r="N106" s="18">
        <f t="shared" si="12"/>
        <v>49.089999999999996</v>
      </c>
      <c r="O106" s="8"/>
    </row>
    <row r="107" spans="1:15">
      <c r="A107" s="1" t="s">
        <v>97</v>
      </c>
      <c r="B107" s="11" t="s">
        <v>138</v>
      </c>
      <c r="C107" s="11">
        <v>0</v>
      </c>
      <c r="D107" s="11">
        <v>0</v>
      </c>
      <c r="E107" s="11">
        <v>0</v>
      </c>
      <c r="F107" s="11">
        <f t="shared" si="10"/>
        <v>0</v>
      </c>
      <c r="G107" s="17">
        <f t="shared" si="13"/>
        <v>12.41</v>
      </c>
      <c r="H107" s="17">
        <f t="shared" si="14"/>
        <v>0</v>
      </c>
      <c r="I107" s="17">
        <f t="shared" si="15"/>
        <v>0</v>
      </c>
      <c r="J107" s="18">
        <f t="shared" si="16"/>
        <v>0</v>
      </c>
      <c r="K107" s="18">
        <f t="shared" si="17"/>
        <v>0</v>
      </c>
      <c r="L107" s="18">
        <f t="shared" si="11"/>
        <v>12.41</v>
      </c>
      <c r="M107" s="18">
        <f t="shared" si="18"/>
        <v>0</v>
      </c>
      <c r="N107" s="18">
        <f t="shared" si="12"/>
        <v>12.41</v>
      </c>
      <c r="O107" s="8"/>
    </row>
    <row r="108" spans="1:15">
      <c r="A108" s="1" t="s">
        <v>98</v>
      </c>
      <c r="B108" s="11" t="s">
        <v>138</v>
      </c>
      <c r="C108" s="11">
        <v>0</v>
      </c>
      <c r="D108" s="11">
        <v>0</v>
      </c>
      <c r="E108" s="11">
        <v>0</v>
      </c>
      <c r="F108" s="11">
        <f t="shared" si="10"/>
        <v>0</v>
      </c>
      <c r="G108" s="17">
        <f t="shared" si="13"/>
        <v>12.41</v>
      </c>
      <c r="H108" s="17">
        <f t="shared" si="14"/>
        <v>0</v>
      </c>
      <c r="I108" s="17">
        <f t="shared" si="15"/>
        <v>0</v>
      </c>
      <c r="J108" s="18">
        <f t="shared" si="16"/>
        <v>0</v>
      </c>
      <c r="K108" s="18">
        <f t="shared" si="17"/>
        <v>0</v>
      </c>
      <c r="L108" s="18">
        <f t="shared" si="11"/>
        <v>12.41</v>
      </c>
      <c r="M108" s="18">
        <f t="shared" si="18"/>
        <v>0</v>
      </c>
      <c r="N108" s="18">
        <f t="shared" si="12"/>
        <v>12.41</v>
      </c>
      <c r="O108" s="8"/>
    </row>
    <row r="109" spans="1:15">
      <c r="A109" s="1" t="s">
        <v>99</v>
      </c>
      <c r="B109" s="11"/>
      <c r="C109" s="11">
        <v>1680000</v>
      </c>
      <c r="D109" s="11">
        <v>1680000</v>
      </c>
      <c r="E109" s="11">
        <v>0</v>
      </c>
      <c r="F109" s="11">
        <f t="shared" si="10"/>
        <v>0</v>
      </c>
      <c r="G109" s="17">
        <f t="shared" si="13"/>
        <v>42.19</v>
      </c>
      <c r="H109" s="17">
        <f t="shared" si="14"/>
        <v>0</v>
      </c>
      <c r="I109" s="17">
        <f t="shared" si="15"/>
        <v>0</v>
      </c>
      <c r="J109" s="18">
        <f t="shared" si="16"/>
        <v>0</v>
      </c>
      <c r="K109" s="18">
        <f t="shared" si="17"/>
        <v>0</v>
      </c>
      <c r="L109" s="18">
        <f t="shared" si="11"/>
        <v>42.19</v>
      </c>
      <c r="M109" s="18">
        <f t="shared" si="18"/>
        <v>0</v>
      </c>
      <c r="N109" s="18">
        <f t="shared" si="12"/>
        <v>42.19</v>
      </c>
      <c r="O109" s="8"/>
    </row>
    <row r="110" spans="1:15">
      <c r="A110" s="37" t="s">
        <v>100</v>
      </c>
      <c r="B110" s="38"/>
      <c r="C110" s="38">
        <v>546000</v>
      </c>
      <c r="D110" s="38">
        <v>546000</v>
      </c>
      <c r="E110" s="38">
        <v>0</v>
      </c>
      <c r="F110" s="38">
        <f t="shared" si="10"/>
        <v>0</v>
      </c>
      <c r="G110" s="39">
        <f t="shared" si="13"/>
        <v>42.19</v>
      </c>
      <c r="H110" s="39">
        <f t="shared" si="14"/>
        <v>0</v>
      </c>
      <c r="I110" s="39">
        <f t="shared" si="15"/>
        <v>0</v>
      </c>
      <c r="J110" s="40">
        <f t="shared" si="16"/>
        <v>0</v>
      </c>
      <c r="K110" s="40">
        <f t="shared" si="17"/>
        <v>0</v>
      </c>
      <c r="L110" s="40">
        <f t="shared" si="11"/>
        <v>42.19</v>
      </c>
      <c r="M110" s="40">
        <f t="shared" si="18"/>
        <v>0</v>
      </c>
      <c r="N110" s="40">
        <f t="shared" si="12"/>
        <v>42.19</v>
      </c>
      <c r="O110" s="41" t="s">
        <v>184</v>
      </c>
    </row>
    <row r="111" spans="1:15">
      <c r="A111" s="1" t="s">
        <v>101</v>
      </c>
      <c r="B111" s="11"/>
      <c r="C111" s="11">
        <v>4650000</v>
      </c>
      <c r="D111" s="11">
        <v>4667000</v>
      </c>
      <c r="E111" s="11">
        <v>0</v>
      </c>
      <c r="F111" s="11">
        <f t="shared" si="10"/>
        <v>17000</v>
      </c>
      <c r="G111" s="17">
        <f t="shared" si="13"/>
        <v>42.19</v>
      </c>
      <c r="H111" s="17">
        <f t="shared" si="14"/>
        <v>16.099999999999998</v>
      </c>
      <c r="I111" s="17">
        <f t="shared" si="15"/>
        <v>0</v>
      </c>
      <c r="J111" s="18">
        <f t="shared" si="16"/>
        <v>0</v>
      </c>
      <c r="K111" s="18">
        <f t="shared" si="17"/>
        <v>0</v>
      </c>
      <c r="L111" s="18">
        <f t="shared" si="11"/>
        <v>58.289999999999992</v>
      </c>
      <c r="M111" s="18">
        <f t="shared" si="18"/>
        <v>0</v>
      </c>
      <c r="N111" s="18">
        <f t="shared" si="12"/>
        <v>58.289999999999992</v>
      </c>
      <c r="O111" s="8"/>
    </row>
    <row r="112" spans="1:15">
      <c r="A112" s="1" t="s">
        <v>102</v>
      </c>
      <c r="B112" s="11" t="s">
        <v>138</v>
      </c>
      <c r="C112" s="11">
        <v>0</v>
      </c>
      <c r="D112" s="11">
        <v>0</v>
      </c>
      <c r="E112" s="11">
        <v>0</v>
      </c>
      <c r="F112" s="11">
        <f t="shared" si="10"/>
        <v>0</v>
      </c>
      <c r="G112" s="17">
        <f t="shared" si="13"/>
        <v>12.41</v>
      </c>
      <c r="H112" s="17">
        <f t="shared" si="14"/>
        <v>0</v>
      </c>
      <c r="I112" s="17">
        <f t="shared" si="15"/>
        <v>0</v>
      </c>
      <c r="J112" s="18">
        <f t="shared" si="16"/>
        <v>0</v>
      </c>
      <c r="K112" s="18">
        <f t="shared" si="17"/>
        <v>0</v>
      </c>
      <c r="L112" s="18">
        <f t="shared" si="11"/>
        <v>12.41</v>
      </c>
      <c r="M112" s="18">
        <f t="shared" si="18"/>
        <v>0</v>
      </c>
      <c r="N112" s="18">
        <f t="shared" si="12"/>
        <v>12.41</v>
      </c>
      <c r="O112" s="8"/>
    </row>
    <row r="113" spans="1:15">
      <c r="A113" s="1" t="s">
        <v>103</v>
      </c>
      <c r="B113" s="11"/>
      <c r="C113" s="11">
        <v>1431000</v>
      </c>
      <c r="D113" s="11">
        <v>1472000</v>
      </c>
      <c r="E113" s="11">
        <v>0</v>
      </c>
      <c r="F113" s="11">
        <f t="shared" si="10"/>
        <v>41000</v>
      </c>
      <c r="G113" s="17">
        <f t="shared" si="13"/>
        <v>42.19</v>
      </c>
      <c r="H113" s="17">
        <f t="shared" si="14"/>
        <v>23</v>
      </c>
      <c r="I113" s="17">
        <f t="shared" si="15"/>
        <v>26.7</v>
      </c>
      <c r="J113" s="18">
        <f t="shared" si="16"/>
        <v>31</v>
      </c>
      <c r="K113" s="18">
        <f t="shared" si="17"/>
        <v>3.6</v>
      </c>
      <c r="L113" s="18">
        <f t="shared" si="11"/>
        <v>126.49</v>
      </c>
      <c r="M113" s="18">
        <f t="shared" ref="M113:M136" si="19">IF(   $H$5=1,    IF((F113-$H$6)&gt;0,((F113-$H$6)/$R$7)*$E$8,0),   IF(F113&gt;0,(F113/$R$4)*$E$8,0)    )</f>
        <v>0</v>
      </c>
      <c r="N113" s="18">
        <f t="shared" si="12"/>
        <v>126.49</v>
      </c>
      <c r="O113" s="8"/>
    </row>
    <row r="114" spans="1:15">
      <c r="A114" s="1" t="s">
        <v>104</v>
      </c>
      <c r="B114" s="11" t="s">
        <v>138</v>
      </c>
      <c r="C114" s="11">
        <v>0</v>
      </c>
      <c r="D114" s="11">
        <v>0</v>
      </c>
      <c r="E114" s="11">
        <v>0</v>
      </c>
      <c r="F114" s="11">
        <f t="shared" si="10"/>
        <v>0</v>
      </c>
      <c r="G114" s="17">
        <f t="shared" si="13"/>
        <v>12.41</v>
      </c>
      <c r="H114" s="17">
        <f t="shared" si="14"/>
        <v>0</v>
      </c>
      <c r="I114" s="17">
        <f t="shared" si="15"/>
        <v>0</v>
      </c>
      <c r="J114" s="18">
        <f t="shared" si="16"/>
        <v>0</v>
      </c>
      <c r="K114" s="18">
        <f t="shared" si="17"/>
        <v>0</v>
      </c>
      <c r="L114" s="18">
        <f t="shared" si="11"/>
        <v>12.41</v>
      </c>
      <c r="M114" s="18">
        <f t="shared" si="19"/>
        <v>0</v>
      </c>
      <c r="N114" s="18">
        <f t="shared" si="12"/>
        <v>12.41</v>
      </c>
      <c r="O114" s="8"/>
    </row>
    <row r="115" spans="1:15">
      <c r="A115" s="1" t="s">
        <v>105</v>
      </c>
      <c r="B115" s="11"/>
      <c r="C115" s="11">
        <v>1660000</v>
      </c>
      <c r="D115" s="11">
        <v>1724000</v>
      </c>
      <c r="E115" s="11">
        <v>0</v>
      </c>
      <c r="F115" s="11">
        <f t="shared" si="10"/>
        <v>64000</v>
      </c>
      <c r="G115" s="17">
        <f t="shared" si="13"/>
        <v>42.19</v>
      </c>
      <c r="H115" s="17">
        <f t="shared" si="14"/>
        <v>23</v>
      </c>
      <c r="I115" s="17">
        <f t="shared" si="15"/>
        <v>26.7</v>
      </c>
      <c r="J115" s="18">
        <f t="shared" si="16"/>
        <v>31</v>
      </c>
      <c r="K115" s="18">
        <f t="shared" si="17"/>
        <v>86.4</v>
      </c>
      <c r="L115" s="18">
        <f t="shared" si="11"/>
        <v>209.29000000000002</v>
      </c>
      <c r="M115" s="18">
        <f t="shared" si="19"/>
        <v>0</v>
      </c>
      <c r="N115" s="18">
        <f t="shared" si="12"/>
        <v>209.29000000000002</v>
      </c>
      <c r="O115" s="8"/>
    </row>
    <row r="116" spans="1:15">
      <c r="A116" s="1" t="s">
        <v>106</v>
      </c>
      <c r="B116" s="11"/>
      <c r="C116" s="11">
        <v>1803000</v>
      </c>
      <c r="D116" s="11">
        <v>1805000</v>
      </c>
      <c r="E116" s="11">
        <v>0</v>
      </c>
      <c r="F116" s="11">
        <f t="shared" si="10"/>
        <v>2000</v>
      </c>
      <c r="G116" s="17">
        <f t="shared" si="13"/>
        <v>42.19</v>
      </c>
      <c r="H116" s="17">
        <f t="shared" si="14"/>
        <v>0</v>
      </c>
      <c r="I116" s="17">
        <f t="shared" si="15"/>
        <v>0</v>
      </c>
      <c r="J116" s="18">
        <f t="shared" si="16"/>
        <v>0</v>
      </c>
      <c r="K116" s="18">
        <f t="shared" si="17"/>
        <v>0</v>
      </c>
      <c r="L116" s="18">
        <f t="shared" si="11"/>
        <v>42.19</v>
      </c>
      <c r="M116" s="18">
        <f t="shared" si="19"/>
        <v>0</v>
      </c>
      <c r="N116" s="18">
        <f t="shared" si="12"/>
        <v>42.19</v>
      </c>
      <c r="O116" s="8"/>
    </row>
    <row r="117" spans="1:15">
      <c r="A117" s="1" t="s">
        <v>107</v>
      </c>
      <c r="B117" s="11"/>
      <c r="C117" s="11">
        <v>338000</v>
      </c>
      <c r="D117" s="11">
        <v>340000</v>
      </c>
      <c r="E117" s="11">
        <v>0</v>
      </c>
      <c r="F117" s="11">
        <f t="shared" si="10"/>
        <v>2000</v>
      </c>
      <c r="G117" s="17">
        <f t="shared" si="13"/>
        <v>42.19</v>
      </c>
      <c r="H117" s="17">
        <f t="shared" si="14"/>
        <v>0</v>
      </c>
      <c r="I117" s="17">
        <f t="shared" si="15"/>
        <v>0</v>
      </c>
      <c r="J117" s="18">
        <f t="shared" si="16"/>
        <v>0</v>
      </c>
      <c r="K117" s="18">
        <f t="shared" si="17"/>
        <v>0</v>
      </c>
      <c r="L117" s="18">
        <f t="shared" si="11"/>
        <v>42.19</v>
      </c>
      <c r="M117" s="18">
        <f t="shared" si="19"/>
        <v>0</v>
      </c>
      <c r="N117" s="18">
        <f t="shared" si="12"/>
        <v>42.19</v>
      </c>
      <c r="O117" s="8"/>
    </row>
    <row r="118" spans="1:15">
      <c r="A118" s="1" t="s">
        <v>108</v>
      </c>
      <c r="B118" s="11"/>
      <c r="C118" s="11">
        <v>2732000</v>
      </c>
      <c r="D118" s="11">
        <v>2745000</v>
      </c>
      <c r="E118" s="11">
        <v>0</v>
      </c>
      <c r="F118" s="11">
        <f t="shared" si="10"/>
        <v>13000</v>
      </c>
      <c r="G118" s="17">
        <f t="shared" si="13"/>
        <v>42.19</v>
      </c>
      <c r="H118" s="17">
        <f t="shared" si="14"/>
        <v>6.8999999999999995</v>
      </c>
      <c r="I118" s="17">
        <f t="shared" si="15"/>
        <v>0</v>
      </c>
      <c r="J118" s="18">
        <f t="shared" si="16"/>
        <v>0</v>
      </c>
      <c r="K118" s="18">
        <f t="shared" si="17"/>
        <v>0</v>
      </c>
      <c r="L118" s="18">
        <f t="shared" si="11"/>
        <v>49.089999999999996</v>
      </c>
      <c r="M118" s="18">
        <f t="shared" si="19"/>
        <v>0</v>
      </c>
      <c r="N118" s="18">
        <f t="shared" si="12"/>
        <v>49.089999999999996</v>
      </c>
      <c r="O118" s="8"/>
    </row>
    <row r="119" spans="1:15">
      <c r="A119" s="1" t="s">
        <v>109</v>
      </c>
      <c r="B119" s="11" t="s">
        <v>138</v>
      </c>
      <c r="C119" s="11">
        <v>0</v>
      </c>
      <c r="D119" s="11">
        <v>0</v>
      </c>
      <c r="E119" s="11">
        <v>0</v>
      </c>
      <c r="F119" s="11">
        <f t="shared" si="10"/>
        <v>0</v>
      </c>
      <c r="G119" s="17">
        <f t="shared" si="13"/>
        <v>12.41</v>
      </c>
      <c r="H119" s="17">
        <f t="shared" si="14"/>
        <v>0</v>
      </c>
      <c r="I119" s="17">
        <f t="shared" si="15"/>
        <v>0</v>
      </c>
      <c r="J119" s="18">
        <f t="shared" si="16"/>
        <v>0</v>
      </c>
      <c r="K119" s="18">
        <f t="shared" si="17"/>
        <v>0</v>
      </c>
      <c r="L119" s="18">
        <f t="shared" si="11"/>
        <v>12.41</v>
      </c>
      <c r="M119" s="18">
        <f t="shared" si="19"/>
        <v>0</v>
      </c>
      <c r="N119" s="18">
        <f t="shared" si="12"/>
        <v>12.41</v>
      </c>
      <c r="O119" s="8"/>
    </row>
    <row r="120" spans="1:15">
      <c r="A120" s="1" t="s">
        <v>110</v>
      </c>
      <c r="B120" s="11"/>
      <c r="C120" s="11">
        <v>3881000</v>
      </c>
      <c r="D120" s="11">
        <v>3889000</v>
      </c>
      <c r="E120" s="11">
        <v>0</v>
      </c>
      <c r="F120" s="11">
        <f t="shared" si="10"/>
        <v>8000</v>
      </c>
      <c r="G120" s="17">
        <f t="shared" si="13"/>
        <v>42.19</v>
      </c>
      <c r="H120" s="17">
        <f t="shared" si="14"/>
        <v>0</v>
      </c>
      <c r="I120" s="17">
        <f t="shared" si="15"/>
        <v>0</v>
      </c>
      <c r="J120" s="18">
        <f t="shared" si="16"/>
        <v>0</v>
      </c>
      <c r="K120" s="18">
        <f t="shared" si="17"/>
        <v>0</v>
      </c>
      <c r="L120" s="18">
        <f t="shared" si="11"/>
        <v>42.19</v>
      </c>
      <c r="M120" s="18">
        <f t="shared" si="19"/>
        <v>0</v>
      </c>
      <c r="N120" s="18">
        <f t="shared" si="12"/>
        <v>42.19</v>
      </c>
      <c r="O120" s="8"/>
    </row>
    <row r="121" spans="1:15">
      <c r="A121" s="1" t="s">
        <v>111</v>
      </c>
      <c r="B121" s="11"/>
      <c r="C121" s="11">
        <v>3696000</v>
      </c>
      <c r="D121" s="11">
        <v>3755000</v>
      </c>
      <c r="E121" s="11">
        <v>0</v>
      </c>
      <c r="F121" s="11">
        <f t="shared" si="10"/>
        <v>59000</v>
      </c>
      <c r="G121" s="17">
        <f t="shared" si="13"/>
        <v>42.19</v>
      </c>
      <c r="H121" s="17">
        <f t="shared" si="14"/>
        <v>23</v>
      </c>
      <c r="I121" s="17">
        <f t="shared" si="15"/>
        <v>26.7</v>
      </c>
      <c r="J121" s="18">
        <f t="shared" si="16"/>
        <v>31</v>
      </c>
      <c r="K121" s="18">
        <f t="shared" si="17"/>
        <v>68.400000000000006</v>
      </c>
      <c r="L121" s="18">
        <f t="shared" si="11"/>
        <v>191.29000000000002</v>
      </c>
      <c r="M121" s="18">
        <f t="shared" si="19"/>
        <v>0</v>
      </c>
      <c r="N121" s="18">
        <f t="shared" si="12"/>
        <v>191.29000000000002</v>
      </c>
      <c r="O121" s="8"/>
    </row>
    <row r="122" spans="1:15">
      <c r="A122" s="1" t="s">
        <v>112</v>
      </c>
      <c r="B122" s="11"/>
      <c r="C122" s="11">
        <v>362000</v>
      </c>
      <c r="D122" s="11">
        <v>363000</v>
      </c>
      <c r="E122" s="11">
        <v>0</v>
      </c>
      <c r="F122" s="11">
        <f t="shared" si="10"/>
        <v>1000</v>
      </c>
      <c r="G122" s="17">
        <f t="shared" si="13"/>
        <v>42.19</v>
      </c>
      <c r="H122" s="17">
        <f t="shared" si="14"/>
        <v>0</v>
      </c>
      <c r="I122" s="17">
        <f t="shared" si="15"/>
        <v>0</v>
      </c>
      <c r="J122" s="18">
        <f t="shared" si="16"/>
        <v>0</v>
      </c>
      <c r="K122" s="18">
        <f t="shared" si="17"/>
        <v>0</v>
      </c>
      <c r="L122" s="18">
        <f t="shared" si="11"/>
        <v>42.19</v>
      </c>
      <c r="M122" s="18">
        <f t="shared" si="19"/>
        <v>0</v>
      </c>
      <c r="N122" s="18">
        <f t="shared" si="12"/>
        <v>42.19</v>
      </c>
      <c r="O122" s="8"/>
    </row>
    <row r="123" spans="1:15">
      <c r="A123" s="1" t="s">
        <v>113</v>
      </c>
      <c r="B123" s="11"/>
      <c r="C123" s="11">
        <v>1582000</v>
      </c>
      <c r="D123" s="11">
        <v>1609000</v>
      </c>
      <c r="E123" s="11">
        <v>0</v>
      </c>
      <c r="F123" s="11">
        <f t="shared" si="10"/>
        <v>27000</v>
      </c>
      <c r="G123" s="17">
        <f t="shared" si="13"/>
        <v>42.19</v>
      </c>
      <c r="H123" s="17">
        <f t="shared" si="14"/>
        <v>23</v>
      </c>
      <c r="I123" s="17">
        <f t="shared" si="15"/>
        <v>18.689999999999998</v>
      </c>
      <c r="J123" s="18">
        <f t="shared" si="16"/>
        <v>0</v>
      </c>
      <c r="K123" s="18">
        <f t="shared" si="17"/>
        <v>0</v>
      </c>
      <c r="L123" s="18">
        <f t="shared" si="11"/>
        <v>83.88</v>
      </c>
      <c r="M123" s="18">
        <f t="shared" si="19"/>
        <v>0</v>
      </c>
      <c r="N123" s="18">
        <f t="shared" si="12"/>
        <v>83.88</v>
      </c>
      <c r="O123" s="8"/>
    </row>
    <row r="124" spans="1:15">
      <c r="A124" s="1" t="s">
        <v>114</v>
      </c>
      <c r="B124" s="11"/>
      <c r="C124" s="11">
        <v>2655000</v>
      </c>
      <c r="D124" s="11">
        <v>2667000</v>
      </c>
      <c r="E124" s="11">
        <v>0</v>
      </c>
      <c r="F124" s="11">
        <f t="shared" si="10"/>
        <v>12000</v>
      </c>
      <c r="G124" s="17">
        <f t="shared" si="13"/>
        <v>42.19</v>
      </c>
      <c r="H124" s="17">
        <f t="shared" si="14"/>
        <v>4.5999999999999996</v>
      </c>
      <c r="I124" s="17">
        <f t="shared" si="15"/>
        <v>0</v>
      </c>
      <c r="J124" s="18">
        <f t="shared" si="16"/>
        <v>0</v>
      </c>
      <c r="K124" s="18">
        <f t="shared" si="17"/>
        <v>0</v>
      </c>
      <c r="L124" s="18">
        <f t="shared" si="11"/>
        <v>46.79</v>
      </c>
      <c r="M124" s="18">
        <f t="shared" si="19"/>
        <v>0</v>
      </c>
      <c r="N124" s="18">
        <f t="shared" si="12"/>
        <v>46.79</v>
      </c>
      <c r="O124" s="8"/>
    </row>
    <row r="125" spans="1:15">
      <c r="A125" s="1" t="s">
        <v>115</v>
      </c>
      <c r="B125" s="11"/>
      <c r="C125" s="11">
        <v>2606000</v>
      </c>
      <c r="D125" s="11">
        <v>2619000</v>
      </c>
      <c r="E125" s="11">
        <v>0</v>
      </c>
      <c r="F125" s="11">
        <f t="shared" si="10"/>
        <v>13000</v>
      </c>
      <c r="G125" s="17">
        <f t="shared" si="13"/>
        <v>42.19</v>
      </c>
      <c r="H125" s="17">
        <f t="shared" si="14"/>
        <v>6.8999999999999995</v>
      </c>
      <c r="I125" s="17">
        <f t="shared" si="15"/>
        <v>0</v>
      </c>
      <c r="J125" s="18">
        <f t="shared" si="16"/>
        <v>0</v>
      </c>
      <c r="K125" s="18">
        <f t="shared" si="17"/>
        <v>0</v>
      </c>
      <c r="L125" s="18">
        <f t="shared" si="11"/>
        <v>49.089999999999996</v>
      </c>
      <c r="M125" s="18">
        <f t="shared" si="19"/>
        <v>0</v>
      </c>
      <c r="N125" s="18">
        <f t="shared" si="12"/>
        <v>49.089999999999996</v>
      </c>
      <c r="O125" s="8"/>
    </row>
    <row r="126" spans="1:15">
      <c r="A126" s="1" t="s">
        <v>116</v>
      </c>
      <c r="B126" s="11"/>
      <c r="C126" s="11">
        <v>4279000</v>
      </c>
      <c r="D126" s="11">
        <v>4281000</v>
      </c>
      <c r="E126" s="11">
        <v>0</v>
      </c>
      <c r="F126" s="11">
        <f t="shared" si="10"/>
        <v>2000</v>
      </c>
      <c r="G126" s="17">
        <f t="shared" si="13"/>
        <v>42.19</v>
      </c>
      <c r="H126" s="17">
        <f t="shared" si="14"/>
        <v>0</v>
      </c>
      <c r="I126" s="17">
        <f t="shared" si="15"/>
        <v>0</v>
      </c>
      <c r="J126" s="18">
        <f t="shared" si="16"/>
        <v>0</v>
      </c>
      <c r="K126" s="18">
        <f t="shared" si="17"/>
        <v>0</v>
      </c>
      <c r="L126" s="18">
        <f t="shared" si="11"/>
        <v>42.19</v>
      </c>
      <c r="M126" s="18">
        <f t="shared" si="19"/>
        <v>0</v>
      </c>
      <c r="N126" s="18">
        <f t="shared" si="12"/>
        <v>42.19</v>
      </c>
      <c r="O126" s="8"/>
    </row>
    <row r="127" spans="1:15">
      <c r="A127" s="1" t="s">
        <v>117</v>
      </c>
      <c r="B127" s="11"/>
      <c r="C127" s="11">
        <v>1931000</v>
      </c>
      <c r="D127" s="11">
        <v>1935000</v>
      </c>
      <c r="E127" s="11">
        <v>0</v>
      </c>
      <c r="F127" s="11">
        <f t="shared" si="10"/>
        <v>4000</v>
      </c>
      <c r="G127" s="17">
        <f t="shared" si="13"/>
        <v>42.19</v>
      </c>
      <c r="H127" s="17">
        <f t="shared" si="14"/>
        <v>0</v>
      </c>
      <c r="I127" s="17">
        <f t="shared" si="15"/>
        <v>0</v>
      </c>
      <c r="J127" s="18">
        <f t="shared" si="16"/>
        <v>0</v>
      </c>
      <c r="K127" s="18">
        <f t="shared" si="17"/>
        <v>0</v>
      </c>
      <c r="L127" s="18">
        <f t="shared" si="11"/>
        <v>42.19</v>
      </c>
      <c r="M127" s="18">
        <f t="shared" si="19"/>
        <v>0</v>
      </c>
      <c r="N127" s="18">
        <f t="shared" si="12"/>
        <v>42.19</v>
      </c>
      <c r="O127" s="8"/>
    </row>
    <row r="128" spans="1:15">
      <c r="A128" s="1" t="s">
        <v>118</v>
      </c>
      <c r="B128" s="11"/>
      <c r="C128" s="11">
        <v>58000</v>
      </c>
      <c r="D128" s="11">
        <v>65000</v>
      </c>
      <c r="E128" s="11">
        <v>0</v>
      </c>
      <c r="F128" s="11">
        <f t="shared" si="10"/>
        <v>7000</v>
      </c>
      <c r="G128" s="17">
        <f t="shared" si="13"/>
        <v>42.19</v>
      </c>
      <c r="H128" s="17">
        <f t="shared" si="14"/>
        <v>0</v>
      </c>
      <c r="I128" s="17">
        <f t="shared" si="15"/>
        <v>0</v>
      </c>
      <c r="J128" s="18">
        <f t="shared" si="16"/>
        <v>0</v>
      </c>
      <c r="K128" s="18">
        <f t="shared" si="17"/>
        <v>0</v>
      </c>
      <c r="L128" s="18">
        <f t="shared" si="11"/>
        <v>42.19</v>
      </c>
      <c r="M128" s="18">
        <f t="shared" si="19"/>
        <v>0</v>
      </c>
      <c r="N128" s="18">
        <f t="shared" si="12"/>
        <v>42.19</v>
      </c>
      <c r="O128" s="8" t="s">
        <v>174</v>
      </c>
    </row>
    <row r="129" spans="1:15">
      <c r="A129" s="1" t="s">
        <v>119</v>
      </c>
      <c r="B129" s="11"/>
      <c r="C129" s="11">
        <v>7441000</v>
      </c>
      <c r="D129" s="11">
        <v>7563000</v>
      </c>
      <c r="E129" s="11">
        <v>0</v>
      </c>
      <c r="F129" s="11">
        <f t="shared" si="10"/>
        <v>122000</v>
      </c>
      <c r="G129" s="17">
        <f t="shared" si="13"/>
        <v>42.19</v>
      </c>
      <c r="H129" s="17">
        <f t="shared" si="14"/>
        <v>23</v>
      </c>
      <c r="I129" s="17">
        <f t="shared" si="15"/>
        <v>26.7</v>
      </c>
      <c r="J129" s="18">
        <f t="shared" si="16"/>
        <v>31</v>
      </c>
      <c r="K129" s="18">
        <f t="shared" si="17"/>
        <v>295.2</v>
      </c>
      <c r="L129" s="18">
        <f t="shared" si="11"/>
        <v>418.09</v>
      </c>
      <c r="M129" s="18">
        <f t="shared" si="19"/>
        <v>0</v>
      </c>
      <c r="N129" s="18">
        <f t="shared" si="12"/>
        <v>418.09</v>
      </c>
      <c r="O129" s="8"/>
    </row>
    <row r="130" spans="1:15">
      <c r="A130" s="1" t="s">
        <v>120</v>
      </c>
      <c r="B130" s="11"/>
      <c r="C130" s="11">
        <v>3763000</v>
      </c>
      <c r="D130" s="11">
        <v>3780000</v>
      </c>
      <c r="E130" s="11">
        <v>0</v>
      </c>
      <c r="F130" s="11">
        <f t="shared" si="10"/>
        <v>17000</v>
      </c>
      <c r="G130" s="17">
        <f t="shared" si="13"/>
        <v>42.19</v>
      </c>
      <c r="H130" s="17">
        <f t="shared" si="14"/>
        <v>16.099999999999998</v>
      </c>
      <c r="I130" s="17">
        <f t="shared" si="15"/>
        <v>0</v>
      </c>
      <c r="J130" s="18">
        <f t="shared" si="16"/>
        <v>0</v>
      </c>
      <c r="K130" s="18">
        <f t="shared" si="17"/>
        <v>0</v>
      </c>
      <c r="L130" s="18">
        <f t="shared" si="11"/>
        <v>58.289999999999992</v>
      </c>
      <c r="M130" s="18">
        <f t="shared" si="19"/>
        <v>0</v>
      </c>
      <c r="N130" s="18">
        <f t="shared" si="12"/>
        <v>58.289999999999992</v>
      </c>
      <c r="O130" s="8"/>
    </row>
    <row r="131" spans="1:15">
      <c r="A131" s="1" t="s">
        <v>121</v>
      </c>
      <c r="B131" s="11" t="s">
        <v>138</v>
      </c>
      <c r="C131" s="11">
        <v>0</v>
      </c>
      <c r="D131" s="11">
        <v>0</v>
      </c>
      <c r="E131" s="11">
        <v>0</v>
      </c>
      <c r="F131" s="11">
        <f t="shared" si="10"/>
        <v>0</v>
      </c>
      <c r="G131" s="17">
        <f t="shared" si="13"/>
        <v>12.41</v>
      </c>
      <c r="H131" s="17">
        <f t="shared" si="14"/>
        <v>0</v>
      </c>
      <c r="I131" s="17">
        <f t="shared" si="15"/>
        <v>0</v>
      </c>
      <c r="J131" s="18">
        <f t="shared" si="16"/>
        <v>0</v>
      </c>
      <c r="K131" s="18">
        <f t="shared" si="17"/>
        <v>0</v>
      </c>
      <c r="L131" s="18">
        <f t="shared" si="11"/>
        <v>12.41</v>
      </c>
      <c r="M131" s="18">
        <f t="shared" si="19"/>
        <v>0</v>
      </c>
      <c r="N131" s="18">
        <f t="shared" si="12"/>
        <v>12.41</v>
      </c>
      <c r="O131" s="8"/>
    </row>
    <row r="132" spans="1:15">
      <c r="A132" s="1" t="s">
        <v>122</v>
      </c>
      <c r="B132" s="11"/>
      <c r="C132" s="11">
        <v>1409000</v>
      </c>
      <c r="D132" s="11">
        <v>1429000</v>
      </c>
      <c r="E132" s="11">
        <v>0</v>
      </c>
      <c r="F132" s="11">
        <f t="shared" si="10"/>
        <v>20000</v>
      </c>
      <c r="G132" s="17">
        <f t="shared" si="13"/>
        <v>42.19</v>
      </c>
      <c r="H132" s="17">
        <f t="shared" si="14"/>
        <v>23</v>
      </c>
      <c r="I132" s="17">
        <f t="shared" si="15"/>
        <v>0</v>
      </c>
      <c r="J132" s="18">
        <f t="shared" si="16"/>
        <v>0</v>
      </c>
      <c r="K132" s="18">
        <f t="shared" si="17"/>
        <v>0</v>
      </c>
      <c r="L132" s="18">
        <f t="shared" si="11"/>
        <v>65.19</v>
      </c>
      <c r="M132" s="18">
        <f t="shared" si="19"/>
        <v>0</v>
      </c>
      <c r="N132" s="18">
        <f t="shared" si="12"/>
        <v>65.19</v>
      </c>
      <c r="O132" s="8"/>
    </row>
    <row r="133" spans="1:15">
      <c r="A133" s="1" t="s">
        <v>123</v>
      </c>
      <c r="B133" s="11" t="s">
        <v>138</v>
      </c>
      <c r="C133" s="11">
        <v>0</v>
      </c>
      <c r="D133" s="11">
        <v>0</v>
      </c>
      <c r="E133" s="11">
        <v>0</v>
      </c>
      <c r="F133" s="11">
        <f t="shared" si="10"/>
        <v>0</v>
      </c>
      <c r="G133" s="17">
        <f t="shared" si="13"/>
        <v>12.41</v>
      </c>
      <c r="H133" s="17">
        <f t="shared" si="14"/>
        <v>0</v>
      </c>
      <c r="I133" s="17">
        <f t="shared" si="15"/>
        <v>0</v>
      </c>
      <c r="J133" s="18">
        <f t="shared" si="16"/>
        <v>0</v>
      </c>
      <c r="K133" s="18">
        <f t="shared" si="17"/>
        <v>0</v>
      </c>
      <c r="L133" s="18">
        <f t="shared" si="11"/>
        <v>12.41</v>
      </c>
      <c r="M133" s="18">
        <f t="shared" si="19"/>
        <v>0</v>
      </c>
      <c r="N133" s="18">
        <f t="shared" si="12"/>
        <v>12.41</v>
      </c>
      <c r="O133" s="8"/>
    </row>
    <row r="134" spans="1:15">
      <c r="A134" s="1" t="s">
        <v>124</v>
      </c>
      <c r="B134" s="11" t="s">
        <v>138</v>
      </c>
      <c r="C134" s="11">
        <v>0</v>
      </c>
      <c r="D134" s="11">
        <v>0</v>
      </c>
      <c r="E134" s="11">
        <v>0</v>
      </c>
      <c r="F134" s="11">
        <f t="shared" si="10"/>
        <v>0</v>
      </c>
      <c r="G134" s="17">
        <f t="shared" si="13"/>
        <v>12.41</v>
      </c>
      <c r="H134" s="17">
        <f t="shared" si="14"/>
        <v>0</v>
      </c>
      <c r="I134" s="17">
        <f t="shared" si="15"/>
        <v>0</v>
      </c>
      <c r="J134" s="18">
        <f t="shared" si="16"/>
        <v>0</v>
      </c>
      <c r="K134" s="18">
        <f t="shared" si="17"/>
        <v>0</v>
      </c>
      <c r="L134" s="18">
        <f t="shared" si="11"/>
        <v>12.41</v>
      </c>
      <c r="M134" s="18">
        <f t="shared" si="19"/>
        <v>0</v>
      </c>
      <c r="N134" s="18">
        <f t="shared" si="12"/>
        <v>12.41</v>
      </c>
      <c r="O134" s="8"/>
    </row>
    <row r="135" spans="1:15">
      <c r="A135" s="1" t="s">
        <v>125</v>
      </c>
      <c r="B135" s="11" t="s">
        <v>138</v>
      </c>
      <c r="C135" s="11">
        <v>0</v>
      </c>
      <c r="D135" s="11">
        <v>0</v>
      </c>
      <c r="E135" s="11">
        <v>0</v>
      </c>
      <c r="F135" s="11">
        <f t="shared" si="10"/>
        <v>0</v>
      </c>
      <c r="G135" s="17">
        <f t="shared" si="13"/>
        <v>12.41</v>
      </c>
      <c r="H135" s="17">
        <f t="shared" si="14"/>
        <v>0</v>
      </c>
      <c r="I135" s="17">
        <f t="shared" si="15"/>
        <v>0</v>
      </c>
      <c r="J135" s="18">
        <f t="shared" si="16"/>
        <v>0</v>
      </c>
      <c r="K135" s="18">
        <f t="shared" si="17"/>
        <v>0</v>
      </c>
      <c r="L135" s="18">
        <f t="shared" si="11"/>
        <v>12.41</v>
      </c>
      <c r="M135" s="18">
        <f t="shared" si="19"/>
        <v>0</v>
      </c>
      <c r="N135" s="18">
        <f t="shared" si="12"/>
        <v>12.41</v>
      </c>
      <c r="O135" s="8"/>
    </row>
    <row r="136" spans="1:15">
      <c r="A136" s="1" t="s">
        <v>126</v>
      </c>
      <c r="B136" s="11"/>
      <c r="C136" s="11">
        <v>1334000</v>
      </c>
      <c r="D136" s="11">
        <v>1368000</v>
      </c>
      <c r="E136" s="11">
        <v>0</v>
      </c>
      <c r="F136" s="11">
        <f t="shared" si="10"/>
        <v>34000</v>
      </c>
      <c r="G136" s="17">
        <f t="shared" si="13"/>
        <v>42.19</v>
      </c>
      <c r="H136" s="17">
        <f t="shared" si="14"/>
        <v>23</v>
      </c>
      <c r="I136" s="17">
        <f t="shared" si="15"/>
        <v>26.7</v>
      </c>
      <c r="J136" s="18">
        <f t="shared" si="16"/>
        <v>12.4</v>
      </c>
      <c r="K136" s="18">
        <f t="shared" si="17"/>
        <v>0</v>
      </c>
      <c r="L136" s="18">
        <f t="shared" si="11"/>
        <v>104.29</v>
      </c>
      <c r="M136" s="18">
        <f t="shared" si="19"/>
        <v>0</v>
      </c>
      <c r="N136" s="18">
        <f t="shared" si="12"/>
        <v>104.29</v>
      </c>
      <c r="O136" s="8"/>
    </row>
    <row r="137" spans="1:15">
      <c r="B137" s="11"/>
      <c r="C137" s="11"/>
      <c r="D137" s="11"/>
      <c r="E137" s="11"/>
      <c r="F137" s="11"/>
      <c r="G137" s="17"/>
      <c r="H137" s="17"/>
      <c r="I137" s="17"/>
      <c r="J137" s="18"/>
      <c r="K137" s="18"/>
      <c r="L137" s="18"/>
      <c r="M137" s="18"/>
      <c r="N137" s="18"/>
      <c r="O137" s="8"/>
    </row>
    <row r="138" spans="1:15">
      <c r="J138" s="1" t="s">
        <v>136</v>
      </c>
      <c r="M138" s="27">
        <f>SUM(M11:M136)</f>
        <v>0</v>
      </c>
      <c r="N138" s="5">
        <f>SUM(N11:N136)</f>
        <v>9843.1899999999969</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2600300</v>
      </c>
      <c r="G140" s="75">
        <f t="shared" si="20"/>
        <v>4416.4499999999989</v>
      </c>
      <c r="H140" s="75">
        <f t="shared" si="20"/>
        <v>1096.92</v>
      </c>
      <c r="I140" s="75">
        <f t="shared" si="20"/>
        <v>923.82000000000039</v>
      </c>
      <c r="J140" s="75">
        <f t="shared" si="20"/>
        <v>756.4</v>
      </c>
      <c r="K140" s="75">
        <f t="shared" si="20"/>
        <v>2649.5999999999995</v>
      </c>
      <c r="L140" s="75">
        <f t="shared" si="20"/>
        <v>9843.1899999999969</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0</v>
      </c>
      <c r="G143" s="25">
        <f>SUM(G18:G130)-G145</f>
        <v>3459.5800000000027</v>
      </c>
      <c r="H143" s="80">
        <f>SUM(H18:H130)-H145</f>
        <v>982.10000000000014</v>
      </c>
      <c r="I143" s="25">
        <f>SUM(I18:I130)-I145</f>
        <v>843.72000000000025</v>
      </c>
      <c r="J143" s="25">
        <f>SUM(J18:J130)-J145</f>
        <v>682</v>
      </c>
      <c r="K143" s="25">
        <f>SUM(K18:K130)-K145</f>
        <v>1634.4000000000005</v>
      </c>
      <c r="L143" s="25">
        <f>SUM(F143:K143)</f>
        <v>7601.8000000000038</v>
      </c>
      <c r="M143" s="1"/>
    </row>
    <row r="144" spans="1:15" customFormat="1">
      <c r="A144" t="s">
        <v>255</v>
      </c>
      <c r="D144">
        <v>8</v>
      </c>
      <c r="E144" s="25">
        <f>SUM(M11:M15)+M17+SUM(M131:M136)</f>
        <v>0</v>
      </c>
      <c r="G144" s="34">
        <f>SUM(G11:G15)+G17+G132+G136</f>
        <v>337.52</v>
      </c>
      <c r="H144" s="34">
        <f>SUM(H11:H15)+H17+H132+H136</f>
        <v>98.9</v>
      </c>
      <c r="I144" s="34">
        <f>SUM(I11:I15)+I17+I132+I136</f>
        <v>80.099999999999994</v>
      </c>
      <c r="J144" s="34">
        <f>SUM(J11:J15)+J17+J132+J136</f>
        <v>74.400000000000006</v>
      </c>
      <c r="K144" s="34">
        <f>SUM(K11:K15)+K17+K132+K136</f>
        <v>1015.2</v>
      </c>
      <c r="L144" s="25">
        <f t="shared" ref="L144:L147" si="21">SUM(F144:K144)</f>
        <v>1606.12</v>
      </c>
      <c r="M144" s="1"/>
    </row>
    <row r="145" spans="1:13" customFormat="1">
      <c r="A145" t="s">
        <v>260</v>
      </c>
      <c r="D145">
        <v>31</v>
      </c>
      <c r="E145" s="25">
        <v>0</v>
      </c>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384.71000000000021</v>
      </c>
      <c r="M145" s="1"/>
    </row>
    <row r="146" spans="1:13" customFormat="1">
      <c r="A146" t="s">
        <v>261</v>
      </c>
      <c r="D146">
        <v>4</v>
      </c>
      <c r="E146" s="25">
        <v>0</v>
      </c>
      <c r="G146" s="25">
        <f>G135+G134+G133+G131</f>
        <v>49.64</v>
      </c>
      <c r="H146" s="25">
        <f>H135+H134+H133+H131</f>
        <v>0</v>
      </c>
      <c r="I146" s="25">
        <f>I135+I134+I133+I131</f>
        <v>0</v>
      </c>
      <c r="J146" s="25">
        <f>J135+J134+J133+J131</f>
        <v>0</v>
      </c>
      <c r="K146" s="25">
        <f>K135+K134+K133+K131</f>
        <v>0</v>
      </c>
      <c r="L146" s="25">
        <f t="shared" si="21"/>
        <v>49.64</v>
      </c>
      <c r="M146" s="1"/>
    </row>
    <row r="147" spans="1:13" customFormat="1">
      <c r="A147" t="s">
        <v>253</v>
      </c>
      <c r="D147">
        <v>1</v>
      </c>
      <c r="E147" s="25">
        <f>M16</f>
        <v>0</v>
      </c>
      <c r="G147" s="25">
        <f>G16</f>
        <v>185</v>
      </c>
      <c r="H147" s="25">
        <f>H16</f>
        <v>15.92</v>
      </c>
      <c r="I147" s="25">
        <f>I16</f>
        <v>0</v>
      </c>
      <c r="J147" s="25">
        <f>J16</f>
        <v>0</v>
      </c>
      <c r="K147" s="25">
        <f>K16</f>
        <v>0</v>
      </c>
      <c r="L147" s="25">
        <f t="shared" si="21"/>
        <v>200.92</v>
      </c>
      <c r="M147" s="1"/>
    </row>
    <row r="148" spans="1:13" customFormat="1" ht="15.75" thickBot="1">
      <c r="B148" t="s">
        <v>257</v>
      </c>
      <c r="D148" s="73">
        <f>SUM(D143:D147)</f>
        <v>126</v>
      </c>
      <c r="E148" s="74">
        <f>SUM(E143:E147)</f>
        <v>0</v>
      </c>
      <c r="F148" s="73"/>
      <c r="G148" s="74">
        <f t="shared" ref="G148:L148" si="22">SUM(G143:G147)</f>
        <v>4416.4500000000035</v>
      </c>
      <c r="H148" s="74">
        <f t="shared" si="22"/>
        <v>1096.9200000000003</v>
      </c>
      <c r="I148" s="74">
        <f t="shared" si="22"/>
        <v>923.82000000000028</v>
      </c>
      <c r="J148" s="74">
        <f t="shared" si="22"/>
        <v>756.4</v>
      </c>
      <c r="K148" s="74">
        <f t="shared" si="22"/>
        <v>2649.6000000000004</v>
      </c>
      <c r="L148" s="74">
        <f t="shared" si="22"/>
        <v>9843.1900000000041</v>
      </c>
      <c r="M148" s="1"/>
    </row>
    <row r="149" spans="1:13" customFormat="1" ht="15.75" thickTop="1">
      <c r="D149" s="78"/>
      <c r="E149" s="78"/>
      <c r="F149" s="78"/>
      <c r="G149" s="79"/>
      <c r="H149" s="79"/>
      <c r="I149" s="79"/>
      <c r="J149" s="79"/>
      <c r="K149" s="79"/>
      <c r="L149" s="79"/>
      <c r="M149" s="1"/>
    </row>
    <row r="150" spans="1:13" customFormat="1">
      <c r="A150" t="s">
        <v>262</v>
      </c>
      <c r="D150" s="75"/>
      <c r="E150" s="81">
        <v>0</v>
      </c>
      <c r="F150" s="75"/>
      <c r="G150" s="81">
        <f>F140-G151-G152-(SUM(H153:K153))</f>
        <v>646299.99999999953</v>
      </c>
      <c r="H150" s="81">
        <f>H143/2.3*1000</f>
        <v>427000.00000000012</v>
      </c>
      <c r="I150" s="81">
        <f>I143/2.67*1000</f>
        <v>316000.00000000012</v>
      </c>
      <c r="J150" s="81">
        <f>J143/3.1*1000</f>
        <v>220000</v>
      </c>
      <c r="K150" s="81">
        <f>K143/3.6*1000</f>
        <v>454000.00000000012</v>
      </c>
      <c r="L150" s="81">
        <f>SUM(G150:K150)</f>
        <v>2063299.9999999995</v>
      </c>
      <c r="M150" s="1"/>
    </row>
    <row r="151" spans="1:13" customFormat="1">
      <c r="A151" t="s">
        <v>263</v>
      </c>
      <c r="D151" s="75"/>
      <c r="E151" s="81">
        <v>0</v>
      </c>
      <c r="F151" s="75"/>
      <c r="G151" s="81">
        <f>(SUM(F11:F15)+F17+SUM(F131:F136)-H151-I151-J151-K151)</f>
        <v>50000</v>
      </c>
      <c r="H151" s="81">
        <f>H144/2.3*1000</f>
        <v>43000.000000000007</v>
      </c>
      <c r="I151" s="81">
        <f>I144/2.67*1000</f>
        <v>30000</v>
      </c>
      <c r="J151" s="81">
        <f>J144/3.1*1000</f>
        <v>24000</v>
      </c>
      <c r="K151" s="81">
        <f>K144/3.6*1000</f>
        <v>282000</v>
      </c>
      <c r="L151" s="81">
        <f>SUM(G151:K151)</f>
        <v>429000</v>
      </c>
      <c r="M151" s="1"/>
    </row>
    <row r="152" spans="1:13" customFormat="1">
      <c r="A152" t="s">
        <v>264</v>
      </c>
      <c r="D152" s="75"/>
      <c r="E152" s="81">
        <v>0</v>
      </c>
      <c r="F152" s="75"/>
      <c r="G152" s="81">
        <f>IF(F16&gt;100000,100000,F16)</f>
        <v>100000</v>
      </c>
      <c r="H152" s="81">
        <f>H147/1.99*1000</f>
        <v>8000</v>
      </c>
      <c r="I152" s="81" t="s">
        <v>259</v>
      </c>
      <c r="J152" s="81" t="s">
        <v>259</v>
      </c>
      <c r="K152" s="81" t="s">
        <v>259</v>
      </c>
      <c r="L152" s="81">
        <f>SUM(G152:K152)</f>
        <v>108000</v>
      </c>
      <c r="M152" s="1"/>
    </row>
    <row r="153" spans="1:13" customFormat="1" ht="15.75" thickBot="1">
      <c r="B153" t="s">
        <v>265</v>
      </c>
      <c r="D153" s="77"/>
      <c r="E153" s="82">
        <f>SUM(E150:E152)</f>
        <v>0</v>
      </c>
      <c r="F153" s="77"/>
      <c r="G153" s="82">
        <f>G150+G151+G152</f>
        <v>796299.99999999953</v>
      </c>
      <c r="H153" s="82">
        <f>SUM(H150:H152)</f>
        <v>478000.00000000012</v>
      </c>
      <c r="I153" s="82">
        <f>SUM(I150:I152)</f>
        <v>346000.00000000012</v>
      </c>
      <c r="J153" s="82">
        <f>SUM(J150:J152)</f>
        <v>244000</v>
      </c>
      <c r="K153" s="82">
        <f>SUM(K150:K152)</f>
        <v>736000.00000000012</v>
      </c>
      <c r="L153" s="82">
        <f>SUM(L150:L152)</f>
        <v>2600299.9999999995</v>
      </c>
      <c r="M153" s="1"/>
    </row>
    <row r="154" spans="1:13" ht="15.75" thickTop="1">
      <c r="E154" s="1" t="s">
        <v>274</v>
      </c>
    </row>
    <row r="155" spans="1:13">
      <c r="E155" s="75" t="s">
        <v>275</v>
      </c>
    </row>
    <row r="156" spans="1:13">
      <c r="E156" s="75" t="s">
        <v>273</v>
      </c>
    </row>
    <row r="157" spans="1:13">
      <c r="E157"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sheetPr>
    <tabColor rgb="FFFFFF00"/>
    <pageSetUpPr fitToPage="1"/>
  </sheetPr>
  <dimension ref="A1:P159"/>
  <sheetViews>
    <sheetView zoomScale="90" zoomScaleNormal="90" zoomScalePageLayoutView="25"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1" width="11.42578125" style="1" customWidth="1"/>
    <col min="12" max="12" width="12.140625" style="1" bestFit="1" customWidth="1"/>
    <col min="13" max="13" width="11.42578125" style="1" customWidth="1"/>
    <col min="14" max="14" width="11.85546875" style="1" customWidth="1"/>
    <col min="15" max="15" width="44.7109375" style="1" customWidth="1"/>
    <col min="16" max="16384" width="9.140625" style="1"/>
  </cols>
  <sheetData>
    <row r="1" spans="1:16" ht="46.5">
      <c r="A1" s="2" t="s">
        <v>141</v>
      </c>
    </row>
    <row r="2" spans="1:16" ht="28.5">
      <c r="A2" s="3" t="s">
        <v>142</v>
      </c>
    </row>
    <row r="4" spans="1:16">
      <c r="A4" s="1" t="s">
        <v>143</v>
      </c>
      <c r="B4" s="23">
        <v>41122</v>
      </c>
      <c r="D4" s="1" t="s">
        <v>146</v>
      </c>
      <c r="G4" s="1" t="s">
        <v>156</v>
      </c>
      <c r="J4" s="1" t="s">
        <v>163</v>
      </c>
      <c r="K4" s="5">
        <v>42.19</v>
      </c>
      <c r="M4" s="1" t="s">
        <v>164</v>
      </c>
      <c r="N4" s="5">
        <v>12.41</v>
      </c>
      <c r="O4" s="1" t="s">
        <v>149</v>
      </c>
      <c r="P4" s="1">
        <f>SUM(F11:F136)</f>
        <v>3302000</v>
      </c>
    </row>
    <row r="5" spans="1:16">
      <c r="A5" s="1" t="s">
        <v>165</v>
      </c>
      <c r="B5" s="24">
        <v>41148</v>
      </c>
      <c r="D5" s="1" t="s">
        <v>144</v>
      </c>
      <c r="E5" s="1">
        <v>8182600</v>
      </c>
      <c r="G5" s="1" t="s">
        <v>155</v>
      </c>
      <c r="H5" s="1">
        <v>1</v>
      </c>
      <c r="J5" s="1" t="s">
        <v>166</v>
      </c>
      <c r="K5" s="5">
        <v>2.2999999999999998</v>
      </c>
      <c r="M5" s="1" t="s">
        <v>6</v>
      </c>
      <c r="N5" s="5">
        <v>185</v>
      </c>
      <c r="O5" s="1" t="s">
        <v>154</v>
      </c>
      <c r="P5" s="1">
        <f>P4-F16</f>
        <v>3267000</v>
      </c>
    </row>
    <row r="6" spans="1:16">
      <c r="B6" s="4"/>
      <c r="D6" s="1" t="s">
        <v>145</v>
      </c>
      <c r="E6" s="1">
        <v>8343900</v>
      </c>
      <c r="G6" s="1" t="s">
        <v>158</v>
      </c>
      <c r="H6" s="91">
        <v>0</v>
      </c>
      <c r="J6" s="1" t="s">
        <v>167</v>
      </c>
      <c r="K6" s="5">
        <v>2.67</v>
      </c>
      <c r="M6" s="1" t="s">
        <v>168</v>
      </c>
      <c r="N6" s="5">
        <v>1.99</v>
      </c>
      <c r="O6" s="1" t="s">
        <v>160</v>
      </c>
      <c r="P6" s="1">
        <f>SUMIF(F11:F15,"&gt;" &amp; $H$6)+SUMIF(F17:F136,"&gt;" &amp; $H$6)+SUMIF(F16,"&gt;" &amp; $H$7)</f>
        <v>3302000</v>
      </c>
    </row>
    <row r="7" spans="1:16">
      <c r="B7" s="4"/>
      <c r="D7" s="1" t="s">
        <v>150</v>
      </c>
      <c r="E7" s="12">
        <f>E6-E5</f>
        <v>161300</v>
      </c>
      <c r="G7" s="1" t="s">
        <v>159</v>
      </c>
      <c r="H7" s="204">
        <v>0</v>
      </c>
      <c r="J7" s="1" t="s">
        <v>169</v>
      </c>
      <c r="K7" s="5">
        <v>3.1</v>
      </c>
      <c r="M7" s="1" t="s">
        <v>170</v>
      </c>
      <c r="N7" s="5">
        <v>1755</v>
      </c>
      <c r="O7" s="1" t="s">
        <v>161</v>
      </c>
      <c r="P7" s="1">
        <f>(SUMIF(F11:F15,"&gt;" &amp; $H$6)-(COUNTIF(F11:F15,"&gt;" &amp; $H$6)*$H$6))+(SUMIF(F17:F136,"&gt;" &amp; $H$6)-(COUNTIF(F17:F136,"&gt;" &amp; $H$6)*$H$6))+(SUMIF(F16,"&gt;" &amp; $H$7)-(COUNTIF(F16,"&gt;" &amp; $H$7)*$H$7))</f>
        <v>3302000</v>
      </c>
    </row>
    <row r="8" spans="1:16">
      <c r="D8" s="1" t="s">
        <v>147</v>
      </c>
      <c r="E8" s="25">
        <v>341.97</v>
      </c>
      <c r="H8" s="6"/>
      <c r="J8" s="1" t="s">
        <v>171</v>
      </c>
      <c r="K8" s="5">
        <v>3.6</v>
      </c>
    </row>
    <row r="10" spans="1:16">
      <c r="A10" s="7" t="s">
        <v>0</v>
      </c>
      <c r="B10" s="10" t="s">
        <v>137</v>
      </c>
      <c r="C10" s="13" t="s">
        <v>182</v>
      </c>
      <c r="D10" s="26" t="s">
        <v>195</v>
      </c>
      <c r="E10" s="10" t="s">
        <v>140</v>
      </c>
      <c r="F10" s="10" t="s">
        <v>157</v>
      </c>
      <c r="G10" s="21" t="s">
        <v>132</v>
      </c>
      <c r="H10" s="21" t="s">
        <v>128</v>
      </c>
      <c r="I10" s="21" t="s">
        <v>129</v>
      </c>
      <c r="J10" s="22" t="s">
        <v>130</v>
      </c>
      <c r="K10" s="22" t="s">
        <v>131</v>
      </c>
      <c r="L10" s="22" t="s">
        <v>162</v>
      </c>
      <c r="M10" s="22" t="s">
        <v>148</v>
      </c>
      <c r="N10" s="22" t="s">
        <v>135</v>
      </c>
      <c r="O10" s="9" t="s">
        <v>127</v>
      </c>
    </row>
    <row r="11" spans="1:16">
      <c r="A11" s="1" t="s">
        <v>1</v>
      </c>
      <c r="B11" s="11"/>
      <c r="C11" s="11">
        <v>8926000</v>
      </c>
      <c r="D11" s="11">
        <v>9249000</v>
      </c>
      <c r="E11" s="11">
        <v>0</v>
      </c>
      <c r="F11" s="11">
        <f t="shared" ref="F11:F74" si="0">($D11-$C11)+$E11</f>
        <v>323000</v>
      </c>
      <c r="G11" s="17">
        <f>IF(OR($F11&gt;0,$B11=""),$K$4,$N$4)</f>
        <v>42.19</v>
      </c>
      <c r="H11" s="17">
        <f>IF(AND((($F11-10000)&gt;=0),(($F11-10000)&lt;= 10000)),($F11-10000)/1000*$K$5,IF(($F11-10000)&gt;=10000,$K$5*10,0))</f>
        <v>23</v>
      </c>
      <c r="I11" s="17">
        <f>IF(AND((($F11-20000)&gt;=0),(($F11-20000)&lt;=10000)),($F11-20000)/1000*$K$6,IF(($F11-20000)&gt;=10000,$K$6*10,0))</f>
        <v>26.7</v>
      </c>
      <c r="J11" s="18">
        <f>IF(AND((($F11-30000)&gt;=0),(($F11-30000)&lt;=10000)),($F11-30000)/1000*$K$7,IF(($F11-30000)&gt;=10000,$K$7*10,0))</f>
        <v>31</v>
      </c>
      <c r="K11" s="18">
        <f>IF((($F11-40000)&gt;=0),($F11-40000)/1000*$K$8,0)</f>
        <v>1018.8000000000001</v>
      </c>
      <c r="L11" s="18">
        <f>SUM(G11:K11)</f>
        <v>1141.69</v>
      </c>
      <c r="M11" s="18">
        <f>IF(   $H$5=1,    IF((F11-$H$6)&gt;0,((F11-$H$6)/$P$7)*$E$8,0),   IF(F11&gt;0,(F11/$P$4)*$E$8,0)    )</f>
        <v>33.451335554209571</v>
      </c>
      <c r="N11" s="18">
        <f>SUM(L11:M11)</f>
        <v>1175.1413355542097</v>
      </c>
      <c r="O11" s="8"/>
    </row>
    <row r="12" spans="1:16">
      <c r="A12" s="1" t="s">
        <v>2</v>
      </c>
      <c r="B12" s="11"/>
      <c r="C12" s="11">
        <v>7052000</v>
      </c>
      <c r="D12" s="11">
        <v>7052000</v>
      </c>
      <c r="E12" s="11">
        <v>0</v>
      </c>
      <c r="F12" s="11">
        <f t="shared" si="0"/>
        <v>0</v>
      </c>
      <c r="G12" s="17">
        <f>IF(OR($F12&gt;0,$B12=""),$K$4,$N$4)</f>
        <v>42.19</v>
      </c>
      <c r="H12" s="17">
        <f>IF(AND((($F12-10000)&gt;=0),(($F12-10000)&lt;= 10000)),($F12-10000)/1000*$K$5,IF(($F12-10000)&gt;=10000,$K$5*10,0))</f>
        <v>0</v>
      </c>
      <c r="I12" s="17">
        <f>IF(AND((($F12-20000)&gt;=0),(($F12-20000)&lt;=10000)),($F12-20000)/1000*$K$6,IF(($F12-20000)&gt;=10000,$K$6*10,0))</f>
        <v>0</v>
      </c>
      <c r="J12" s="18">
        <f>IF(AND((($F12-30000)&gt;=0),(($F12-30000)&lt;=10000)),($F12-30000)/1000*$K$7,IF(($F12-30000)&gt;=10000,$K$7*10,0))</f>
        <v>0</v>
      </c>
      <c r="K12" s="18">
        <f>IF((($F12-40000)&gt;=0),($F12-40000)/1000*$K$8,0)</f>
        <v>0</v>
      </c>
      <c r="L12" s="18">
        <f t="shared" ref="L12:L75" si="1">SUM(G12:K12)</f>
        <v>42.19</v>
      </c>
      <c r="M12" s="18">
        <f>IF(   $H$5=1,    IF((F12-$H$6)&gt;0,((F12-$H$6)/$P$7)*$E$8,0),   IF(F12&gt;0,(F12/$P$4)*$E$8,0)    )</f>
        <v>0</v>
      </c>
      <c r="N12" s="18">
        <f t="shared" ref="N12:N75" si="2">SUM(L12:M12)</f>
        <v>42.19</v>
      </c>
      <c r="O12" s="8"/>
    </row>
    <row r="13" spans="1:16">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IF((F13-$H$6)&gt;0,((F13-$H$6)/$P$7)*$E$8,0),   IF(F13&gt;0,(F13/$P$4)*$E$8,0)    )</f>
        <v>0</v>
      </c>
      <c r="N13" s="18">
        <f t="shared" si="2"/>
        <v>42.19</v>
      </c>
      <c r="O13" s="8" t="s">
        <v>134</v>
      </c>
    </row>
    <row r="14" spans="1:16">
      <c r="A14" s="1" t="s">
        <v>4</v>
      </c>
      <c r="B14" s="11"/>
      <c r="C14" s="11">
        <v>3708000</v>
      </c>
      <c r="D14" s="11">
        <v>3718000</v>
      </c>
      <c r="E14" s="11">
        <v>0</v>
      </c>
      <c r="F14" s="11">
        <f t="shared" si="0"/>
        <v>10000</v>
      </c>
      <c r="G14" s="17">
        <f>IF(OR($F14&gt;0,$B14=""),$K$4,$N$4)</f>
        <v>42.19</v>
      </c>
      <c r="H14" s="17">
        <f>IF(AND((($F14-10000)&gt;=0),(($F14-10000)&lt;= 10000)),($F14-10000)/1000*$K$5,IF(($F14-10000)&gt;=10000,$K$5*10,0))</f>
        <v>0</v>
      </c>
      <c r="I14" s="17">
        <f>IF(AND((($F14-20000)&gt;=0),(($F14-20000)&lt;=10000)),($F14-20000)/1000*$K$6,IF(($F14-20000)&gt;=10000,$K$6*10,0))</f>
        <v>0</v>
      </c>
      <c r="J14" s="18">
        <f>IF(AND((($F14-30000)&gt;=0),(($F14-30000)&lt;=10000)),($F14-30000)/1000*$K$7,IF(($F14-30000)&gt;=10000,$K$7*10,0))</f>
        <v>0</v>
      </c>
      <c r="K14" s="18">
        <f>IF((($F14-40000)&gt;=0),($F14-40000)/1000*$K$8,0)</f>
        <v>0</v>
      </c>
      <c r="L14" s="18">
        <f t="shared" si="1"/>
        <v>42.19</v>
      </c>
      <c r="M14" s="18">
        <f>IF(   $H$5=1,    IF((F14-$H$6)&gt;0,((F14-$H$6)/$P$7)*$E$8,0),   IF(F14&gt;0,(F14/$P$4)*$E$8,0)    )</f>
        <v>1.0356450635978196</v>
      </c>
      <c r="N14" s="18">
        <f t="shared" si="2"/>
        <v>43.225645063597817</v>
      </c>
      <c r="O14" s="8"/>
    </row>
    <row r="15" spans="1:16">
      <c r="A15" s="1" t="s">
        <v>5</v>
      </c>
      <c r="B15" s="11"/>
      <c r="C15" s="11">
        <v>2742000</v>
      </c>
      <c r="D15" s="11">
        <v>2848000</v>
      </c>
      <c r="E15" s="11">
        <v>0</v>
      </c>
      <c r="F15" s="11">
        <f t="shared" si="0"/>
        <v>106000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237.6</v>
      </c>
      <c r="L15" s="18">
        <f t="shared" si="1"/>
        <v>360.49</v>
      </c>
      <c r="M15" s="18">
        <f>IF(   $H$5=1,    IF((F15-$H$6)&gt;0,((F15-$H$6)/$P$7)*$E$8,0),   IF(F15&gt;0,(F15/$P$4)*$E$8,0)    )</f>
        <v>10.977837674136888</v>
      </c>
      <c r="N15" s="18">
        <f t="shared" si="2"/>
        <v>371.46783767413689</v>
      </c>
      <c r="O15" s="8"/>
    </row>
    <row r="16" spans="1:16">
      <c r="A16" s="1" t="s">
        <v>6</v>
      </c>
      <c r="B16" s="11"/>
      <c r="C16" s="11">
        <v>26400000</v>
      </c>
      <c r="D16" s="11">
        <v>26500000</v>
      </c>
      <c r="E16" s="11">
        <v>0</v>
      </c>
      <c r="F16" s="83">
        <v>35000</v>
      </c>
      <c r="G16" s="17">
        <f>$N$5</f>
        <v>185</v>
      </c>
      <c r="H16" s="17">
        <f>IF(($F16-100000)&gt;=0,($F16-100000)/1000*$N$6,0)</f>
        <v>0</v>
      </c>
      <c r="I16" s="17"/>
      <c r="J16" s="18"/>
      <c r="K16" s="18"/>
      <c r="L16" s="18">
        <f t="shared" si="1"/>
        <v>185</v>
      </c>
      <c r="M16" s="18">
        <f>IF(   $H$5=1,     IF((F16-$H$7)&gt;0,((F16-$H$7)/$P$7)*$E$8,0),   IF(F16&gt;0,(F16/$P$4)*$E$8,0)    )</f>
        <v>3.6247577225923688</v>
      </c>
      <c r="N16" s="18">
        <f t="shared" si="2"/>
        <v>188.62475772259236</v>
      </c>
      <c r="O16" s="8" t="s">
        <v>133</v>
      </c>
    </row>
    <row r="17" spans="1:15">
      <c r="A17" s="1" t="s">
        <v>7</v>
      </c>
      <c r="B17" s="11"/>
      <c r="C17" s="11">
        <v>643000</v>
      </c>
      <c r="D17" s="11">
        <v>656000</v>
      </c>
      <c r="E17" s="11">
        <v>0</v>
      </c>
      <c r="F17" s="11">
        <f t="shared" si="0"/>
        <v>13000</v>
      </c>
      <c r="G17" s="17">
        <f t="shared" ref="G17:G80" si="3">IF(OR($F17&gt;0,$B17=""),$K$4,$N$4)</f>
        <v>42.19</v>
      </c>
      <c r="H17" s="17">
        <f t="shared" ref="H17:H80" si="4">IF(AND((($F17-10000)&gt;=0),(($F17-10000)&lt;= 10000)),($F17-10000)/1000*$K$5,IF(($F17-10000)&gt;=10000,$K$5*10,0))</f>
        <v>6.8999999999999995</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49.089999999999996</v>
      </c>
      <c r="M17" s="18">
        <f t="shared" ref="M17:M80" si="8">IF(   $H$5=1,    IF((F17-$H$6)&gt;0,((F17-$H$6)/$P$7)*$E$8,0),   IF(F17&gt;0,(F17/$P$4)*$E$8,0)    )</f>
        <v>1.3463385826771654</v>
      </c>
      <c r="N17" s="18">
        <f t="shared" si="2"/>
        <v>50.436338582677159</v>
      </c>
      <c r="O17" s="8"/>
    </row>
    <row r="18" spans="1:15">
      <c r="A18" s="1" t="s">
        <v>8</v>
      </c>
      <c r="B18" s="11"/>
      <c r="C18" s="11">
        <v>322000</v>
      </c>
      <c r="D18" s="11">
        <v>465000</v>
      </c>
      <c r="E18" s="11">
        <v>0</v>
      </c>
      <c r="F18" s="11">
        <f t="shared" si="0"/>
        <v>143000</v>
      </c>
      <c r="G18" s="17">
        <f t="shared" si="3"/>
        <v>42.19</v>
      </c>
      <c r="H18" s="17">
        <f t="shared" si="4"/>
        <v>23</v>
      </c>
      <c r="I18" s="17">
        <f t="shared" si="5"/>
        <v>26.7</v>
      </c>
      <c r="J18" s="18">
        <f t="shared" si="6"/>
        <v>31</v>
      </c>
      <c r="K18" s="18">
        <f t="shared" si="7"/>
        <v>370.8</v>
      </c>
      <c r="L18" s="18">
        <f t="shared" si="1"/>
        <v>493.69</v>
      </c>
      <c r="M18" s="18">
        <f t="shared" si="8"/>
        <v>14.809724409448821</v>
      </c>
      <c r="N18" s="18">
        <f t="shared" si="2"/>
        <v>508.49972440944885</v>
      </c>
      <c r="O18" s="8" t="s">
        <v>174</v>
      </c>
    </row>
    <row r="19" spans="1:15">
      <c r="A19" s="1" t="s">
        <v>9</v>
      </c>
      <c r="B19" s="11"/>
      <c r="C19" s="11">
        <v>411000</v>
      </c>
      <c r="D19" s="11">
        <v>458000</v>
      </c>
      <c r="E19" s="11">
        <v>0</v>
      </c>
      <c r="F19" s="11">
        <f t="shared" si="0"/>
        <v>47000</v>
      </c>
      <c r="G19" s="17">
        <f t="shared" si="3"/>
        <v>42.19</v>
      </c>
      <c r="H19" s="17">
        <f t="shared" si="4"/>
        <v>23</v>
      </c>
      <c r="I19" s="17">
        <f t="shared" si="5"/>
        <v>26.7</v>
      </c>
      <c r="J19" s="18">
        <f t="shared" si="6"/>
        <v>31</v>
      </c>
      <c r="K19" s="18">
        <f t="shared" si="7"/>
        <v>25.2</v>
      </c>
      <c r="L19" s="18">
        <f t="shared" si="1"/>
        <v>148.09</v>
      </c>
      <c r="M19" s="18">
        <f t="shared" si="8"/>
        <v>4.8675317989097522</v>
      </c>
      <c r="N19" s="18">
        <f t="shared" si="2"/>
        <v>152.95753179890977</v>
      </c>
      <c r="O19" s="8"/>
    </row>
    <row r="20" spans="1:15">
      <c r="A20" s="1" t="s">
        <v>10</v>
      </c>
      <c r="B20" s="11"/>
      <c r="C20" s="11">
        <v>1631000</v>
      </c>
      <c r="D20" s="11">
        <v>1661000</v>
      </c>
      <c r="E20" s="11">
        <v>0</v>
      </c>
      <c r="F20" s="11">
        <f t="shared" si="0"/>
        <v>30000</v>
      </c>
      <c r="G20" s="17">
        <f t="shared" si="3"/>
        <v>42.19</v>
      </c>
      <c r="H20" s="17">
        <f t="shared" si="4"/>
        <v>23</v>
      </c>
      <c r="I20" s="17">
        <f t="shared" si="5"/>
        <v>26.7</v>
      </c>
      <c r="J20" s="18">
        <f t="shared" si="6"/>
        <v>0</v>
      </c>
      <c r="K20" s="18">
        <f t="shared" si="7"/>
        <v>0</v>
      </c>
      <c r="L20" s="18">
        <f t="shared" si="1"/>
        <v>91.89</v>
      </c>
      <c r="M20" s="18">
        <f t="shared" si="8"/>
        <v>3.1069351907934584</v>
      </c>
      <c r="N20" s="18">
        <f t="shared" si="2"/>
        <v>94.996935190793465</v>
      </c>
      <c r="O20" s="8"/>
    </row>
    <row r="21" spans="1:15">
      <c r="A21" s="1" t="s">
        <v>11</v>
      </c>
      <c r="B21" s="11"/>
      <c r="C21" s="11">
        <v>2080000</v>
      </c>
      <c r="D21" s="11">
        <v>2096000</v>
      </c>
      <c r="E21" s="11">
        <v>0</v>
      </c>
      <c r="F21" s="11">
        <f t="shared" si="0"/>
        <v>16000</v>
      </c>
      <c r="G21" s="17">
        <f t="shared" si="3"/>
        <v>42.19</v>
      </c>
      <c r="H21" s="17">
        <f t="shared" si="4"/>
        <v>13.799999999999999</v>
      </c>
      <c r="I21" s="17">
        <f t="shared" si="5"/>
        <v>0</v>
      </c>
      <c r="J21" s="18">
        <f t="shared" si="6"/>
        <v>0</v>
      </c>
      <c r="K21" s="18">
        <f t="shared" si="7"/>
        <v>0</v>
      </c>
      <c r="L21" s="18">
        <f t="shared" si="1"/>
        <v>55.989999999999995</v>
      </c>
      <c r="M21" s="18">
        <f t="shared" si="8"/>
        <v>1.6570321017565113</v>
      </c>
      <c r="N21" s="18">
        <f t="shared" si="2"/>
        <v>57.647032101756508</v>
      </c>
      <c r="O21" s="8"/>
    </row>
    <row r="22" spans="1:15">
      <c r="A22" s="1" t="s">
        <v>12</v>
      </c>
      <c r="B22" s="11"/>
      <c r="C22" s="11">
        <v>2336000</v>
      </c>
      <c r="D22" s="11">
        <v>2371000</v>
      </c>
      <c r="E22" s="11">
        <v>0</v>
      </c>
      <c r="F22" s="11">
        <f t="shared" si="0"/>
        <v>35000</v>
      </c>
      <c r="G22" s="17">
        <f t="shared" si="3"/>
        <v>42.19</v>
      </c>
      <c r="H22" s="17">
        <f t="shared" si="4"/>
        <v>23</v>
      </c>
      <c r="I22" s="17">
        <f t="shared" si="5"/>
        <v>26.7</v>
      </c>
      <c r="J22" s="18">
        <f t="shared" si="6"/>
        <v>15.5</v>
      </c>
      <c r="K22" s="18">
        <f t="shared" si="7"/>
        <v>0</v>
      </c>
      <c r="L22" s="18">
        <f t="shared" si="1"/>
        <v>107.39</v>
      </c>
      <c r="M22" s="18">
        <f t="shared" si="8"/>
        <v>3.6247577225923688</v>
      </c>
      <c r="N22" s="18">
        <f t="shared" si="2"/>
        <v>111.01475772259236</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6714000</v>
      </c>
      <c r="D24" s="11">
        <v>6814000</v>
      </c>
      <c r="E24" s="11">
        <v>0</v>
      </c>
      <c r="F24" s="11">
        <f t="shared" si="0"/>
        <v>100000</v>
      </c>
      <c r="G24" s="17">
        <f t="shared" si="3"/>
        <v>42.19</v>
      </c>
      <c r="H24" s="17">
        <f t="shared" si="4"/>
        <v>23</v>
      </c>
      <c r="I24" s="17">
        <f t="shared" si="5"/>
        <v>26.7</v>
      </c>
      <c r="J24" s="18">
        <f t="shared" si="6"/>
        <v>31</v>
      </c>
      <c r="K24" s="18">
        <f t="shared" si="7"/>
        <v>216</v>
      </c>
      <c r="L24" s="18">
        <f t="shared" si="1"/>
        <v>338.89</v>
      </c>
      <c r="M24" s="18">
        <f t="shared" si="8"/>
        <v>10.356450635978195</v>
      </c>
      <c r="N24" s="18">
        <f t="shared" si="2"/>
        <v>349.24645063597819</v>
      </c>
      <c r="O24" s="8"/>
    </row>
    <row r="25" spans="1:15">
      <c r="A25" s="1" t="s">
        <v>15</v>
      </c>
      <c r="B25" s="11"/>
      <c r="C25" s="11">
        <v>2754000</v>
      </c>
      <c r="D25" s="11">
        <v>2788000</v>
      </c>
      <c r="E25" s="11">
        <v>0</v>
      </c>
      <c r="F25" s="11">
        <f t="shared" si="0"/>
        <v>34000</v>
      </c>
      <c r="G25" s="17">
        <f t="shared" si="3"/>
        <v>42.19</v>
      </c>
      <c r="H25" s="17">
        <f t="shared" si="4"/>
        <v>23</v>
      </c>
      <c r="I25" s="17">
        <f t="shared" si="5"/>
        <v>26.7</v>
      </c>
      <c r="J25" s="18">
        <f t="shared" si="6"/>
        <v>12.4</v>
      </c>
      <c r="K25" s="18">
        <f t="shared" si="7"/>
        <v>0</v>
      </c>
      <c r="L25" s="18">
        <f t="shared" si="1"/>
        <v>104.29</v>
      </c>
      <c r="M25" s="18">
        <f t="shared" si="8"/>
        <v>3.5211932162325867</v>
      </c>
      <c r="N25" s="18">
        <f t="shared" si="2"/>
        <v>107.8111932162326</v>
      </c>
      <c r="O25" s="8"/>
    </row>
    <row r="26" spans="1:15">
      <c r="A26" s="1" t="s">
        <v>16</v>
      </c>
      <c r="B26" s="11"/>
      <c r="C26" s="11">
        <v>1675000</v>
      </c>
      <c r="D26" s="11">
        <v>1710000</v>
      </c>
      <c r="E26" s="11">
        <v>0</v>
      </c>
      <c r="F26" s="11">
        <f t="shared" si="0"/>
        <v>35000</v>
      </c>
      <c r="G26" s="17">
        <f t="shared" si="3"/>
        <v>42.19</v>
      </c>
      <c r="H26" s="17">
        <f t="shared" si="4"/>
        <v>23</v>
      </c>
      <c r="I26" s="17">
        <f t="shared" si="5"/>
        <v>26.7</v>
      </c>
      <c r="J26" s="18">
        <f t="shared" si="6"/>
        <v>15.5</v>
      </c>
      <c r="K26" s="18">
        <f t="shared" si="7"/>
        <v>0</v>
      </c>
      <c r="L26" s="18">
        <f t="shared" si="1"/>
        <v>107.39</v>
      </c>
      <c r="M26" s="18">
        <f t="shared" si="8"/>
        <v>3.6247577225923688</v>
      </c>
      <c r="N26" s="18">
        <f t="shared" si="2"/>
        <v>111.01475772259236</v>
      </c>
      <c r="O26" s="8"/>
    </row>
    <row r="27" spans="1:15">
      <c r="A27" s="1" t="s">
        <v>17</v>
      </c>
      <c r="B27" s="11"/>
      <c r="C27" s="11">
        <v>1223000</v>
      </c>
      <c r="D27" s="11">
        <v>1227000</v>
      </c>
      <c r="E27" s="11">
        <v>0</v>
      </c>
      <c r="F27" s="11">
        <f t="shared" si="0"/>
        <v>4000</v>
      </c>
      <c r="G27" s="17">
        <f t="shared" si="3"/>
        <v>42.19</v>
      </c>
      <c r="H27" s="17">
        <f t="shared" si="4"/>
        <v>0</v>
      </c>
      <c r="I27" s="17">
        <f t="shared" si="5"/>
        <v>0</v>
      </c>
      <c r="J27" s="18">
        <f t="shared" si="6"/>
        <v>0</v>
      </c>
      <c r="K27" s="18">
        <f t="shared" si="7"/>
        <v>0</v>
      </c>
      <c r="L27" s="18">
        <f t="shared" si="1"/>
        <v>42.19</v>
      </c>
      <c r="M27" s="18">
        <f t="shared" si="8"/>
        <v>0.41425802543912782</v>
      </c>
      <c r="N27" s="18">
        <f t="shared" si="2"/>
        <v>42.604258025439123</v>
      </c>
      <c r="O27" s="8"/>
    </row>
    <row r="28" spans="1:15">
      <c r="A28" s="1" t="s">
        <v>18</v>
      </c>
      <c r="B28" s="11"/>
      <c r="C28" s="11">
        <v>4101000</v>
      </c>
      <c r="D28" s="11">
        <v>4116000</v>
      </c>
      <c r="E28" s="11">
        <v>0</v>
      </c>
      <c r="F28" s="11">
        <f t="shared" si="0"/>
        <v>15000</v>
      </c>
      <c r="G28" s="17">
        <f t="shared" si="3"/>
        <v>42.19</v>
      </c>
      <c r="H28" s="17">
        <f t="shared" si="4"/>
        <v>11.5</v>
      </c>
      <c r="I28" s="17">
        <f t="shared" si="5"/>
        <v>0</v>
      </c>
      <c r="J28" s="18">
        <f t="shared" si="6"/>
        <v>0</v>
      </c>
      <c r="K28" s="18">
        <f t="shared" si="7"/>
        <v>0</v>
      </c>
      <c r="L28" s="18">
        <f t="shared" si="1"/>
        <v>53.69</v>
      </c>
      <c r="M28" s="18">
        <f t="shared" si="8"/>
        <v>1.5534675953967292</v>
      </c>
      <c r="N28" s="18">
        <f t="shared" si="2"/>
        <v>55.24346759539673</v>
      </c>
      <c r="O28" s="8"/>
    </row>
    <row r="29" spans="1:15">
      <c r="A29" s="1" t="s">
        <v>19</v>
      </c>
      <c r="B29" s="11"/>
      <c r="C29" s="11">
        <v>1327000</v>
      </c>
      <c r="D29" s="11">
        <v>1373000</v>
      </c>
      <c r="E29" s="11">
        <v>0</v>
      </c>
      <c r="F29" s="11">
        <f t="shared" si="0"/>
        <v>46000</v>
      </c>
      <c r="G29" s="17">
        <f t="shared" si="3"/>
        <v>42.19</v>
      </c>
      <c r="H29" s="17">
        <f t="shared" si="4"/>
        <v>23</v>
      </c>
      <c r="I29" s="17">
        <f t="shared" si="5"/>
        <v>26.7</v>
      </c>
      <c r="J29" s="18">
        <f t="shared" si="6"/>
        <v>31</v>
      </c>
      <c r="K29" s="18">
        <f t="shared" si="7"/>
        <v>21.6</v>
      </c>
      <c r="L29" s="18">
        <f t="shared" si="1"/>
        <v>144.49</v>
      </c>
      <c r="M29" s="18">
        <f t="shared" si="8"/>
        <v>4.7639672925499701</v>
      </c>
      <c r="N29" s="18">
        <f t="shared" si="2"/>
        <v>149.25396729254999</v>
      </c>
      <c r="O29" s="8"/>
    </row>
    <row r="30" spans="1:15">
      <c r="A30" s="1" t="s">
        <v>20</v>
      </c>
      <c r="B30" s="11"/>
      <c r="C30" s="11">
        <v>2250000</v>
      </c>
      <c r="D30" s="11">
        <v>2260000</v>
      </c>
      <c r="E30" s="11">
        <v>0</v>
      </c>
      <c r="F30" s="11">
        <f t="shared" si="0"/>
        <v>10000</v>
      </c>
      <c r="G30" s="17">
        <f t="shared" si="3"/>
        <v>42.19</v>
      </c>
      <c r="H30" s="17">
        <f t="shared" si="4"/>
        <v>0</v>
      </c>
      <c r="I30" s="17">
        <f t="shared" si="5"/>
        <v>0</v>
      </c>
      <c r="J30" s="18">
        <f t="shared" si="6"/>
        <v>0</v>
      </c>
      <c r="K30" s="18">
        <f t="shared" si="7"/>
        <v>0</v>
      </c>
      <c r="L30" s="18">
        <f t="shared" si="1"/>
        <v>42.19</v>
      </c>
      <c r="M30" s="18">
        <f t="shared" si="8"/>
        <v>1.0356450635978196</v>
      </c>
      <c r="N30" s="18">
        <f t="shared" si="2"/>
        <v>43.225645063597817</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716000</v>
      </c>
      <c r="D32" s="11">
        <v>730000</v>
      </c>
      <c r="E32" s="11">
        <v>0</v>
      </c>
      <c r="F32" s="11">
        <f t="shared" si="0"/>
        <v>14000</v>
      </c>
      <c r="G32" s="17">
        <f t="shared" si="3"/>
        <v>42.19</v>
      </c>
      <c r="H32" s="17">
        <f t="shared" si="4"/>
        <v>9.1999999999999993</v>
      </c>
      <c r="I32" s="17">
        <f t="shared" si="5"/>
        <v>0</v>
      </c>
      <c r="J32" s="18">
        <f t="shared" si="6"/>
        <v>0</v>
      </c>
      <c r="K32" s="18">
        <f t="shared" si="7"/>
        <v>0</v>
      </c>
      <c r="L32" s="18">
        <f t="shared" si="1"/>
        <v>51.39</v>
      </c>
      <c r="M32" s="18">
        <f t="shared" si="8"/>
        <v>1.4499030890369475</v>
      </c>
      <c r="N32" s="18">
        <f t="shared" si="2"/>
        <v>52.839903089036952</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2620000</v>
      </c>
      <c r="D35" s="11">
        <v>2689000</v>
      </c>
      <c r="E35" s="11">
        <v>0</v>
      </c>
      <c r="F35" s="11">
        <f t="shared" si="0"/>
        <v>69000</v>
      </c>
      <c r="G35" s="17">
        <f t="shared" si="3"/>
        <v>42.19</v>
      </c>
      <c r="H35" s="17">
        <f t="shared" si="4"/>
        <v>23</v>
      </c>
      <c r="I35" s="17">
        <f t="shared" si="5"/>
        <v>26.7</v>
      </c>
      <c r="J35" s="18">
        <f t="shared" si="6"/>
        <v>31</v>
      </c>
      <c r="K35" s="18">
        <f t="shared" si="7"/>
        <v>104.4</v>
      </c>
      <c r="L35" s="18">
        <f t="shared" si="1"/>
        <v>227.29000000000002</v>
      </c>
      <c r="M35" s="18">
        <f t="shared" si="8"/>
        <v>7.1459509388249556</v>
      </c>
      <c r="N35" s="18">
        <f t="shared" si="2"/>
        <v>234.43595093882499</v>
      </c>
      <c r="O35" s="8"/>
    </row>
    <row r="36" spans="1:15">
      <c r="A36" s="1" t="s">
        <v>26</v>
      </c>
      <c r="B36" s="11"/>
      <c r="C36" s="11">
        <v>479000</v>
      </c>
      <c r="D36" s="11">
        <v>518000</v>
      </c>
      <c r="E36" s="11">
        <v>0</v>
      </c>
      <c r="F36" s="11">
        <f t="shared" si="0"/>
        <v>39000</v>
      </c>
      <c r="G36" s="17">
        <f t="shared" si="3"/>
        <v>42.19</v>
      </c>
      <c r="H36" s="17">
        <f t="shared" si="4"/>
        <v>23</v>
      </c>
      <c r="I36" s="17">
        <f t="shared" si="5"/>
        <v>26.7</v>
      </c>
      <c r="J36" s="18">
        <f t="shared" si="6"/>
        <v>27.900000000000002</v>
      </c>
      <c r="K36" s="18">
        <f t="shared" si="7"/>
        <v>0</v>
      </c>
      <c r="L36" s="18">
        <f t="shared" si="1"/>
        <v>119.79</v>
      </c>
      <c r="M36" s="18">
        <f t="shared" si="8"/>
        <v>4.0390157480314963</v>
      </c>
      <c r="N36" s="18">
        <f t="shared" si="2"/>
        <v>123.82901574803151</v>
      </c>
      <c r="O36" s="8"/>
    </row>
    <row r="37" spans="1:15">
      <c r="A37" s="1" t="s">
        <v>27</v>
      </c>
      <c r="B37" s="11"/>
      <c r="C37" s="11">
        <v>2163000</v>
      </c>
      <c r="D37" s="11">
        <v>2168000</v>
      </c>
      <c r="E37" s="11">
        <v>0</v>
      </c>
      <c r="F37" s="11">
        <f t="shared" si="0"/>
        <v>5000</v>
      </c>
      <c r="G37" s="17">
        <f t="shared" si="3"/>
        <v>42.19</v>
      </c>
      <c r="H37" s="17">
        <f t="shared" si="4"/>
        <v>0</v>
      </c>
      <c r="I37" s="17">
        <f t="shared" si="5"/>
        <v>0</v>
      </c>
      <c r="J37" s="18">
        <f t="shared" si="6"/>
        <v>0</v>
      </c>
      <c r="K37" s="18">
        <f t="shared" si="7"/>
        <v>0</v>
      </c>
      <c r="L37" s="18">
        <f t="shared" si="1"/>
        <v>42.19</v>
      </c>
      <c r="M37" s="18">
        <f t="shared" si="8"/>
        <v>0.5178225317989098</v>
      </c>
      <c r="N37" s="18">
        <f t="shared" si="2"/>
        <v>42.707822531798911</v>
      </c>
      <c r="O37" s="8"/>
    </row>
    <row r="38" spans="1:15">
      <c r="A38" s="1" t="s">
        <v>28</v>
      </c>
      <c r="B38" s="11"/>
      <c r="C38" s="11">
        <v>1413000</v>
      </c>
      <c r="D38" s="11">
        <v>1423000</v>
      </c>
      <c r="E38" s="11">
        <v>0</v>
      </c>
      <c r="F38" s="11">
        <f t="shared" si="0"/>
        <v>10000</v>
      </c>
      <c r="G38" s="17">
        <f t="shared" si="3"/>
        <v>42.19</v>
      </c>
      <c r="H38" s="17">
        <f t="shared" si="4"/>
        <v>0</v>
      </c>
      <c r="I38" s="17">
        <f t="shared" si="5"/>
        <v>0</v>
      </c>
      <c r="J38" s="18">
        <f t="shared" si="6"/>
        <v>0</v>
      </c>
      <c r="K38" s="18">
        <f t="shared" si="7"/>
        <v>0</v>
      </c>
      <c r="L38" s="18">
        <f t="shared" si="1"/>
        <v>42.19</v>
      </c>
      <c r="M38" s="18">
        <f t="shared" si="8"/>
        <v>1.0356450635978196</v>
      </c>
      <c r="N38" s="18">
        <f t="shared" si="2"/>
        <v>43.225645063597817</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561000</v>
      </c>
      <c r="D41" s="11">
        <v>570000</v>
      </c>
      <c r="E41" s="11">
        <v>0</v>
      </c>
      <c r="F41" s="11">
        <f t="shared" si="0"/>
        <v>9000</v>
      </c>
      <c r="G41" s="17">
        <f t="shared" si="3"/>
        <v>42.19</v>
      </c>
      <c r="H41" s="17">
        <f t="shared" si="4"/>
        <v>0</v>
      </c>
      <c r="I41" s="17">
        <f t="shared" si="5"/>
        <v>0</v>
      </c>
      <c r="J41" s="18">
        <f t="shared" si="6"/>
        <v>0</v>
      </c>
      <c r="K41" s="18">
        <f t="shared" si="7"/>
        <v>0</v>
      </c>
      <c r="L41" s="18">
        <f t="shared" si="1"/>
        <v>42.19</v>
      </c>
      <c r="M41" s="18">
        <f t="shared" si="8"/>
        <v>0.93208055723803773</v>
      </c>
      <c r="N41" s="18">
        <f t="shared" si="2"/>
        <v>43.122080557238036</v>
      </c>
      <c r="O41" s="8"/>
    </row>
    <row r="42" spans="1:15">
      <c r="A42" s="1" t="s">
        <v>32</v>
      </c>
      <c r="B42" s="11"/>
      <c r="C42" s="11">
        <v>3931000</v>
      </c>
      <c r="D42" s="11">
        <v>3947000</v>
      </c>
      <c r="E42" s="11">
        <v>0</v>
      </c>
      <c r="F42" s="11">
        <f t="shared" si="0"/>
        <v>16000</v>
      </c>
      <c r="G42" s="17">
        <f t="shared" si="3"/>
        <v>42.19</v>
      </c>
      <c r="H42" s="17">
        <f t="shared" si="4"/>
        <v>13.799999999999999</v>
      </c>
      <c r="I42" s="17">
        <f t="shared" si="5"/>
        <v>0</v>
      </c>
      <c r="J42" s="18">
        <f t="shared" si="6"/>
        <v>0</v>
      </c>
      <c r="K42" s="18">
        <f t="shared" si="7"/>
        <v>0</v>
      </c>
      <c r="L42" s="18">
        <f t="shared" si="1"/>
        <v>55.989999999999995</v>
      </c>
      <c r="M42" s="18">
        <f t="shared" si="8"/>
        <v>1.6570321017565113</v>
      </c>
      <c r="N42" s="18">
        <f t="shared" si="2"/>
        <v>57.647032101756508</v>
      </c>
      <c r="O42" s="8"/>
    </row>
    <row r="43" spans="1:15">
      <c r="A43" s="1" t="s">
        <v>33</v>
      </c>
      <c r="B43" s="11"/>
      <c r="C43" s="11">
        <v>1252000</v>
      </c>
      <c r="D43" s="11">
        <v>1271000</v>
      </c>
      <c r="E43" s="11">
        <v>0</v>
      </c>
      <c r="F43" s="11">
        <f t="shared" si="0"/>
        <v>19000</v>
      </c>
      <c r="G43" s="17">
        <f t="shared" si="3"/>
        <v>42.19</v>
      </c>
      <c r="H43" s="17">
        <f t="shared" si="4"/>
        <v>20.7</v>
      </c>
      <c r="I43" s="17">
        <f t="shared" si="5"/>
        <v>0</v>
      </c>
      <c r="J43" s="18">
        <f t="shared" si="6"/>
        <v>0</v>
      </c>
      <c r="K43" s="18">
        <f t="shared" si="7"/>
        <v>0</v>
      </c>
      <c r="L43" s="18">
        <f t="shared" si="1"/>
        <v>62.89</v>
      </c>
      <c r="M43" s="18">
        <f t="shared" si="8"/>
        <v>1.9677256208358571</v>
      </c>
      <c r="N43" s="18">
        <f t="shared" si="2"/>
        <v>64.857725620835851</v>
      </c>
      <c r="O43" s="8"/>
    </row>
    <row r="44" spans="1:15">
      <c r="A44" s="1" t="s">
        <v>34</v>
      </c>
      <c r="B44" s="11"/>
      <c r="C44" s="11">
        <v>452000</v>
      </c>
      <c r="D44" s="11">
        <v>530000</v>
      </c>
      <c r="E44" s="11">
        <v>0</v>
      </c>
      <c r="F44" s="11">
        <f t="shared" si="0"/>
        <v>78000</v>
      </c>
      <c r="G44" s="17">
        <f t="shared" si="3"/>
        <v>42.19</v>
      </c>
      <c r="H44" s="17">
        <f t="shared" si="4"/>
        <v>23</v>
      </c>
      <c r="I44" s="17">
        <f t="shared" si="5"/>
        <v>26.7</v>
      </c>
      <c r="J44" s="18">
        <f t="shared" si="6"/>
        <v>31</v>
      </c>
      <c r="K44" s="18">
        <f t="shared" si="7"/>
        <v>136.80000000000001</v>
      </c>
      <c r="L44" s="18">
        <f t="shared" si="1"/>
        <v>259.69</v>
      </c>
      <c r="M44" s="18">
        <f t="shared" si="8"/>
        <v>8.0780314960629926</v>
      </c>
      <c r="N44" s="18">
        <f t="shared" si="2"/>
        <v>267.76803149606297</v>
      </c>
      <c r="O44" s="8" t="s">
        <v>175</v>
      </c>
    </row>
    <row r="45" spans="1:15">
      <c r="A45" s="1" t="s">
        <v>35</v>
      </c>
      <c r="B45" s="11"/>
      <c r="C45" s="11">
        <v>1805000</v>
      </c>
      <c r="D45" s="11">
        <v>1893000</v>
      </c>
      <c r="E45" s="11">
        <v>0</v>
      </c>
      <c r="F45" s="11">
        <f t="shared" si="0"/>
        <v>88000</v>
      </c>
      <c r="G45" s="17">
        <f t="shared" si="3"/>
        <v>42.19</v>
      </c>
      <c r="H45" s="17">
        <f t="shared" si="4"/>
        <v>23</v>
      </c>
      <c r="I45" s="17">
        <f t="shared" si="5"/>
        <v>26.7</v>
      </c>
      <c r="J45" s="18">
        <f t="shared" si="6"/>
        <v>31</v>
      </c>
      <c r="K45" s="18">
        <f t="shared" si="7"/>
        <v>172.8</v>
      </c>
      <c r="L45" s="18">
        <f t="shared" si="1"/>
        <v>295.69</v>
      </c>
      <c r="M45" s="18">
        <f t="shared" si="8"/>
        <v>9.1136765596608118</v>
      </c>
      <c r="N45" s="18">
        <f t="shared" si="2"/>
        <v>304.8036765596608</v>
      </c>
      <c r="O45" s="8"/>
    </row>
    <row r="46" spans="1:15">
      <c r="A46" s="1" t="s">
        <v>36</v>
      </c>
      <c r="B46" s="11"/>
      <c r="C46" s="11">
        <v>1624000</v>
      </c>
      <c r="D46" s="11">
        <v>1632000</v>
      </c>
      <c r="E46" s="11">
        <v>0</v>
      </c>
      <c r="F46" s="11">
        <f t="shared" si="0"/>
        <v>8000</v>
      </c>
      <c r="G46" s="17">
        <f t="shared" si="3"/>
        <v>42.19</v>
      </c>
      <c r="H46" s="17">
        <f t="shared" si="4"/>
        <v>0</v>
      </c>
      <c r="I46" s="17">
        <f t="shared" si="5"/>
        <v>0</v>
      </c>
      <c r="J46" s="18">
        <f t="shared" si="6"/>
        <v>0</v>
      </c>
      <c r="K46" s="18">
        <f t="shared" si="7"/>
        <v>0</v>
      </c>
      <c r="L46" s="18">
        <f t="shared" si="1"/>
        <v>42.19</v>
      </c>
      <c r="M46" s="18">
        <f t="shared" si="8"/>
        <v>0.82851605087825564</v>
      </c>
      <c r="N46" s="18">
        <f t="shared" si="2"/>
        <v>43.018516050878254</v>
      </c>
      <c r="O46" s="8"/>
    </row>
    <row r="47" spans="1:15">
      <c r="A47" s="1" t="s">
        <v>37</v>
      </c>
      <c r="B47" s="11"/>
      <c r="C47" s="11">
        <v>2145000</v>
      </c>
      <c r="D47" s="11">
        <v>2230000</v>
      </c>
      <c r="E47" s="11">
        <v>0</v>
      </c>
      <c r="F47" s="11">
        <f t="shared" si="0"/>
        <v>85000</v>
      </c>
      <c r="G47" s="17">
        <f t="shared" si="3"/>
        <v>42.19</v>
      </c>
      <c r="H47" s="17">
        <f t="shared" si="4"/>
        <v>23</v>
      </c>
      <c r="I47" s="17">
        <f t="shared" si="5"/>
        <v>26.7</v>
      </c>
      <c r="J47" s="18">
        <f t="shared" si="6"/>
        <v>31</v>
      </c>
      <c r="K47" s="18">
        <f t="shared" si="7"/>
        <v>162</v>
      </c>
      <c r="L47" s="18">
        <f t="shared" si="1"/>
        <v>284.89</v>
      </c>
      <c r="M47" s="18">
        <f t="shared" si="8"/>
        <v>8.8029830405814664</v>
      </c>
      <c r="N47" s="18">
        <f t="shared" si="2"/>
        <v>293.69298304058145</v>
      </c>
      <c r="O47" s="8"/>
    </row>
    <row r="48" spans="1:15">
      <c r="A48" s="1" t="s">
        <v>38</v>
      </c>
      <c r="B48" s="11"/>
      <c r="C48" s="11">
        <v>2091000</v>
      </c>
      <c r="D48" s="11">
        <v>2199000</v>
      </c>
      <c r="E48" s="11">
        <v>0</v>
      </c>
      <c r="F48" s="11">
        <f t="shared" si="0"/>
        <v>108000</v>
      </c>
      <c r="G48" s="17">
        <f t="shared" si="3"/>
        <v>42.19</v>
      </c>
      <c r="H48" s="17">
        <f t="shared" si="4"/>
        <v>23</v>
      </c>
      <c r="I48" s="17">
        <f t="shared" si="5"/>
        <v>26.7</v>
      </c>
      <c r="J48" s="18">
        <f t="shared" si="6"/>
        <v>31</v>
      </c>
      <c r="K48" s="18">
        <f t="shared" si="7"/>
        <v>244.8</v>
      </c>
      <c r="L48" s="18">
        <f t="shared" si="1"/>
        <v>367.69</v>
      </c>
      <c r="M48" s="18">
        <f t="shared" si="8"/>
        <v>11.184966686856452</v>
      </c>
      <c r="N48" s="18">
        <f t="shared" si="2"/>
        <v>378.87496668685645</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si="8"/>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8"/>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8"/>
        <v>0</v>
      </c>
      <c r="N51" s="18">
        <f t="shared" si="2"/>
        <v>12.41</v>
      </c>
      <c r="O51" s="8"/>
    </row>
    <row r="52" spans="1:15">
      <c r="A52" s="1" t="s">
        <v>42</v>
      </c>
      <c r="B52" s="11"/>
      <c r="C52" s="11">
        <v>3149000</v>
      </c>
      <c r="D52" s="11">
        <v>3179000</v>
      </c>
      <c r="E52" s="11">
        <v>0</v>
      </c>
      <c r="F52" s="11">
        <f t="shared" si="0"/>
        <v>30000</v>
      </c>
      <c r="G52" s="17">
        <f t="shared" si="3"/>
        <v>42.19</v>
      </c>
      <c r="H52" s="17">
        <f t="shared" si="4"/>
        <v>23</v>
      </c>
      <c r="I52" s="17">
        <f t="shared" si="5"/>
        <v>26.7</v>
      </c>
      <c r="J52" s="18">
        <f t="shared" si="6"/>
        <v>0</v>
      </c>
      <c r="K52" s="18">
        <f t="shared" si="7"/>
        <v>0</v>
      </c>
      <c r="L52" s="18">
        <f t="shared" si="1"/>
        <v>91.89</v>
      </c>
      <c r="M52" s="18">
        <f t="shared" si="8"/>
        <v>3.1069351907934584</v>
      </c>
      <c r="N52" s="18">
        <f t="shared" si="2"/>
        <v>94.996935190793465</v>
      </c>
      <c r="O52" s="8"/>
    </row>
    <row r="53" spans="1:15">
      <c r="A53" s="1" t="s">
        <v>43</v>
      </c>
      <c r="B53" s="11"/>
      <c r="C53" s="11">
        <v>3346000</v>
      </c>
      <c r="D53" s="11">
        <v>3383000</v>
      </c>
      <c r="E53" s="11">
        <v>0</v>
      </c>
      <c r="F53" s="11">
        <f t="shared" si="0"/>
        <v>37000</v>
      </c>
      <c r="G53" s="17">
        <f t="shared" si="3"/>
        <v>42.19</v>
      </c>
      <c r="H53" s="17">
        <f t="shared" si="4"/>
        <v>23</v>
      </c>
      <c r="I53" s="17">
        <f t="shared" si="5"/>
        <v>26.7</v>
      </c>
      <c r="J53" s="18">
        <f t="shared" si="6"/>
        <v>21.7</v>
      </c>
      <c r="K53" s="18">
        <f t="shared" si="7"/>
        <v>0</v>
      </c>
      <c r="L53" s="18">
        <f t="shared" si="1"/>
        <v>113.59</v>
      </c>
      <c r="M53" s="18">
        <f t="shared" si="8"/>
        <v>3.8318867353119321</v>
      </c>
      <c r="N53" s="18">
        <f t="shared" si="2"/>
        <v>117.42188673531193</v>
      </c>
      <c r="O53" s="8"/>
    </row>
    <row r="54" spans="1:15">
      <c r="A54" s="1" t="s">
        <v>44</v>
      </c>
      <c r="B54" s="11"/>
      <c r="C54" s="11">
        <v>4453000</v>
      </c>
      <c r="D54" s="11">
        <v>4533000</v>
      </c>
      <c r="E54" s="11">
        <v>0</v>
      </c>
      <c r="F54" s="11">
        <f t="shared" si="0"/>
        <v>80000</v>
      </c>
      <c r="G54" s="17">
        <f t="shared" si="3"/>
        <v>42.19</v>
      </c>
      <c r="H54" s="17">
        <f t="shared" si="4"/>
        <v>23</v>
      </c>
      <c r="I54" s="17">
        <f t="shared" si="5"/>
        <v>26.7</v>
      </c>
      <c r="J54" s="18">
        <f t="shared" si="6"/>
        <v>31</v>
      </c>
      <c r="K54" s="18">
        <f t="shared" si="7"/>
        <v>144</v>
      </c>
      <c r="L54" s="18">
        <f t="shared" si="1"/>
        <v>266.89</v>
      </c>
      <c r="M54" s="18">
        <f t="shared" si="8"/>
        <v>8.2851605087825568</v>
      </c>
      <c r="N54" s="18">
        <f t="shared" si="2"/>
        <v>275.17516050878254</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8"/>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8"/>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8"/>
        <v>0</v>
      </c>
      <c r="N57" s="18">
        <f t="shared" si="2"/>
        <v>12.41</v>
      </c>
      <c r="O57" s="8"/>
    </row>
    <row r="58" spans="1:15">
      <c r="A58" s="1" t="s">
        <v>48</v>
      </c>
      <c r="B58" s="11"/>
      <c r="C58" s="11">
        <v>1139000</v>
      </c>
      <c r="D58" s="11">
        <v>1141000</v>
      </c>
      <c r="E58" s="11">
        <v>0</v>
      </c>
      <c r="F58" s="11">
        <f t="shared" si="0"/>
        <v>2000</v>
      </c>
      <c r="G58" s="17">
        <f t="shared" si="3"/>
        <v>42.19</v>
      </c>
      <c r="H58" s="17">
        <f t="shared" si="4"/>
        <v>0</v>
      </c>
      <c r="I58" s="17">
        <f t="shared" si="5"/>
        <v>0</v>
      </c>
      <c r="J58" s="18">
        <f t="shared" si="6"/>
        <v>0</v>
      </c>
      <c r="K58" s="18">
        <f t="shared" si="7"/>
        <v>0</v>
      </c>
      <c r="L58" s="18">
        <f t="shared" si="1"/>
        <v>42.19</v>
      </c>
      <c r="M58" s="18">
        <f t="shared" si="8"/>
        <v>0.20712901271956391</v>
      </c>
      <c r="N58" s="18">
        <f t="shared" si="2"/>
        <v>42.39712901271956</v>
      </c>
      <c r="O58" s="8"/>
    </row>
    <row r="59" spans="1:15">
      <c r="A59" s="1" t="s">
        <v>49</v>
      </c>
      <c r="B59" s="11"/>
      <c r="C59" s="11">
        <v>980000</v>
      </c>
      <c r="D59" s="11">
        <v>996000</v>
      </c>
      <c r="E59" s="11">
        <v>0</v>
      </c>
      <c r="F59" s="11">
        <f t="shared" si="0"/>
        <v>16000</v>
      </c>
      <c r="G59" s="17">
        <f t="shared" si="3"/>
        <v>42.19</v>
      </c>
      <c r="H59" s="17">
        <f t="shared" si="4"/>
        <v>13.799999999999999</v>
      </c>
      <c r="I59" s="17">
        <f t="shared" si="5"/>
        <v>0</v>
      </c>
      <c r="J59" s="18">
        <f t="shared" si="6"/>
        <v>0</v>
      </c>
      <c r="K59" s="18">
        <f t="shared" si="7"/>
        <v>0</v>
      </c>
      <c r="L59" s="18">
        <f t="shared" si="1"/>
        <v>55.989999999999995</v>
      </c>
      <c r="M59" s="18">
        <f t="shared" si="8"/>
        <v>1.6570321017565113</v>
      </c>
      <c r="N59" s="18">
        <f t="shared" si="2"/>
        <v>57.647032101756508</v>
      </c>
      <c r="O59" s="8"/>
    </row>
    <row r="60" spans="1:15">
      <c r="A60" s="1" t="s">
        <v>50</v>
      </c>
      <c r="B60" s="11"/>
      <c r="C60" s="11">
        <v>3573000</v>
      </c>
      <c r="D60" s="11">
        <v>3599000</v>
      </c>
      <c r="E60" s="11">
        <v>0</v>
      </c>
      <c r="F60" s="11">
        <f t="shared" si="0"/>
        <v>26000</v>
      </c>
      <c r="G60" s="17">
        <f t="shared" si="3"/>
        <v>42.19</v>
      </c>
      <c r="H60" s="17">
        <f t="shared" si="4"/>
        <v>23</v>
      </c>
      <c r="I60" s="17">
        <f t="shared" si="5"/>
        <v>16.02</v>
      </c>
      <c r="J60" s="18">
        <f t="shared" si="6"/>
        <v>0</v>
      </c>
      <c r="K60" s="18">
        <f t="shared" si="7"/>
        <v>0</v>
      </c>
      <c r="L60" s="18">
        <f t="shared" si="1"/>
        <v>81.209999999999994</v>
      </c>
      <c r="M60" s="18">
        <f t="shared" si="8"/>
        <v>2.6926771653543309</v>
      </c>
      <c r="N60" s="18">
        <f t="shared" si="2"/>
        <v>83.902677165354319</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8"/>
        <v>0</v>
      </c>
      <c r="N61" s="18">
        <f t="shared" si="2"/>
        <v>12.41</v>
      </c>
      <c r="O61" s="8"/>
    </row>
    <row r="62" spans="1:15">
      <c r="A62" s="1" t="s">
        <v>52</v>
      </c>
      <c r="B62" s="11"/>
      <c r="C62" s="11">
        <v>1750000</v>
      </c>
      <c r="D62" s="11">
        <v>1762000</v>
      </c>
      <c r="E62" s="11">
        <v>0</v>
      </c>
      <c r="F62" s="11">
        <f t="shared" si="0"/>
        <v>12000</v>
      </c>
      <c r="G62" s="17">
        <f t="shared" si="3"/>
        <v>42.19</v>
      </c>
      <c r="H62" s="17">
        <f t="shared" si="4"/>
        <v>4.5999999999999996</v>
      </c>
      <c r="I62" s="17">
        <f t="shared" si="5"/>
        <v>0</v>
      </c>
      <c r="J62" s="18">
        <f t="shared" si="6"/>
        <v>0</v>
      </c>
      <c r="K62" s="18">
        <f t="shared" si="7"/>
        <v>0</v>
      </c>
      <c r="L62" s="18">
        <f t="shared" si="1"/>
        <v>46.79</v>
      </c>
      <c r="M62" s="18">
        <f t="shared" si="8"/>
        <v>1.2427740763173836</v>
      </c>
      <c r="N62" s="18">
        <f t="shared" si="2"/>
        <v>48.032774076317381</v>
      </c>
      <c r="O62" s="8"/>
    </row>
    <row r="63" spans="1:15">
      <c r="A63" s="1" t="s">
        <v>53</v>
      </c>
      <c r="B63" s="11"/>
      <c r="C63" s="11">
        <v>2473000</v>
      </c>
      <c r="D63" s="11">
        <v>2505000</v>
      </c>
      <c r="E63" s="11">
        <v>0</v>
      </c>
      <c r="F63" s="11">
        <f t="shared" si="0"/>
        <v>32000</v>
      </c>
      <c r="G63" s="17">
        <f t="shared" si="3"/>
        <v>42.19</v>
      </c>
      <c r="H63" s="17">
        <f t="shared" si="4"/>
        <v>23</v>
      </c>
      <c r="I63" s="17">
        <f t="shared" si="5"/>
        <v>26.7</v>
      </c>
      <c r="J63" s="18">
        <f t="shared" si="6"/>
        <v>6.2</v>
      </c>
      <c r="K63" s="18">
        <f t="shared" si="7"/>
        <v>0</v>
      </c>
      <c r="L63" s="18">
        <f t="shared" si="1"/>
        <v>98.09</v>
      </c>
      <c r="M63" s="18">
        <f t="shared" si="8"/>
        <v>3.3140642035130226</v>
      </c>
      <c r="N63" s="18">
        <f t="shared" si="2"/>
        <v>101.40406420351303</v>
      </c>
      <c r="O63" s="8"/>
    </row>
    <row r="64" spans="1:15">
      <c r="A64" s="1" t="s">
        <v>54</v>
      </c>
      <c r="B64" s="11"/>
      <c r="C64" s="11">
        <v>3688000</v>
      </c>
      <c r="D64" s="11">
        <v>3801000</v>
      </c>
      <c r="E64" s="11">
        <v>0</v>
      </c>
      <c r="F64" s="11">
        <f t="shared" si="0"/>
        <v>113000</v>
      </c>
      <c r="G64" s="17">
        <f t="shared" si="3"/>
        <v>42.19</v>
      </c>
      <c r="H64" s="17">
        <f t="shared" si="4"/>
        <v>23</v>
      </c>
      <c r="I64" s="17">
        <f t="shared" si="5"/>
        <v>26.7</v>
      </c>
      <c r="J64" s="18">
        <f t="shared" si="6"/>
        <v>31</v>
      </c>
      <c r="K64" s="18">
        <f t="shared" si="7"/>
        <v>262.8</v>
      </c>
      <c r="L64" s="18">
        <f t="shared" si="1"/>
        <v>385.69</v>
      </c>
      <c r="M64" s="18">
        <f t="shared" si="8"/>
        <v>11.702789218655361</v>
      </c>
      <c r="N64" s="18">
        <f t="shared" si="2"/>
        <v>397.39278921865537</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8"/>
        <v>0</v>
      </c>
      <c r="N65" s="18">
        <f t="shared" si="2"/>
        <v>12.41</v>
      </c>
      <c r="O65" s="8"/>
    </row>
    <row r="66" spans="1:15">
      <c r="A66" s="1" t="s">
        <v>56</v>
      </c>
      <c r="B66" s="11"/>
      <c r="C66" s="11">
        <v>1642000</v>
      </c>
      <c r="D66" s="11">
        <v>1679000</v>
      </c>
      <c r="E66" s="11">
        <v>0</v>
      </c>
      <c r="F66" s="11">
        <f t="shared" si="0"/>
        <v>37000</v>
      </c>
      <c r="G66" s="17">
        <f t="shared" si="3"/>
        <v>42.19</v>
      </c>
      <c r="H66" s="17">
        <f t="shared" si="4"/>
        <v>23</v>
      </c>
      <c r="I66" s="17">
        <f t="shared" si="5"/>
        <v>26.7</v>
      </c>
      <c r="J66" s="18">
        <f t="shared" si="6"/>
        <v>21.7</v>
      </c>
      <c r="K66" s="18">
        <f t="shared" si="7"/>
        <v>0</v>
      </c>
      <c r="L66" s="18">
        <f t="shared" si="1"/>
        <v>113.59</v>
      </c>
      <c r="M66" s="18">
        <f t="shared" si="8"/>
        <v>3.8318867353119321</v>
      </c>
      <c r="N66" s="18">
        <f t="shared" si="2"/>
        <v>117.42188673531193</v>
      </c>
      <c r="O66" s="8"/>
    </row>
    <row r="67" spans="1:15">
      <c r="A67" s="1" t="s">
        <v>57</v>
      </c>
      <c r="B67" s="11"/>
      <c r="C67" s="11">
        <v>1619000</v>
      </c>
      <c r="D67" s="11">
        <v>1622000</v>
      </c>
      <c r="E67" s="11">
        <v>0</v>
      </c>
      <c r="F67" s="11">
        <f t="shared" si="0"/>
        <v>3000</v>
      </c>
      <c r="G67" s="17">
        <f t="shared" si="3"/>
        <v>42.19</v>
      </c>
      <c r="H67" s="17">
        <f t="shared" si="4"/>
        <v>0</v>
      </c>
      <c r="I67" s="17">
        <f t="shared" si="5"/>
        <v>0</v>
      </c>
      <c r="J67" s="18">
        <f t="shared" si="6"/>
        <v>0</v>
      </c>
      <c r="K67" s="18">
        <f t="shared" si="7"/>
        <v>0</v>
      </c>
      <c r="L67" s="18">
        <f t="shared" si="1"/>
        <v>42.19</v>
      </c>
      <c r="M67" s="18">
        <f t="shared" si="8"/>
        <v>0.31069351907934589</v>
      </c>
      <c r="N67" s="18">
        <f t="shared" si="2"/>
        <v>42.500693519079341</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8"/>
        <v>0</v>
      </c>
      <c r="N68" s="18">
        <f t="shared" si="2"/>
        <v>12.41</v>
      </c>
      <c r="O68" s="8" t="s">
        <v>183</v>
      </c>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8"/>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8"/>
        <v>0</v>
      </c>
      <c r="N70" s="18">
        <f t="shared" si="2"/>
        <v>12.41</v>
      </c>
      <c r="O70" s="8"/>
    </row>
    <row r="71" spans="1:15">
      <c r="A71" s="1" t="s">
        <v>61</v>
      </c>
      <c r="B71" s="11"/>
      <c r="C71" s="11">
        <v>1380000</v>
      </c>
      <c r="D71" s="11">
        <v>1385000</v>
      </c>
      <c r="E71" s="11">
        <v>0</v>
      </c>
      <c r="F71" s="11">
        <f t="shared" si="0"/>
        <v>5000</v>
      </c>
      <c r="G71" s="17">
        <f t="shared" si="3"/>
        <v>42.19</v>
      </c>
      <c r="H71" s="17">
        <f t="shared" si="4"/>
        <v>0</v>
      </c>
      <c r="I71" s="17">
        <f t="shared" si="5"/>
        <v>0</v>
      </c>
      <c r="J71" s="18">
        <f t="shared" si="6"/>
        <v>0</v>
      </c>
      <c r="K71" s="18">
        <f t="shared" si="7"/>
        <v>0</v>
      </c>
      <c r="L71" s="18">
        <f t="shared" si="1"/>
        <v>42.19</v>
      </c>
      <c r="M71" s="18">
        <f t="shared" si="8"/>
        <v>0.5178225317989098</v>
      </c>
      <c r="N71" s="18">
        <f t="shared" si="2"/>
        <v>42.707822531798911</v>
      </c>
      <c r="O71" s="8"/>
    </row>
    <row r="72" spans="1:15">
      <c r="A72" s="1" t="s">
        <v>62</v>
      </c>
      <c r="B72" s="11"/>
      <c r="C72" s="11">
        <v>1976000</v>
      </c>
      <c r="D72" s="11">
        <v>2020000</v>
      </c>
      <c r="E72" s="11">
        <v>0</v>
      </c>
      <c r="F72" s="11">
        <f t="shared" si="0"/>
        <v>44000</v>
      </c>
      <c r="G72" s="17">
        <f t="shared" si="3"/>
        <v>42.19</v>
      </c>
      <c r="H72" s="17">
        <f t="shared" si="4"/>
        <v>23</v>
      </c>
      <c r="I72" s="17">
        <f t="shared" si="5"/>
        <v>26.7</v>
      </c>
      <c r="J72" s="18">
        <f t="shared" si="6"/>
        <v>31</v>
      </c>
      <c r="K72" s="18">
        <f t="shared" si="7"/>
        <v>14.4</v>
      </c>
      <c r="L72" s="18">
        <f t="shared" si="1"/>
        <v>137.29</v>
      </c>
      <c r="M72" s="18">
        <f t="shared" si="8"/>
        <v>4.5568382798304059</v>
      </c>
      <c r="N72" s="18">
        <f t="shared" si="2"/>
        <v>141.84683827983039</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8"/>
        <v>0</v>
      </c>
      <c r="N73" s="18">
        <f t="shared" si="2"/>
        <v>12.41</v>
      </c>
      <c r="O73" s="8"/>
    </row>
    <row r="74" spans="1:15">
      <c r="A74" s="1" t="s">
        <v>64</v>
      </c>
      <c r="B74" s="11"/>
      <c r="C74" s="11">
        <v>5065000</v>
      </c>
      <c r="D74" s="11">
        <v>5116000</v>
      </c>
      <c r="E74" s="11">
        <v>0</v>
      </c>
      <c r="F74" s="11">
        <f t="shared" si="0"/>
        <v>51000</v>
      </c>
      <c r="G74" s="17">
        <f t="shared" si="3"/>
        <v>42.19</v>
      </c>
      <c r="H74" s="17">
        <f t="shared" si="4"/>
        <v>23</v>
      </c>
      <c r="I74" s="17">
        <f t="shared" si="5"/>
        <v>26.7</v>
      </c>
      <c r="J74" s="18">
        <f t="shared" si="6"/>
        <v>31</v>
      </c>
      <c r="K74" s="18">
        <f t="shared" si="7"/>
        <v>39.6</v>
      </c>
      <c r="L74" s="18">
        <f t="shared" si="1"/>
        <v>162.49</v>
      </c>
      <c r="M74" s="18">
        <f t="shared" si="8"/>
        <v>5.2817898243488797</v>
      </c>
      <c r="N74" s="18">
        <f t="shared" si="2"/>
        <v>167.7717898243489</v>
      </c>
      <c r="O74" s="8"/>
    </row>
    <row r="75" spans="1:15">
      <c r="A75" s="1" t="s">
        <v>65</v>
      </c>
      <c r="B75" s="11"/>
      <c r="C75" s="11">
        <v>6855000</v>
      </c>
      <c r="D75" s="11">
        <v>6942000</v>
      </c>
      <c r="E75" s="11">
        <v>0</v>
      </c>
      <c r="F75" s="11">
        <f t="shared" ref="F75:F136" si="9">($D75-$C75)+$E75</f>
        <v>87000</v>
      </c>
      <c r="G75" s="17">
        <f t="shared" si="3"/>
        <v>42.19</v>
      </c>
      <c r="H75" s="17">
        <f t="shared" si="4"/>
        <v>23</v>
      </c>
      <c r="I75" s="17">
        <f t="shared" si="5"/>
        <v>26.7</v>
      </c>
      <c r="J75" s="18">
        <f t="shared" si="6"/>
        <v>31</v>
      </c>
      <c r="K75" s="18">
        <f t="shared" si="7"/>
        <v>169.20000000000002</v>
      </c>
      <c r="L75" s="18">
        <f t="shared" si="1"/>
        <v>292.09000000000003</v>
      </c>
      <c r="M75" s="18">
        <f t="shared" si="8"/>
        <v>9.0101120533010306</v>
      </c>
      <c r="N75" s="18">
        <f t="shared" si="2"/>
        <v>301.10011205330107</v>
      </c>
      <c r="O75" s="8"/>
    </row>
    <row r="76" spans="1:15">
      <c r="A76" s="1" t="s">
        <v>66</v>
      </c>
      <c r="B76" s="11"/>
      <c r="C76" s="11">
        <v>9371000</v>
      </c>
      <c r="D76" s="11">
        <v>9412000</v>
      </c>
      <c r="E76" s="11">
        <v>0</v>
      </c>
      <c r="F76" s="11">
        <f t="shared" si="9"/>
        <v>41000</v>
      </c>
      <c r="G76" s="17">
        <f t="shared" si="3"/>
        <v>42.19</v>
      </c>
      <c r="H76" s="17">
        <f t="shared" si="4"/>
        <v>23</v>
      </c>
      <c r="I76" s="17">
        <f t="shared" si="5"/>
        <v>26.7</v>
      </c>
      <c r="J76" s="18">
        <f t="shared" si="6"/>
        <v>31</v>
      </c>
      <c r="K76" s="18">
        <f t="shared" si="7"/>
        <v>3.6</v>
      </c>
      <c r="L76" s="18">
        <f t="shared" ref="L76:L136" si="10">SUM(G76:K76)</f>
        <v>126.49</v>
      </c>
      <c r="M76" s="18">
        <f t="shared" si="8"/>
        <v>4.2461447607510605</v>
      </c>
      <c r="N76" s="18">
        <f t="shared" ref="N76:N136" si="11">SUM(L76:M76)</f>
        <v>130.73614476075105</v>
      </c>
      <c r="O76" s="8"/>
    </row>
    <row r="77" spans="1:15">
      <c r="A77" s="1" t="s">
        <v>67</v>
      </c>
      <c r="B77" s="11" t="s">
        <v>138</v>
      </c>
      <c r="C77" s="11">
        <v>0</v>
      </c>
      <c r="D77" s="11">
        <v>0</v>
      </c>
      <c r="E77" s="11">
        <v>0</v>
      </c>
      <c r="F77" s="11">
        <f t="shared" si="9"/>
        <v>0</v>
      </c>
      <c r="G77" s="17">
        <f t="shared" si="3"/>
        <v>12.41</v>
      </c>
      <c r="H77" s="17">
        <f t="shared" si="4"/>
        <v>0</v>
      </c>
      <c r="I77" s="17">
        <f t="shared" si="5"/>
        <v>0</v>
      </c>
      <c r="J77" s="18">
        <f t="shared" si="6"/>
        <v>0</v>
      </c>
      <c r="K77" s="18">
        <f t="shared" si="7"/>
        <v>0</v>
      </c>
      <c r="L77" s="18">
        <f t="shared" si="10"/>
        <v>12.41</v>
      </c>
      <c r="M77" s="18">
        <f t="shared" si="8"/>
        <v>0</v>
      </c>
      <c r="N77" s="18">
        <f t="shared" si="11"/>
        <v>12.41</v>
      </c>
      <c r="O77" s="8"/>
    </row>
    <row r="78" spans="1:15">
      <c r="A78" s="1" t="s">
        <v>68</v>
      </c>
      <c r="B78" s="11"/>
      <c r="C78" s="11">
        <v>3690000</v>
      </c>
      <c r="D78" s="11">
        <v>3723000</v>
      </c>
      <c r="E78" s="11">
        <v>0</v>
      </c>
      <c r="F78" s="11">
        <f t="shared" si="9"/>
        <v>33000</v>
      </c>
      <c r="G78" s="17">
        <f t="shared" si="3"/>
        <v>42.19</v>
      </c>
      <c r="H78" s="17">
        <f t="shared" si="4"/>
        <v>23</v>
      </c>
      <c r="I78" s="17">
        <f t="shared" si="5"/>
        <v>26.7</v>
      </c>
      <c r="J78" s="18">
        <f t="shared" si="6"/>
        <v>9.3000000000000007</v>
      </c>
      <c r="K78" s="18">
        <f t="shared" si="7"/>
        <v>0</v>
      </c>
      <c r="L78" s="18">
        <f t="shared" si="10"/>
        <v>101.19</v>
      </c>
      <c r="M78" s="18">
        <f t="shared" si="8"/>
        <v>3.4176287098728046</v>
      </c>
      <c r="N78" s="18">
        <f t="shared" si="11"/>
        <v>104.6076287098728</v>
      </c>
      <c r="O78" s="8"/>
    </row>
    <row r="79" spans="1:15">
      <c r="A79" s="1" t="s">
        <v>69</v>
      </c>
      <c r="B79" s="11"/>
      <c r="C79" s="11">
        <v>2472000</v>
      </c>
      <c r="D79" s="11">
        <v>2490000</v>
      </c>
      <c r="E79" s="11">
        <v>0</v>
      </c>
      <c r="F79" s="11">
        <f t="shared" si="9"/>
        <v>18000</v>
      </c>
      <c r="G79" s="17">
        <f t="shared" si="3"/>
        <v>42.19</v>
      </c>
      <c r="H79" s="17">
        <f t="shared" si="4"/>
        <v>18.399999999999999</v>
      </c>
      <c r="I79" s="17">
        <f t="shared" si="5"/>
        <v>0</v>
      </c>
      <c r="J79" s="18">
        <f t="shared" si="6"/>
        <v>0</v>
      </c>
      <c r="K79" s="18">
        <f t="shared" si="7"/>
        <v>0</v>
      </c>
      <c r="L79" s="18">
        <f t="shared" si="10"/>
        <v>60.589999999999996</v>
      </c>
      <c r="M79" s="18">
        <f t="shared" si="8"/>
        <v>1.8641611144760755</v>
      </c>
      <c r="N79" s="18">
        <f t="shared" si="11"/>
        <v>62.454161114476072</v>
      </c>
      <c r="O79" s="8"/>
    </row>
    <row r="80" spans="1:15">
      <c r="A80" s="1" t="s">
        <v>70</v>
      </c>
      <c r="B80" s="11"/>
      <c r="C80" s="11">
        <v>1548000</v>
      </c>
      <c r="D80" s="11">
        <v>1575000</v>
      </c>
      <c r="E80" s="11">
        <v>0</v>
      </c>
      <c r="F80" s="11">
        <f t="shared" si="9"/>
        <v>27000</v>
      </c>
      <c r="G80" s="17">
        <f t="shared" si="3"/>
        <v>42.19</v>
      </c>
      <c r="H80" s="17">
        <f t="shared" si="4"/>
        <v>23</v>
      </c>
      <c r="I80" s="17">
        <f t="shared" si="5"/>
        <v>18.689999999999998</v>
      </c>
      <c r="J80" s="18">
        <f t="shared" si="6"/>
        <v>0</v>
      </c>
      <c r="K80" s="18">
        <f t="shared" si="7"/>
        <v>0</v>
      </c>
      <c r="L80" s="18">
        <f t="shared" si="10"/>
        <v>83.88</v>
      </c>
      <c r="M80" s="18">
        <f t="shared" si="8"/>
        <v>2.796241671714113</v>
      </c>
      <c r="N80" s="18">
        <f t="shared" si="11"/>
        <v>86.676241671714109</v>
      </c>
      <c r="O80" s="8"/>
    </row>
    <row r="81" spans="1:15">
      <c r="A81" s="1" t="s">
        <v>71</v>
      </c>
      <c r="B81" s="11" t="s">
        <v>138</v>
      </c>
      <c r="C81" s="11">
        <v>0</v>
      </c>
      <c r="D81" s="11">
        <v>0</v>
      </c>
      <c r="E81" s="11">
        <v>0</v>
      </c>
      <c r="F81" s="11">
        <f t="shared" si="9"/>
        <v>0</v>
      </c>
      <c r="G81" s="17">
        <f t="shared" ref="G81:G136" si="12">IF(OR($F81&gt;0,$B81=""),$K$4,$N$4)</f>
        <v>12.41</v>
      </c>
      <c r="H81" s="17">
        <f t="shared" ref="H81:H136" si="13">IF(AND((($F81-10000)&gt;=0),(($F81-10000)&lt;= 10000)),($F81-10000)/1000*$K$5,IF(($F81-10000)&gt;=10000,$K$5*10,0))</f>
        <v>0</v>
      </c>
      <c r="I81" s="17">
        <f t="shared" ref="I81:I136" si="14">IF(AND((($F81-20000)&gt;=0),(($F81-20000)&lt;=10000)),($F81-20000)/1000*$K$6,IF(($F81-20000)&gt;=10000,$K$6*10,0))</f>
        <v>0</v>
      </c>
      <c r="J81" s="18">
        <f t="shared" ref="J81:J136" si="15">IF(AND((($F81-30000)&gt;=0),(($F81-30000)&lt;=10000)),($F81-30000)/1000*$K$7,IF(($F81-30000)&gt;=10000,$K$7*10,0))</f>
        <v>0</v>
      </c>
      <c r="K81" s="18">
        <f t="shared" ref="K81:K136" si="16">IF((($F81-40000)&gt;=0),($F81-40000)/1000*$K$8,0)</f>
        <v>0</v>
      </c>
      <c r="L81" s="18">
        <f t="shared" si="10"/>
        <v>12.41</v>
      </c>
      <c r="M81" s="18">
        <f t="shared" ref="M81:M136" si="17">IF(   $H$5=1,    IF((F81-$H$6)&gt;0,((F81-$H$6)/$P$7)*$E$8,0),   IF(F81&gt;0,(F81/$P$4)*$E$8,0)    )</f>
        <v>0</v>
      </c>
      <c r="N81" s="18">
        <f t="shared" si="11"/>
        <v>12.41</v>
      </c>
      <c r="O81" s="8"/>
    </row>
    <row r="82" spans="1:15">
      <c r="A82" s="1" t="s">
        <v>72</v>
      </c>
      <c r="B82" s="11"/>
      <c r="C82" s="11">
        <v>300000</v>
      </c>
      <c r="D82" s="11">
        <v>340000</v>
      </c>
      <c r="E82" s="11">
        <v>0</v>
      </c>
      <c r="F82" s="11">
        <f t="shared" si="9"/>
        <v>40000</v>
      </c>
      <c r="G82" s="17">
        <f t="shared" si="12"/>
        <v>42.19</v>
      </c>
      <c r="H82" s="17">
        <f t="shared" si="13"/>
        <v>23</v>
      </c>
      <c r="I82" s="17">
        <f t="shared" si="14"/>
        <v>26.7</v>
      </c>
      <c r="J82" s="18">
        <f t="shared" si="15"/>
        <v>31</v>
      </c>
      <c r="K82" s="18">
        <f t="shared" si="16"/>
        <v>0</v>
      </c>
      <c r="L82" s="18">
        <f t="shared" si="10"/>
        <v>122.89</v>
      </c>
      <c r="M82" s="18">
        <f t="shared" si="17"/>
        <v>4.1425802543912784</v>
      </c>
      <c r="N82" s="18">
        <f t="shared" si="11"/>
        <v>127.03258025439128</v>
      </c>
      <c r="O82" s="8" t="s">
        <v>139</v>
      </c>
    </row>
    <row r="83" spans="1:15">
      <c r="A83" s="1" t="s">
        <v>73</v>
      </c>
      <c r="B83" s="11"/>
      <c r="C83" s="11">
        <v>1997000</v>
      </c>
      <c r="D83" s="11">
        <v>2002000</v>
      </c>
      <c r="E83" s="11">
        <v>0</v>
      </c>
      <c r="F83" s="11">
        <f t="shared" si="9"/>
        <v>5000</v>
      </c>
      <c r="G83" s="17">
        <f t="shared" si="12"/>
        <v>42.19</v>
      </c>
      <c r="H83" s="17">
        <f t="shared" si="13"/>
        <v>0</v>
      </c>
      <c r="I83" s="17">
        <f t="shared" si="14"/>
        <v>0</v>
      </c>
      <c r="J83" s="18">
        <f t="shared" si="15"/>
        <v>0</v>
      </c>
      <c r="K83" s="18">
        <f t="shared" si="16"/>
        <v>0</v>
      </c>
      <c r="L83" s="18">
        <f t="shared" si="10"/>
        <v>42.19</v>
      </c>
      <c r="M83" s="18">
        <f t="shared" si="17"/>
        <v>0.5178225317989098</v>
      </c>
      <c r="N83" s="18">
        <f t="shared" si="11"/>
        <v>42.707822531798911</v>
      </c>
      <c r="O83" s="8"/>
    </row>
    <row r="84" spans="1:15">
      <c r="A84" s="1" t="s">
        <v>74</v>
      </c>
      <c r="B84" s="11" t="s">
        <v>138</v>
      </c>
      <c r="C84" s="11">
        <v>0</v>
      </c>
      <c r="D84" s="11">
        <v>0</v>
      </c>
      <c r="E84" s="11">
        <v>0</v>
      </c>
      <c r="F84" s="11">
        <f t="shared" si="9"/>
        <v>0</v>
      </c>
      <c r="G84" s="17">
        <f t="shared" si="12"/>
        <v>12.41</v>
      </c>
      <c r="H84" s="17">
        <f t="shared" si="13"/>
        <v>0</v>
      </c>
      <c r="I84" s="17">
        <f t="shared" si="14"/>
        <v>0</v>
      </c>
      <c r="J84" s="18">
        <f t="shared" si="15"/>
        <v>0</v>
      </c>
      <c r="K84" s="18">
        <f t="shared" si="16"/>
        <v>0</v>
      </c>
      <c r="L84" s="18">
        <f t="shared" si="10"/>
        <v>12.41</v>
      </c>
      <c r="M84" s="18">
        <f t="shared" si="17"/>
        <v>0</v>
      </c>
      <c r="N84" s="18">
        <f t="shared" si="11"/>
        <v>12.41</v>
      </c>
      <c r="O84" s="8"/>
    </row>
    <row r="85" spans="1:15">
      <c r="A85" s="1" t="s">
        <v>75</v>
      </c>
      <c r="B85" s="11"/>
      <c r="C85" s="11">
        <v>752000</v>
      </c>
      <c r="D85" s="11">
        <v>755000</v>
      </c>
      <c r="E85" s="11">
        <v>0</v>
      </c>
      <c r="F85" s="11">
        <f t="shared" si="9"/>
        <v>3000</v>
      </c>
      <c r="G85" s="17">
        <f t="shared" si="12"/>
        <v>42.19</v>
      </c>
      <c r="H85" s="17">
        <f t="shared" si="13"/>
        <v>0</v>
      </c>
      <c r="I85" s="17">
        <f t="shared" si="14"/>
        <v>0</v>
      </c>
      <c r="J85" s="18">
        <f t="shared" si="15"/>
        <v>0</v>
      </c>
      <c r="K85" s="18">
        <f t="shared" si="16"/>
        <v>0</v>
      </c>
      <c r="L85" s="18">
        <f t="shared" si="10"/>
        <v>42.19</v>
      </c>
      <c r="M85" s="18">
        <f t="shared" si="17"/>
        <v>0.31069351907934589</v>
      </c>
      <c r="N85" s="18">
        <f t="shared" si="11"/>
        <v>42.500693519079341</v>
      </c>
      <c r="O85" s="8"/>
    </row>
    <row r="86" spans="1:15">
      <c r="A86" s="1" t="s">
        <v>76</v>
      </c>
      <c r="B86" s="11"/>
      <c r="C86" s="11">
        <v>278000</v>
      </c>
      <c r="D86" s="11">
        <v>307000</v>
      </c>
      <c r="E86" s="11">
        <v>0</v>
      </c>
      <c r="F86" s="11">
        <f t="shared" si="9"/>
        <v>29000</v>
      </c>
      <c r="G86" s="17">
        <f t="shared" si="12"/>
        <v>42.19</v>
      </c>
      <c r="H86" s="17">
        <f t="shared" si="13"/>
        <v>23</v>
      </c>
      <c r="I86" s="17">
        <f t="shared" si="14"/>
        <v>24.03</v>
      </c>
      <c r="J86" s="18">
        <f t="shared" si="15"/>
        <v>0</v>
      </c>
      <c r="K86" s="18">
        <f t="shared" si="16"/>
        <v>0</v>
      </c>
      <c r="L86" s="18">
        <f t="shared" si="10"/>
        <v>89.22</v>
      </c>
      <c r="M86" s="18">
        <f t="shared" si="17"/>
        <v>3.0033706844336772</v>
      </c>
      <c r="N86" s="18">
        <f t="shared" si="11"/>
        <v>92.223370684433675</v>
      </c>
      <c r="O86" s="8" t="s">
        <v>139</v>
      </c>
    </row>
    <row r="87" spans="1:15">
      <c r="A87" s="1" t="s">
        <v>77</v>
      </c>
      <c r="B87" s="11"/>
      <c r="C87" s="11">
        <v>149000</v>
      </c>
      <c r="D87" s="11">
        <v>165000</v>
      </c>
      <c r="E87" s="11">
        <v>0</v>
      </c>
      <c r="F87" s="11">
        <f t="shared" si="9"/>
        <v>16000</v>
      </c>
      <c r="G87" s="17">
        <f t="shared" si="12"/>
        <v>42.19</v>
      </c>
      <c r="H87" s="17">
        <f t="shared" si="13"/>
        <v>13.799999999999999</v>
      </c>
      <c r="I87" s="17">
        <f t="shared" si="14"/>
        <v>0</v>
      </c>
      <c r="J87" s="18">
        <f t="shared" si="15"/>
        <v>0</v>
      </c>
      <c r="K87" s="18">
        <f t="shared" si="16"/>
        <v>0</v>
      </c>
      <c r="L87" s="18">
        <f t="shared" si="10"/>
        <v>55.989999999999995</v>
      </c>
      <c r="M87" s="18">
        <f t="shared" si="17"/>
        <v>1.6570321017565113</v>
      </c>
      <c r="N87" s="18">
        <f t="shared" si="11"/>
        <v>57.647032101756508</v>
      </c>
      <c r="O87" s="8"/>
    </row>
    <row r="88" spans="1:15">
      <c r="A88" s="1" t="s">
        <v>78</v>
      </c>
      <c r="B88" s="11"/>
      <c r="C88" s="11">
        <v>1409000</v>
      </c>
      <c r="D88" s="11">
        <v>1468000</v>
      </c>
      <c r="E88" s="11">
        <v>0</v>
      </c>
      <c r="F88" s="11">
        <f t="shared" si="9"/>
        <v>59000</v>
      </c>
      <c r="G88" s="17">
        <f t="shared" si="12"/>
        <v>42.19</v>
      </c>
      <c r="H88" s="17">
        <f t="shared" si="13"/>
        <v>23</v>
      </c>
      <c r="I88" s="17">
        <f t="shared" si="14"/>
        <v>26.7</v>
      </c>
      <c r="J88" s="18">
        <f t="shared" si="15"/>
        <v>31</v>
      </c>
      <c r="K88" s="18">
        <f t="shared" si="16"/>
        <v>68.400000000000006</v>
      </c>
      <c r="L88" s="18">
        <f t="shared" si="10"/>
        <v>191.29000000000002</v>
      </c>
      <c r="M88" s="18">
        <f t="shared" si="17"/>
        <v>6.1103058752271364</v>
      </c>
      <c r="N88" s="18">
        <f t="shared" si="11"/>
        <v>197.40030587522716</v>
      </c>
      <c r="O88" s="8"/>
    </row>
    <row r="89" spans="1:15">
      <c r="A89" s="1" t="s">
        <v>79</v>
      </c>
      <c r="B89" s="11"/>
      <c r="C89" s="11">
        <v>3502000</v>
      </c>
      <c r="D89" s="11">
        <v>3511000</v>
      </c>
      <c r="E89" s="11">
        <v>0</v>
      </c>
      <c r="F89" s="11">
        <f t="shared" si="9"/>
        <v>9000</v>
      </c>
      <c r="G89" s="17">
        <f t="shared" si="12"/>
        <v>42.19</v>
      </c>
      <c r="H89" s="17">
        <f t="shared" si="13"/>
        <v>0</v>
      </c>
      <c r="I89" s="17">
        <f t="shared" si="14"/>
        <v>0</v>
      </c>
      <c r="J89" s="18">
        <f t="shared" si="15"/>
        <v>0</v>
      </c>
      <c r="K89" s="18">
        <f t="shared" si="16"/>
        <v>0</v>
      </c>
      <c r="L89" s="18">
        <f t="shared" si="10"/>
        <v>42.19</v>
      </c>
      <c r="M89" s="18">
        <f t="shared" si="17"/>
        <v>0.93208055723803773</v>
      </c>
      <c r="N89" s="18">
        <f t="shared" si="11"/>
        <v>43.122080557238036</v>
      </c>
      <c r="O89" s="8"/>
    </row>
    <row r="90" spans="1:15">
      <c r="A90" s="1" t="s">
        <v>80</v>
      </c>
      <c r="B90" s="11"/>
      <c r="C90" s="11">
        <v>3048000</v>
      </c>
      <c r="D90" s="11">
        <v>3053000</v>
      </c>
      <c r="E90" s="11">
        <v>0</v>
      </c>
      <c r="F90" s="11">
        <f t="shared" si="9"/>
        <v>5000</v>
      </c>
      <c r="G90" s="17">
        <f t="shared" si="12"/>
        <v>42.19</v>
      </c>
      <c r="H90" s="17">
        <f t="shared" si="13"/>
        <v>0</v>
      </c>
      <c r="I90" s="17">
        <f t="shared" si="14"/>
        <v>0</v>
      </c>
      <c r="J90" s="18">
        <f t="shared" si="15"/>
        <v>0</v>
      </c>
      <c r="K90" s="18">
        <f t="shared" si="16"/>
        <v>0</v>
      </c>
      <c r="L90" s="18">
        <f t="shared" si="10"/>
        <v>42.19</v>
      </c>
      <c r="M90" s="18">
        <f t="shared" si="17"/>
        <v>0.5178225317989098</v>
      </c>
      <c r="N90" s="18">
        <f t="shared" si="11"/>
        <v>42.707822531798911</v>
      </c>
      <c r="O90" s="8"/>
    </row>
    <row r="91" spans="1:15">
      <c r="A91" s="1" t="s">
        <v>81</v>
      </c>
      <c r="B91" s="11" t="s">
        <v>138</v>
      </c>
      <c r="C91" s="11">
        <v>0</v>
      </c>
      <c r="D91" s="11">
        <v>0</v>
      </c>
      <c r="E91" s="11">
        <v>0</v>
      </c>
      <c r="F91" s="11">
        <f t="shared" si="9"/>
        <v>0</v>
      </c>
      <c r="G91" s="17">
        <f t="shared" si="12"/>
        <v>12.41</v>
      </c>
      <c r="H91" s="17">
        <f t="shared" si="13"/>
        <v>0</v>
      </c>
      <c r="I91" s="17">
        <f t="shared" si="14"/>
        <v>0</v>
      </c>
      <c r="J91" s="18">
        <f t="shared" si="15"/>
        <v>0</v>
      </c>
      <c r="K91" s="18">
        <f t="shared" si="16"/>
        <v>0</v>
      </c>
      <c r="L91" s="18">
        <f t="shared" si="10"/>
        <v>12.41</v>
      </c>
      <c r="M91" s="18">
        <f t="shared" si="17"/>
        <v>0</v>
      </c>
      <c r="N91" s="18">
        <f t="shared" si="11"/>
        <v>12.41</v>
      </c>
      <c r="O91" s="8"/>
    </row>
    <row r="92" spans="1:15">
      <c r="A92" s="1" t="s">
        <v>82</v>
      </c>
      <c r="B92" s="11"/>
      <c r="C92" s="11">
        <v>3428000</v>
      </c>
      <c r="D92" s="11">
        <v>3498000</v>
      </c>
      <c r="E92" s="11">
        <v>0</v>
      </c>
      <c r="F92" s="11">
        <f t="shared" si="9"/>
        <v>70000</v>
      </c>
      <c r="G92" s="17">
        <f t="shared" si="12"/>
        <v>42.19</v>
      </c>
      <c r="H92" s="17">
        <f t="shared" si="13"/>
        <v>23</v>
      </c>
      <c r="I92" s="17">
        <f t="shared" si="14"/>
        <v>26.7</v>
      </c>
      <c r="J92" s="18">
        <f t="shared" si="15"/>
        <v>31</v>
      </c>
      <c r="K92" s="18">
        <f t="shared" si="16"/>
        <v>108</v>
      </c>
      <c r="L92" s="18">
        <f t="shared" si="10"/>
        <v>230.89</v>
      </c>
      <c r="M92" s="18">
        <f t="shared" si="17"/>
        <v>7.2495154451847377</v>
      </c>
      <c r="N92" s="18">
        <f t="shared" si="11"/>
        <v>238.13951544518471</v>
      </c>
      <c r="O92" s="8"/>
    </row>
    <row r="93" spans="1:15">
      <c r="A93" s="1" t="s">
        <v>83</v>
      </c>
      <c r="B93" s="11"/>
      <c r="C93" s="11">
        <v>7766000</v>
      </c>
      <c r="D93" s="11">
        <v>7827000</v>
      </c>
      <c r="E93" s="11">
        <v>0</v>
      </c>
      <c r="F93" s="11">
        <f t="shared" si="9"/>
        <v>61000</v>
      </c>
      <c r="G93" s="17">
        <f t="shared" si="12"/>
        <v>42.19</v>
      </c>
      <c r="H93" s="17">
        <f t="shared" si="13"/>
        <v>23</v>
      </c>
      <c r="I93" s="17">
        <f t="shared" si="14"/>
        <v>26.7</v>
      </c>
      <c r="J93" s="18">
        <f t="shared" si="15"/>
        <v>31</v>
      </c>
      <c r="K93" s="18">
        <f t="shared" si="16"/>
        <v>75.600000000000009</v>
      </c>
      <c r="L93" s="18">
        <f t="shared" si="10"/>
        <v>198.49</v>
      </c>
      <c r="M93" s="18">
        <f t="shared" si="17"/>
        <v>6.3174348879466988</v>
      </c>
      <c r="N93" s="18">
        <f t="shared" si="11"/>
        <v>204.8074348879467</v>
      </c>
      <c r="O93" s="8"/>
    </row>
    <row r="94" spans="1:15">
      <c r="A94" s="1" t="s">
        <v>84</v>
      </c>
      <c r="B94" s="11"/>
      <c r="C94" s="11">
        <v>3800000</v>
      </c>
      <c r="D94" s="11">
        <v>3800000</v>
      </c>
      <c r="E94" s="11">
        <v>0</v>
      </c>
      <c r="F94" s="11">
        <f t="shared" si="9"/>
        <v>0</v>
      </c>
      <c r="G94" s="17">
        <f t="shared" si="12"/>
        <v>42.19</v>
      </c>
      <c r="H94" s="17">
        <f t="shared" si="13"/>
        <v>0</v>
      </c>
      <c r="I94" s="17">
        <f t="shared" si="14"/>
        <v>0</v>
      </c>
      <c r="J94" s="18">
        <f t="shared" si="15"/>
        <v>0</v>
      </c>
      <c r="K94" s="18">
        <f t="shared" si="16"/>
        <v>0</v>
      </c>
      <c r="L94" s="18">
        <f t="shared" si="10"/>
        <v>42.19</v>
      </c>
      <c r="M94" s="18">
        <f t="shared" si="17"/>
        <v>0</v>
      </c>
      <c r="N94" s="18">
        <f t="shared" si="11"/>
        <v>42.19</v>
      </c>
      <c r="O94" s="8"/>
    </row>
    <row r="95" spans="1:15">
      <c r="A95" s="1" t="s">
        <v>85</v>
      </c>
      <c r="B95" s="11"/>
      <c r="C95" s="11">
        <v>2113000</v>
      </c>
      <c r="D95" s="11">
        <v>2146000</v>
      </c>
      <c r="E95" s="11">
        <v>0</v>
      </c>
      <c r="F95" s="11">
        <f t="shared" si="9"/>
        <v>33000</v>
      </c>
      <c r="G95" s="17">
        <f t="shared" si="12"/>
        <v>42.19</v>
      </c>
      <c r="H95" s="17">
        <f t="shared" si="13"/>
        <v>23</v>
      </c>
      <c r="I95" s="17">
        <f t="shared" si="14"/>
        <v>26.7</v>
      </c>
      <c r="J95" s="18">
        <f t="shared" si="15"/>
        <v>9.3000000000000007</v>
      </c>
      <c r="K95" s="18">
        <f t="shared" si="16"/>
        <v>0</v>
      </c>
      <c r="L95" s="18">
        <f t="shared" si="10"/>
        <v>101.19</v>
      </c>
      <c r="M95" s="18">
        <f t="shared" si="17"/>
        <v>3.4176287098728046</v>
      </c>
      <c r="N95" s="18">
        <f t="shared" si="11"/>
        <v>104.6076287098728</v>
      </c>
      <c r="O95" s="8"/>
    </row>
    <row r="96" spans="1:15">
      <c r="A96" s="1" t="s">
        <v>86</v>
      </c>
      <c r="B96" s="11"/>
      <c r="C96" s="11">
        <v>1876000</v>
      </c>
      <c r="D96" s="11">
        <v>1880000</v>
      </c>
      <c r="E96" s="11">
        <v>0</v>
      </c>
      <c r="F96" s="11">
        <f t="shared" si="9"/>
        <v>4000</v>
      </c>
      <c r="G96" s="17">
        <f t="shared" si="12"/>
        <v>42.19</v>
      </c>
      <c r="H96" s="17">
        <f t="shared" si="13"/>
        <v>0</v>
      </c>
      <c r="I96" s="17">
        <f t="shared" si="14"/>
        <v>0</v>
      </c>
      <c r="J96" s="18">
        <f t="shared" si="15"/>
        <v>0</v>
      </c>
      <c r="K96" s="18">
        <f t="shared" si="16"/>
        <v>0</v>
      </c>
      <c r="L96" s="18">
        <f t="shared" si="10"/>
        <v>42.19</v>
      </c>
      <c r="M96" s="18">
        <f t="shared" si="17"/>
        <v>0.41425802543912782</v>
      </c>
      <c r="N96" s="18">
        <f t="shared" si="11"/>
        <v>42.604258025439123</v>
      </c>
      <c r="O96" s="8"/>
    </row>
    <row r="97" spans="1:15">
      <c r="A97" s="1" t="s">
        <v>87</v>
      </c>
      <c r="B97" s="11" t="s">
        <v>138</v>
      </c>
      <c r="C97" s="11">
        <v>0</v>
      </c>
      <c r="D97" s="11">
        <v>0</v>
      </c>
      <c r="E97" s="11">
        <v>0</v>
      </c>
      <c r="F97" s="11">
        <f t="shared" si="9"/>
        <v>0</v>
      </c>
      <c r="G97" s="17">
        <f t="shared" si="12"/>
        <v>12.41</v>
      </c>
      <c r="H97" s="17">
        <f t="shared" si="13"/>
        <v>0</v>
      </c>
      <c r="I97" s="17">
        <f t="shared" si="14"/>
        <v>0</v>
      </c>
      <c r="J97" s="18">
        <f t="shared" si="15"/>
        <v>0</v>
      </c>
      <c r="K97" s="18">
        <f t="shared" si="16"/>
        <v>0</v>
      </c>
      <c r="L97" s="18">
        <f t="shared" si="10"/>
        <v>12.41</v>
      </c>
      <c r="M97" s="18">
        <f t="shared" si="17"/>
        <v>0</v>
      </c>
      <c r="N97" s="18">
        <f t="shared" si="11"/>
        <v>12.41</v>
      </c>
      <c r="O97" s="8"/>
    </row>
    <row r="98" spans="1:15">
      <c r="A98" s="1" t="s">
        <v>88</v>
      </c>
      <c r="B98" s="11"/>
      <c r="C98" s="11">
        <v>1268000</v>
      </c>
      <c r="D98" s="11">
        <v>1282000</v>
      </c>
      <c r="E98" s="11">
        <v>0</v>
      </c>
      <c r="F98" s="11">
        <f t="shared" si="9"/>
        <v>14000</v>
      </c>
      <c r="G98" s="17">
        <f t="shared" si="12"/>
        <v>42.19</v>
      </c>
      <c r="H98" s="17">
        <f t="shared" si="13"/>
        <v>9.1999999999999993</v>
      </c>
      <c r="I98" s="17">
        <f t="shared" si="14"/>
        <v>0</v>
      </c>
      <c r="J98" s="18">
        <f t="shared" si="15"/>
        <v>0</v>
      </c>
      <c r="K98" s="18">
        <f t="shared" si="16"/>
        <v>0</v>
      </c>
      <c r="L98" s="18">
        <f t="shared" si="10"/>
        <v>51.39</v>
      </c>
      <c r="M98" s="18">
        <f t="shared" si="17"/>
        <v>1.4499030890369475</v>
      </c>
      <c r="N98" s="18">
        <f t="shared" si="11"/>
        <v>52.839903089036952</v>
      </c>
      <c r="O98" s="8"/>
    </row>
    <row r="99" spans="1:15">
      <c r="A99" s="1" t="s">
        <v>89</v>
      </c>
      <c r="B99" s="11"/>
      <c r="C99" s="11">
        <v>2437000</v>
      </c>
      <c r="D99" s="11">
        <v>2510000</v>
      </c>
      <c r="E99" s="11">
        <v>0</v>
      </c>
      <c r="F99" s="11">
        <f t="shared" si="9"/>
        <v>73000</v>
      </c>
      <c r="G99" s="17">
        <f t="shared" si="12"/>
        <v>42.19</v>
      </c>
      <c r="H99" s="17">
        <f t="shared" si="13"/>
        <v>23</v>
      </c>
      <c r="I99" s="17">
        <f t="shared" si="14"/>
        <v>26.7</v>
      </c>
      <c r="J99" s="18">
        <f t="shared" si="15"/>
        <v>31</v>
      </c>
      <c r="K99" s="18">
        <f t="shared" si="16"/>
        <v>118.8</v>
      </c>
      <c r="L99" s="18">
        <f t="shared" si="10"/>
        <v>241.69</v>
      </c>
      <c r="M99" s="18">
        <f t="shared" si="17"/>
        <v>7.5602089642640822</v>
      </c>
      <c r="N99" s="18">
        <f t="shared" si="11"/>
        <v>249.25020896426409</v>
      </c>
      <c r="O99" s="8"/>
    </row>
    <row r="100" spans="1:15">
      <c r="A100" s="1" t="s">
        <v>90</v>
      </c>
      <c r="B100" s="11"/>
      <c r="C100" s="11">
        <v>1260000</v>
      </c>
      <c r="D100" s="11">
        <v>1264000</v>
      </c>
      <c r="E100" s="11">
        <v>0</v>
      </c>
      <c r="F100" s="11">
        <f t="shared" si="9"/>
        <v>4000</v>
      </c>
      <c r="G100" s="17">
        <f t="shared" si="12"/>
        <v>42.19</v>
      </c>
      <c r="H100" s="17">
        <f t="shared" si="13"/>
        <v>0</v>
      </c>
      <c r="I100" s="17">
        <f t="shared" si="14"/>
        <v>0</v>
      </c>
      <c r="J100" s="18">
        <f t="shared" si="15"/>
        <v>0</v>
      </c>
      <c r="K100" s="18">
        <f t="shared" si="16"/>
        <v>0</v>
      </c>
      <c r="L100" s="18">
        <f t="shared" si="10"/>
        <v>42.19</v>
      </c>
      <c r="M100" s="18">
        <f t="shared" si="17"/>
        <v>0.41425802543912782</v>
      </c>
      <c r="N100" s="18">
        <f t="shared" si="11"/>
        <v>42.604258025439123</v>
      </c>
      <c r="O100" s="8"/>
    </row>
    <row r="101" spans="1:15">
      <c r="A101" s="14" t="s">
        <v>91</v>
      </c>
      <c r="B101" s="15"/>
      <c r="C101" s="15">
        <v>272900</v>
      </c>
      <c r="D101" s="15">
        <v>272900</v>
      </c>
      <c r="E101" s="15">
        <v>0</v>
      </c>
      <c r="F101" s="15">
        <f t="shared" si="9"/>
        <v>0</v>
      </c>
      <c r="G101" s="19">
        <f t="shared" si="12"/>
        <v>42.19</v>
      </c>
      <c r="H101" s="19">
        <f t="shared" si="13"/>
        <v>0</v>
      </c>
      <c r="I101" s="19">
        <f t="shared" si="14"/>
        <v>0</v>
      </c>
      <c r="J101" s="20">
        <f t="shared" si="15"/>
        <v>0</v>
      </c>
      <c r="K101" s="20">
        <f t="shared" si="16"/>
        <v>0</v>
      </c>
      <c r="L101" s="20">
        <f t="shared" si="10"/>
        <v>42.19</v>
      </c>
      <c r="M101" s="20">
        <f t="shared" si="17"/>
        <v>0</v>
      </c>
      <c r="N101" s="20">
        <f t="shared" si="11"/>
        <v>42.19</v>
      </c>
      <c r="O101" s="16"/>
    </row>
    <row r="102" spans="1:15">
      <c r="A102" s="1" t="s">
        <v>92</v>
      </c>
      <c r="B102" s="11"/>
      <c r="C102" s="11">
        <v>2559000</v>
      </c>
      <c r="D102" s="11">
        <v>2567000</v>
      </c>
      <c r="E102" s="11">
        <v>0</v>
      </c>
      <c r="F102" s="11">
        <f t="shared" si="9"/>
        <v>8000</v>
      </c>
      <c r="G102" s="17">
        <f t="shared" si="12"/>
        <v>42.19</v>
      </c>
      <c r="H102" s="17">
        <f t="shared" si="13"/>
        <v>0</v>
      </c>
      <c r="I102" s="17">
        <f t="shared" si="14"/>
        <v>0</v>
      </c>
      <c r="J102" s="18">
        <f t="shared" si="15"/>
        <v>0</v>
      </c>
      <c r="K102" s="18">
        <f t="shared" si="16"/>
        <v>0</v>
      </c>
      <c r="L102" s="18">
        <f t="shared" si="10"/>
        <v>42.19</v>
      </c>
      <c r="M102" s="18">
        <f t="shared" si="17"/>
        <v>0.82851605087825564</v>
      </c>
      <c r="N102" s="18">
        <f t="shared" si="11"/>
        <v>43.018516050878254</v>
      </c>
      <c r="O102" s="8"/>
    </row>
    <row r="103" spans="1:15">
      <c r="A103" s="1" t="s">
        <v>93</v>
      </c>
      <c r="B103" s="11" t="s">
        <v>138</v>
      </c>
      <c r="C103" s="11">
        <v>0</v>
      </c>
      <c r="D103" s="11">
        <v>0</v>
      </c>
      <c r="E103" s="11">
        <v>0</v>
      </c>
      <c r="F103" s="11">
        <f t="shared" si="9"/>
        <v>0</v>
      </c>
      <c r="G103" s="17">
        <f t="shared" si="12"/>
        <v>12.41</v>
      </c>
      <c r="H103" s="17">
        <f t="shared" si="13"/>
        <v>0</v>
      </c>
      <c r="I103" s="17">
        <f t="shared" si="14"/>
        <v>0</v>
      </c>
      <c r="J103" s="18">
        <f t="shared" si="15"/>
        <v>0</v>
      </c>
      <c r="K103" s="18">
        <f t="shared" si="16"/>
        <v>0</v>
      </c>
      <c r="L103" s="18">
        <f t="shared" si="10"/>
        <v>12.41</v>
      </c>
      <c r="M103" s="18">
        <f t="shared" si="17"/>
        <v>0</v>
      </c>
      <c r="N103" s="18">
        <f t="shared" si="11"/>
        <v>12.41</v>
      </c>
      <c r="O103" s="8"/>
    </row>
    <row r="104" spans="1:15">
      <c r="A104" s="1" t="s">
        <v>94</v>
      </c>
      <c r="B104" s="11" t="s">
        <v>138</v>
      </c>
      <c r="C104" s="11">
        <v>0</v>
      </c>
      <c r="D104" s="11">
        <v>0</v>
      </c>
      <c r="E104" s="11">
        <v>0</v>
      </c>
      <c r="F104" s="11">
        <f t="shared" si="9"/>
        <v>0</v>
      </c>
      <c r="G104" s="17">
        <f t="shared" si="12"/>
        <v>12.41</v>
      </c>
      <c r="H104" s="17">
        <f t="shared" si="13"/>
        <v>0</v>
      </c>
      <c r="I104" s="17">
        <f t="shared" si="14"/>
        <v>0</v>
      </c>
      <c r="J104" s="18">
        <f t="shared" si="15"/>
        <v>0</v>
      </c>
      <c r="K104" s="18">
        <f t="shared" si="16"/>
        <v>0</v>
      </c>
      <c r="L104" s="18">
        <f t="shared" si="10"/>
        <v>12.41</v>
      </c>
      <c r="M104" s="18">
        <f t="shared" si="17"/>
        <v>0</v>
      </c>
      <c r="N104" s="18">
        <f t="shared" si="11"/>
        <v>12.41</v>
      </c>
      <c r="O104" s="8"/>
    </row>
    <row r="105" spans="1:15">
      <c r="A105" s="1" t="s">
        <v>95</v>
      </c>
      <c r="B105" s="11" t="s">
        <v>138</v>
      </c>
      <c r="C105" s="11">
        <v>0</v>
      </c>
      <c r="D105" s="11">
        <v>0</v>
      </c>
      <c r="E105" s="11">
        <v>0</v>
      </c>
      <c r="F105" s="11">
        <f t="shared" si="9"/>
        <v>0</v>
      </c>
      <c r="G105" s="17">
        <f t="shared" si="12"/>
        <v>12.41</v>
      </c>
      <c r="H105" s="17">
        <f t="shared" si="13"/>
        <v>0</v>
      </c>
      <c r="I105" s="17">
        <f t="shared" si="14"/>
        <v>0</v>
      </c>
      <c r="J105" s="18">
        <f t="shared" si="15"/>
        <v>0</v>
      </c>
      <c r="K105" s="18">
        <f t="shared" si="16"/>
        <v>0</v>
      </c>
      <c r="L105" s="18">
        <f t="shared" si="10"/>
        <v>12.41</v>
      </c>
      <c r="M105" s="18">
        <f t="shared" si="17"/>
        <v>0</v>
      </c>
      <c r="N105" s="18">
        <f t="shared" si="11"/>
        <v>12.41</v>
      </c>
      <c r="O105" s="8"/>
    </row>
    <row r="106" spans="1:15">
      <c r="A106" s="1" t="s">
        <v>96</v>
      </c>
      <c r="B106" s="11"/>
      <c r="C106" s="11">
        <v>1913000</v>
      </c>
      <c r="D106" s="11">
        <v>1929000</v>
      </c>
      <c r="E106" s="11">
        <v>0</v>
      </c>
      <c r="F106" s="11">
        <f t="shared" si="9"/>
        <v>16000</v>
      </c>
      <c r="G106" s="17">
        <f t="shared" si="12"/>
        <v>42.19</v>
      </c>
      <c r="H106" s="17">
        <f t="shared" si="13"/>
        <v>13.799999999999999</v>
      </c>
      <c r="I106" s="17">
        <f t="shared" si="14"/>
        <v>0</v>
      </c>
      <c r="J106" s="18">
        <f t="shared" si="15"/>
        <v>0</v>
      </c>
      <c r="K106" s="18">
        <f t="shared" si="16"/>
        <v>0</v>
      </c>
      <c r="L106" s="18">
        <f t="shared" si="10"/>
        <v>55.989999999999995</v>
      </c>
      <c r="M106" s="18">
        <f t="shared" si="17"/>
        <v>1.6570321017565113</v>
      </c>
      <c r="N106" s="18">
        <f t="shared" si="11"/>
        <v>57.647032101756508</v>
      </c>
      <c r="O106" s="8"/>
    </row>
    <row r="107" spans="1:15">
      <c r="A107" s="1" t="s">
        <v>97</v>
      </c>
      <c r="B107" s="11" t="s">
        <v>138</v>
      </c>
      <c r="C107" s="11">
        <v>0</v>
      </c>
      <c r="D107" s="11">
        <v>0</v>
      </c>
      <c r="E107" s="11">
        <v>0</v>
      </c>
      <c r="F107" s="11">
        <f t="shared" si="9"/>
        <v>0</v>
      </c>
      <c r="G107" s="17">
        <f t="shared" si="12"/>
        <v>12.41</v>
      </c>
      <c r="H107" s="17">
        <f t="shared" si="13"/>
        <v>0</v>
      </c>
      <c r="I107" s="17">
        <f t="shared" si="14"/>
        <v>0</v>
      </c>
      <c r="J107" s="18">
        <f t="shared" si="15"/>
        <v>0</v>
      </c>
      <c r="K107" s="18">
        <f t="shared" si="16"/>
        <v>0</v>
      </c>
      <c r="L107" s="18">
        <f t="shared" si="10"/>
        <v>12.41</v>
      </c>
      <c r="M107" s="18">
        <f t="shared" si="17"/>
        <v>0</v>
      </c>
      <c r="N107" s="18">
        <f t="shared" si="11"/>
        <v>12.41</v>
      </c>
      <c r="O107" s="8"/>
    </row>
    <row r="108" spans="1:15">
      <c r="A108" s="1" t="s">
        <v>98</v>
      </c>
      <c r="B108" s="11" t="s">
        <v>138</v>
      </c>
      <c r="C108" s="11">
        <v>0</v>
      </c>
      <c r="D108" s="11">
        <v>0</v>
      </c>
      <c r="E108" s="11">
        <v>0</v>
      </c>
      <c r="F108" s="11">
        <f t="shared" si="9"/>
        <v>0</v>
      </c>
      <c r="G108" s="17">
        <f t="shared" si="12"/>
        <v>12.41</v>
      </c>
      <c r="H108" s="17">
        <f t="shared" si="13"/>
        <v>0</v>
      </c>
      <c r="I108" s="17">
        <f t="shared" si="14"/>
        <v>0</v>
      </c>
      <c r="J108" s="18">
        <f t="shared" si="15"/>
        <v>0</v>
      </c>
      <c r="K108" s="18">
        <f t="shared" si="16"/>
        <v>0</v>
      </c>
      <c r="L108" s="18">
        <f t="shared" si="10"/>
        <v>12.41</v>
      </c>
      <c r="M108" s="18">
        <f t="shared" si="17"/>
        <v>0</v>
      </c>
      <c r="N108" s="18">
        <f t="shared" si="11"/>
        <v>12.41</v>
      </c>
      <c r="O108" s="8"/>
    </row>
    <row r="109" spans="1:15">
      <c r="A109" s="1" t="s">
        <v>99</v>
      </c>
      <c r="B109" s="11"/>
      <c r="C109" s="11">
        <v>1680000</v>
      </c>
      <c r="D109" s="11">
        <v>1680000</v>
      </c>
      <c r="E109" s="11">
        <v>0</v>
      </c>
      <c r="F109" s="11">
        <f t="shared" si="9"/>
        <v>0</v>
      </c>
      <c r="G109" s="17">
        <f t="shared" si="12"/>
        <v>42.19</v>
      </c>
      <c r="H109" s="17">
        <f t="shared" si="13"/>
        <v>0</v>
      </c>
      <c r="I109" s="17">
        <f t="shared" si="14"/>
        <v>0</v>
      </c>
      <c r="J109" s="18">
        <f t="shared" si="15"/>
        <v>0</v>
      </c>
      <c r="K109" s="18">
        <f t="shared" si="16"/>
        <v>0</v>
      </c>
      <c r="L109" s="18">
        <f t="shared" si="10"/>
        <v>42.19</v>
      </c>
      <c r="M109" s="18">
        <f t="shared" si="17"/>
        <v>0</v>
      </c>
      <c r="N109" s="18">
        <f t="shared" si="11"/>
        <v>42.19</v>
      </c>
      <c r="O109" s="8"/>
    </row>
    <row r="110" spans="1:15">
      <c r="A110" s="37" t="s">
        <v>100</v>
      </c>
      <c r="B110" s="38"/>
      <c r="C110" s="38">
        <v>546000</v>
      </c>
      <c r="D110" s="38">
        <v>546000</v>
      </c>
      <c r="E110" s="38">
        <v>0</v>
      </c>
      <c r="F110" s="38">
        <f t="shared" si="9"/>
        <v>0</v>
      </c>
      <c r="G110" s="39">
        <f t="shared" si="12"/>
        <v>42.19</v>
      </c>
      <c r="H110" s="39">
        <f t="shared" si="13"/>
        <v>0</v>
      </c>
      <c r="I110" s="39">
        <f t="shared" si="14"/>
        <v>0</v>
      </c>
      <c r="J110" s="40">
        <f t="shared" si="15"/>
        <v>0</v>
      </c>
      <c r="K110" s="40">
        <f t="shared" si="16"/>
        <v>0</v>
      </c>
      <c r="L110" s="40">
        <f t="shared" si="10"/>
        <v>42.19</v>
      </c>
      <c r="M110" s="40">
        <f t="shared" si="17"/>
        <v>0</v>
      </c>
      <c r="N110" s="40">
        <f t="shared" si="11"/>
        <v>42.19</v>
      </c>
      <c r="O110" s="41" t="s">
        <v>184</v>
      </c>
    </row>
    <row r="111" spans="1:15">
      <c r="A111" s="1" t="s">
        <v>101</v>
      </c>
      <c r="B111" s="11"/>
      <c r="C111" s="11">
        <v>4625000</v>
      </c>
      <c r="D111" s="11">
        <v>4650000</v>
      </c>
      <c r="E111" s="11">
        <v>0</v>
      </c>
      <c r="F111" s="11">
        <f t="shared" si="9"/>
        <v>25000</v>
      </c>
      <c r="G111" s="17">
        <f t="shared" si="12"/>
        <v>42.19</v>
      </c>
      <c r="H111" s="17">
        <f t="shared" si="13"/>
        <v>23</v>
      </c>
      <c r="I111" s="17">
        <f t="shared" si="14"/>
        <v>13.35</v>
      </c>
      <c r="J111" s="18">
        <f t="shared" si="15"/>
        <v>0</v>
      </c>
      <c r="K111" s="18">
        <f t="shared" si="16"/>
        <v>0</v>
      </c>
      <c r="L111" s="18">
        <f t="shared" si="10"/>
        <v>78.539999999999992</v>
      </c>
      <c r="M111" s="18">
        <f t="shared" si="17"/>
        <v>2.5891126589945488</v>
      </c>
      <c r="N111" s="18">
        <f t="shared" si="11"/>
        <v>81.129112658994543</v>
      </c>
      <c r="O111" s="8"/>
    </row>
    <row r="112" spans="1:15">
      <c r="A112" s="1" t="s">
        <v>102</v>
      </c>
      <c r="B112" s="11" t="s">
        <v>138</v>
      </c>
      <c r="C112" s="11">
        <v>0</v>
      </c>
      <c r="D112" s="11">
        <v>0</v>
      </c>
      <c r="E112" s="11">
        <v>0</v>
      </c>
      <c r="F112" s="11">
        <f t="shared" si="9"/>
        <v>0</v>
      </c>
      <c r="G112" s="17">
        <f t="shared" si="12"/>
        <v>12.41</v>
      </c>
      <c r="H112" s="17">
        <f t="shared" si="13"/>
        <v>0</v>
      </c>
      <c r="I112" s="17">
        <f t="shared" si="14"/>
        <v>0</v>
      </c>
      <c r="J112" s="18">
        <f t="shared" si="15"/>
        <v>0</v>
      </c>
      <c r="K112" s="18">
        <f t="shared" si="16"/>
        <v>0</v>
      </c>
      <c r="L112" s="18">
        <f t="shared" si="10"/>
        <v>12.41</v>
      </c>
      <c r="M112" s="18">
        <f t="shared" si="17"/>
        <v>0</v>
      </c>
      <c r="N112" s="18">
        <f t="shared" si="11"/>
        <v>12.41</v>
      </c>
      <c r="O112" s="8"/>
    </row>
    <row r="113" spans="1:15">
      <c r="A113" s="1" t="s">
        <v>103</v>
      </c>
      <c r="B113" s="11"/>
      <c r="C113" s="11">
        <v>1381000</v>
      </c>
      <c r="D113" s="11">
        <v>1431000</v>
      </c>
      <c r="E113" s="11">
        <v>0</v>
      </c>
      <c r="F113" s="11">
        <f t="shared" si="9"/>
        <v>50000</v>
      </c>
      <c r="G113" s="17">
        <f t="shared" si="12"/>
        <v>42.19</v>
      </c>
      <c r="H113" s="17">
        <f t="shared" si="13"/>
        <v>23</v>
      </c>
      <c r="I113" s="17">
        <f t="shared" si="14"/>
        <v>26.7</v>
      </c>
      <c r="J113" s="18">
        <f t="shared" si="15"/>
        <v>31</v>
      </c>
      <c r="K113" s="18">
        <f t="shared" si="16"/>
        <v>36</v>
      </c>
      <c r="L113" s="18">
        <f t="shared" si="10"/>
        <v>158.88999999999999</v>
      </c>
      <c r="M113" s="18">
        <f t="shared" si="17"/>
        <v>5.1782253179890976</v>
      </c>
      <c r="N113" s="18">
        <f t="shared" si="11"/>
        <v>164.06822531798909</v>
      </c>
      <c r="O113" s="8"/>
    </row>
    <row r="114" spans="1:15">
      <c r="A114" s="1" t="s">
        <v>104</v>
      </c>
      <c r="B114" s="11" t="s">
        <v>138</v>
      </c>
      <c r="C114" s="11">
        <v>0</v>
      </c>
      <c r="D114" s="11">
        <v>0</v>
      </c>
      <c r="E114" s="11">
        <v>0</v>
      </c>
      <c r="F114" s="11">
        <f t="shared" si="9"/>
        <v>0</v>
      </c>
      <c r="G114" s="17">
        <f t="shared" si="12"/>
        <v>12.41</v>
      </c>
      <c r="H114" s="17">
        <f t="shared" si="13"/>
        <v>0</v>
      </c>
      <c r="I114" s="17">
        <f t="shared" si="14"/>
        <v>0</v>
      </c>
      <c r="J114" s="18">
        <f t="shared" si="15"/>
        <v>0</v>
      </c>
      <c r="K114" s="18">
        <f t="shared" si="16"/>
        <v>0</v>
      </c>
      <c r="L114" s="18">
        <f t="shared" si="10"/>
        <v>12.41</v>
      </c>
      <c r="M114" s="18">
        <f t="shared" si="17"/>
        <v>0</v>
      </c>
      <c r="N114" s="18">
        <f t="shared" si="11"/>
        <v>12.41</v>
      </c>
      <c r="O114" s="8"/>
    </row>
    <row r="115" spans="1:15">
      <c r="A115" s="1" t="s">
        <v>105</v>
      </c>
      <c r="B115" s="11"/>
      <c r="C115" s="11">
        <v>1600000</v>
      </c>
      <c r="D115" s="11">
        <v>1660000</v>
      </c>
      <c r="E115" s="11">
        <v>0</v>
      </c>
      <c r="F115" s="11">
        <f t="shared" si="9"/>
        <v>60000</v>
      </c>
      <c r="G115" s="17">
        <f t="shared" si="12"/>
        <v>42.19</v>
      </c>
      <c r="H115" s="17">
        <f t="shared" si="13"/>
        <v>23</v>
      </c>
      <c r="I115" s="17">
        <f t="shared" si="14"/>
        <v>26.7</v>
      </c>
      <c r="J115" s="18">
        <f t="shared" si="15"/>
        <v>31</v>
      </c>
      <c r="K115" s="18">
        <f t="shared" si="16"/>
        <v>72</v>
      </c>
      <c r="L115" s="18">
        <f t="shared" si="10"/>
        <v>194.89</v>
      </c>
      <c r="M115" s="18">
        <f t="shared" si="17"/>
        <v>6.2138703815869167</v>
      </c>
      <c r="N115" s="18">
        <f t="shared" si="11"/>
        <v>201.10387038158692</v>
      </c>
      <c r="O115" s="8"/>
    </row>
    <row r="116" spans="1:15">
      <c r="A116" s="1" t="s">
        <v>106</v>
      </c>
      <c r="B116" s="11"/>
      <c r="C116" s="11">
        <v>1801000</v>
      </c>
      <c r="D116" s="11">
        <v>1803000</v>
      </c>
      <c r="E116" s="11">
        <v>0</v>
      </c>
      <c r="F116" s="11">
        <f t="shared" si="9"/>
        <v>2000</v>
      </c>
      <c r="G116" s="17">
        <f t="shared" si="12"/>
        <v>42.19</v>
      </c>
      <c r="H116" s="17">
        <f t="shared" si="13"/>
        <v>0</v>
      </c>
      <c r="I116" s="17">
        <f t="shared" si="14"/>
        <v>0</v>
      </c>
      <c r="J116" s="18">
        <f t="shared" si="15"/>
        <v>0</v>
      </c>
      <c r="K116" s="18">
        <f t="shared" si="16"/>
        <v>0</v>
      </c>
      <c r="L116" s="18">
        <f t="shared" si="10"/>
        <v>42.19</v>
      </c>
      <c r="M116" s="18">
        <f t="shared" si="17"/>
        <v>0.20712901271956391</v>
      </c>
      <c r="N116" s="18">
        <f t="shared" si="11"/>
        <v>42.39712901271956</v>
      </c>
      <c r="O116" s="8"/>
    </row>
    <row r="117" spans="1:15">
      <c r="A117" s="1" t="s">
        <v>107</v>
      </c>
      <c r="B117" s="11"/>
      <c r="C117" s="11">
        <v>336000</v>
      </c>
      <c r="D117" s="11">
        <v>338000</v>
      </c>
      <c r="E117" s="11">
        <v>0</v>
      </c>
      <c r="F117" s="11">
        <f t="shared" si="9"/>
        <v>2000</v>
      </c>
      <c r="G117" s="17">
        <f t="shared" si="12"/>
        <v>42.19</v>
      </c>
      <c r="H117" s="17">
        <f t="shared" si="13"/>
        <v>0</v>
      </c>
      <c r="I117" s="17">
        <f t="shared" si="14"/>
        <v>0</v>
      </c>
      <c r="J117" s="18">
        <f t="shared" si="15"/>
        <v>0</v>
      </c>
      <c r="K117" s="18">
        <f t="shared" si="16"/>
        <v>0</v>
      </c>
      <c r="L117" s="18">
        <f t="shared" si="10"/>
        <v>42.19</v>
      </c>
      <c r="M117" s="18">
        <f t="shared" si="17"/>
        <v>0.20712901271956391</v>
      </c>
      <c r="N117" s="18">
        <f t="shared" si="11"/>
        <v>42.39712901271956</v>
      </c>
      <c r="O117" s="8"/>
    </row>
    <row r="118" spans="1:15">
      <c r="A118" s="1" t="s">
        <v>108</v>
      </c>
      <c r="B118" s="11"/>
      <c r="C118" s="11">
        <v>2705000</v>
      </c>
      <c r="D118" s="11">
        <v>2732000</v>
      </c>
      <c r="E118" s="11">
        <v>0</v>
      </c>
      <c r="F118" s="11">
        <f t="shared" si="9"/>
        <v>27000</v>
      </c>
      <c r="G118" s="17">
        <f t="shared" si="12"/>
        <v>42.19</v>
      </c>
      <c r="H118" s="17">
        <f t="shared" si="13"/>
        <v>23</v>
      </c>
      <c r="I118" s="17">
        <f t="shared" si="14"/>
        <v>18.689999999999998</v>
      </c>
      <c r="J118" s="18">
        <f t="shared" si="15"/>
        <v>0</v>
      </c>
      <c r="K118" s="18">
        <f t="shared" si="16"/>
        <v>0</v>
      </c>
      <c r="L118" s="18">
        <f t="shared" si="10"/>
        <v>83.88</v>
      </c>
      <c r="M118" s="18">
        <f t="shared" si="17"/>
        <v>2.796241671714113</v>
      </c>
      <c r="N118" s="18">
        <f t="shared" si="11"/>
        <v>86.676241671714109</v>
      </c>
      <c r="O118" s="8"/>
    </row>
    <row r="119" spans="1:15">
      <c r="A119" s="1" t="s">
        <v>109</v>
      </c>
      <c r="B119" s="11" t="s">
        <v>138</v>
      </c>
      <c r="C119" s="11">
        <v>0</v>
      </c>
      <c r="D119" s="11">
        <v>0</v>
      </c>
      <c r="E119" s="11">
        <v>0</v>
      </c>
      <c r="F119" s="11">
        <f t="shared" si="9"/>
        <v>0</v>
      </c>
      <c r="G119" s="17">
        <f t="shared" si="12"/>
        <v>12.41</v>
      </c>
      <c r="H119" s="17">
        <f t="shared" si="13"/>
        <v>0</v>
      </c>
      <c r="I119" s="17">
        <f t="shared" si="14"/>
        <v>0</v>
      </c>
      <c r="J119" s="18">
        <f t="shared" si="15"/>
        <v>0</v>
      </c>
      <c r="K119" s="18">
        <f t="shared" si="16"/>
        <v>0</v>
      </c>
      <c r="L119" s="18">
        <f t="shared" si="10"/>
        <v>12.41</v>
      </c>
      <c r="M119" s="18">
        <f t="shared" si="17"/>
        <v>0</v>
      </c>
      <c r="N119" s="18">
        <f t="shared" si="11"/>
        <v>12.41</v>
      </c>
      <c r="O119" s="8"/>
    </row>
    <row r="120" spans="1:15">
      <c r="A120" s="1" t="s">
        <v>110</v>
      </c>
      <c r="B120" s="11"/>
      <c r="C120" s="11">
        <v>3871000</v>
      </c>
      <c r="D120" s="11">
        <v>3881000</v>
      </c>
      <c r="E120" s="11">
        <v>0</v>
      </c>
      <c r="F120" s="11">
        <f t="shared" si="9"/>
        <v>10000</v>
      </c>
      <c r="G120" s="17">
        <f t="shared" si="12"/>
        <v>42.19</v>
      </c>
      <c r="H120" s="17">
        <f t="shared" si="13"/>
        <v>0</v>
      </c>
      <c r="I120" s="17">
        <f t="shared" si="14"/>
        <v>0</v>
      </c>
      <c r="J120" s="18">
        <f t="shared" si="15"/>
        <v>0</v>
      </c>
      <c r="K120" s="18">
        <f t="shared" si="16"/>
        <v>0</v>
      </c>
      <c r="L120" s="18">
        <f t="shared" si="10"/>
        <v>42.19</v>
      </c>
      <c r="M120" s="18">
        <f t="shared" si="17"/>
        <v>1.0356450635978196</v>
      </c>
      <c r="N120" s="18">
        <f t="shared" si="11"/>
        <v>43.225645063597817</v>
      </c>
      <c r="O120" s="8"/>
    </row>
    <row r="121" spans="1:15">
      <c r="A121" s="1" t="s">
        <v>111</v>
      </c>
      <c r="B121" s="11"/>
      <c r="C121" s="11">
        <v>3646000</v>
      </c>
      <c r="D121" s="11">
        <v>3696000</v>
      </c>
      <c r="E121" s="11">
        <v>0</v>
      </c>
      <c r="F121" s="11">
        <f t="shared" si="9"/>
        <v>50000</v>
      </c>
      <c r="G121" s="17">
        <f t="shared" si="12"/>
        <v>42.19</v>
      </c>
      <c r="H121" s="17">
        <f t="shared" si="13"/>
        <v>23</v>
      </c>
      <c r="I121" s="17">
        <f t="shared" si="14"/>
        <v>26.7</v>
      </c>
      <c r="J121" s="18">
        <f t="shared" si="15"/>
        <v>31</v>
      </c>
      <c r="K121" s="18">
        <f t="shared" si="16"/>
        <v>36</v>
      </c>
      <c r="L121" s="18">
        <f t="shared" si="10"/>
        <v>158.88999999999999</v>
      </c>
      <c r="M121" s="18">
        <f t="shared" si="17"/>
        <v>5.1782253179890976</v>
      </c>
      <c r="N121" s="18">
        <f t="shared" si="11"/>
        <v>164.06822531798909</v>
      </c>
      <c r="O121" s="8"/>
    </row>
    <row r="122" spans="1:15">
      <c r="A122" s="1" t="s">
        <v>112</v>
      </c>
      <c r="B122" s="11"/>
      <c r="C122" s="11">
        <v>359000</v>
      </c>
      <c r="D122" s="11">
        <v>362000</v>
      </c>
      <c r="E122" s="11">
        <v>0</v>
      </c>
      <c r="F122" s="11">
        <f t="shared" si="9"/>
        <v>3000</v>
      </c>
      <c r="G122" s="17">
        <f t="shared" si="12"/>
        <v>42.19</v>
      </c>
      <c r="H122" s="17">
        <f t="shared" si="13"/>
        <v>0</v>
      </c>
      <c r="I122" s="17">
        <f t="shared" si="14"/>
        <v>0</v>
      </c>
      <c r="J122" s="18">
        <f t="shared" si="15"/>
        <v>0</v>
      </c>
      <c r="K122" s="18">
        <f t="shared" si="16"/>
        <v>0</v>
      </c>
      <c r="L122" s="18">
        <f t="shared" si="10"/>
        <v>42.19</v>
      </c>
      <c r="M122" s="18">
        <f t="shared" si="17"/>
        <v>0.31069351907934589</v>
      </c>
      <c r="N122" s="18">
        <f t="shared" si="11"/>
        <v>42.500693519079341</v>
      </c>
      <c r="O122" s="8"/>
    </row>
    <row r="123" spans="1:15">
      <c r="A123" s="1" t="s">
        <v>113</v>
      </c>
      <c r="B123" s="11"/>
      <c r="C123" s="11">
        <v>1552000</v>
      </c>
      <c r="D123" s="11">
        <v>1582000</v>
      </c>
      <c r="E123" s="11">
        <v>0</v>
      </c>
      <c r="F123" s="11">
        <f t="shared" si="9"/>
        <v>30000</v>
      </c>
      <c r="G123" s="17">
        <f t="shared" si="12"/>
        <v>42.19</v>
      </c>
      <c r="H123" s="17">
        <f t="shared" si="13"/>
        <v>23</v>
      </c>
      <c r="I123" s="17">
        <f t="shared" si="14"/>
        <v>26.7</v>
      </c>
      <c r="J123" s="18">
        <f t="shared" si="15"/>
        <v>0</v>
      </c>
      <c r="K123" s="18">
        <f t="shared" si="16"/>
        <v>0</v>
      </c>
      <c r="L123" s="18">
        <f t="shared" si="10"/>
        <v>91.89</v>
      </c>
      <c r="M123" s="18">
        <f t="shared" si="17"/>
        <v>3.1069351907934584</v>
      </c>
      <c r="N123" s="18">
        <f t="shared" si="11"/>
        <v>94.996935190793465</v>
      </c>
      <c r="O123" s="8"/>
    </row>
    <row r="124" spans="1:15">
      <c r="A124" s="1" t="s">
        <v>114</v>
      </c>
      <c r="B124" s="11"/>
      <c r="C124" s="11">
        <v>2638000</v>
      </c>
      <c r="D124" s="11">
        <v>2655000</v>
      </c>
      <c r="E124" s="11">
        <v>0</v>
      </c>
      <c r="F124" s="11">
        <f t="shared" si="9"/>
        <v>17000</v>
      </c>
      <c r="G124" s="17">
        <f t="shared" si="12"/>
        <v>42.19</v>
      </c>
      <c r="H124" s="17">
        <f t="shared" si="13"/>
        <v>16.099999999999998</v>
      </c>
      <c r="I124" s="17">
        <f t="shared" si="14"/>
        <v>0</v>
      </c>
      <c r="J124" s="18">
        <f t="shared" si="15"/>
        <v>0</v>
      </c>
      <c r="K124" s="18">
        <f t="shared" si="16"/>
        <v>0</v>
      </c>
      <c r="L124" s="18">
        <f t="shared" si="10"/>
        <v>58.289999999999992</v>
      </c>
      <c r="M124" s="18">
        <f t="shared" si="17"/>
        <v>1.7605966081162934</v>
      </c>
      <c r="N124" s="18">
        <f t="shared" si="11"/>
        <v>60.050596608116287</v>
      </c>
      <c r="O124" s="8"/>
    </row>
    <row r="125" spans="1:15">
      <c r="A125" s="1" t="s">
        <v>115</v>
      </c>
      <c r="B125" s="11"/>
      <c r="C125" s="11">
        <v>2583000</v>
      </c>
      <c r="D125" s="11">
        <v>2606000</v>
      </c>
      <c r="E125" s="11">
        <v>0</v>
      </c>
      <c r="F125" s="11">
        <f t="shared" si="9"/>
        <v>23000</v>
      </c>
      <c r="G125" s="17">
        <f t="shared" si="12"/>
        <v>42.19</v>
      </c>
      <c r="H125" s="17">
        <f t="shared" si="13"/>
        <v>23</v>
      </c>
      <c r="I125" s="17">
        <f t="shared" si="14"/>
        <v>8.01</v>
      </c>
      <c r="J125" s="18">
        <f t="shared" si="15"/>
        <v>0</v>
      </c>
      <c r="K125" s="18">
        <f t="shared" si="16"/>
        <v>0</v>
      </c>
      <c r="L125" s="18">
        <f t="shared" si="10"/>
        <v>73.2</v>
      </c>
      <c r="M125" s="18">
        <f t="shared" si="17"/>
        <v>2.381983646274985</v>
      </c>
      <c r="N125" s="18">
        <f t="shared" si="11"/>
        <v>75.581983646274992</v>
      </c>
      <c r="O125" s="8"/>
    </row>
    <row r="126" spans="1:15">
      <c r="A126" s="1" t="s">
        <v>116</v>
      </c>
      <c r="B126" s="11"/>
      <c r="C126" s="11">
        <v>4274000</v>
      </c>
      <c r="D126" s="11">
        <v>4279000</v>
      </c>
      <c r="E126" s="11">
        <v>0</v>
      </c>
      <c r="F126" s="11">
        <f t="shared" si="9"/>
        <v>5000</v>
      </c>
      <c r="G126" s="17">
        <f t="shared" si="12"/>
        <v>42.19</v>
      </c>
      <c r="H126" s="17">
        <f t="shared" si="13"/>
        <v>0</v>
      </c>
      <c r="I126" s="17">
        <f t="shared" si="14"/>
        <v>0</v>
      </c>
      <c r="J126" s="18">
        <f t="shared" si="15"/>
        <v>0</v>
      </c>
      <c r="K126" s="18">
        <f t="shared" si="16"/>
        <v>0</v>
      </c>
      <c r="L126" s="18">
        <f t="shared" si="10"/>
        <v>42.19</v>
      </c>
      <c r="M126" s="18">
        <f t="shared" si="17"/>
        <v>0.5178225317989098</v>
      </c>
      <c r="N126" s="18">
        <f t="shared" si="11"/>
        <v>42.707822531798911</v>
      </c>
      <c r="O126" s="8"/>
    </row>
    <row r="127" spans="1:15">
      <c r="A127" s="1" t="s">
        <v>117</v>
      </c>
      <c r="B127" s="11"/>
      <c r="C127" s="11">
        <v>1927000</v>
      </c>
      <c r="D127" s="11">
        <v>1931000</v>
      </c>
      <c r="E127" s="11">
        <v>0</v>
      </c>
      <c r="F127" s="11">
        <f t="shared" si="9"/>
        <v>4000</v>
      </c>
      <c r="G127" s="17">
        <f t="shared" si="12"/>
        <v>42.19</v>
      </c>
      <c r="H127" s="17">
        <f t="shared" si="13"/>
        <v>0</v>
      </c>
      <c r="I127" s="17">
        <f t="shared" si="14"/>
        <v>0</v>
      </c>
      <c r="J127" s="18">
        <f t="shared" si="15"/>
        <v>0</v>
      </c>
      <c r="K127" s="18">
        <f t="shared" si="16"/>
        <v>0</v>
      </c>
      <c r="L127" s="18">
        <f t="shared" si="10"/>
        <v>42.19</v>
      </c>
      <c r="M127" s="18">
        <f t="shared" si="17"/>
        <v>0.41425802543912782</v>
      </c>
      <c r="N127" s="18">
        <f t="shared" si="11"/>
        <v>42.604258025439123</v>
      </c>
      <c r="O127" s="8"/>
    </row>
    <row r="128" spans="1:15">
      <c r="A128" s="1" t="s">
        <v>118</v>
      </c>
      <c r="B128" s="11"/>
      <c r="C128" s="11">
        <v>51000</v>
      </c>
      <c r="D128" s="11">
        <v>58000</v>
      </c>
      <c r="E128" s="11">
        <v>0</v>
      </c>
      <c r="F128" s="11">
        <f t="shared" si="9"/>
        <v>7000</v>
      </c>
      <c r="G128" s="17">
        <f t="shared" si="12"/>
        <v>42.19</v>
      </c>
      <c r="H128" s="17">
        <f t="shared" si="13"/>
        <v>0</v>
      </c>
      <c r="I128" s="17">
        <f t="shared" si="14"/>
        <v>0</v>
      </c>
      <c r="J128" s="18">
        <f t="shared" si="15"/>
        <v>0</v>
      </c>
      <c r="K128" s="18">
        <f t="shared" si="16"/>
        <v>0</v>
      </c>
      <c r="L128" s="18">
        <f t="shared" si="10"/>
        <v>42.19</v>
      </c>
      <c r="M128" s="18">
        <f t="shared" si="17"/>
        <v>0.72495154451847377</v>
      </c>
      <c r="N128" s="18">
        <f t="shared" si="11"/>
        <v>42.914951544518473</v>
      </c>
      <c r="O128" s="8" t="s">
        <v>174</v>
      </c>
    </row>
    <row r="129" spans="1:15">
      <c r="A129" s="1" t="s">
        <v>119</v>
      </c>
      <c r="B129" s="11"/>
      <c r="C129" s="11">
        <v>7228000</v>
      </c>
      <c r="D129" s="11">
        <v>7441000</v>
      </c>
      <c r="E129" s="11">
        <v>0</v>
      </c>
      <c r="F129" s="11">
        <f t="shared" si="9"/>
        <v>213000</v>
      </c>
      <c r="G129" s="17">
        <f t="shared" si="12"/>
        <v>42.19</v>
      </c>
      <c r="H129" s="17">
        <f t="shared" si="13"/>
        <v>23</v>
      </c>
      <c r="I129" s="17">
        <f t="shared" si="14"/>
        <v>26.7</v>
      </c>
      <c r="J129" s="18">
        <f t="shared" si="15"/>
        <v>31</v>
      </c>
      <c r="K129" s="18">
        <f t="shared" si="16"/>
        <v>622.80000000000007</v>
      </c>
      <c r="L129" s="18">
        <f t="shared" si="10"/>
        <v>745.69</v>
      </c>
      <c r="M129" s="18">
        <f t="shared" si="17"/>
        <v>22.05923985463356</v>
      </c>
      <c r="N129" s="18">
        <f t="shared" si="11"/>
        <v>767.74923985463363</v>
      </c>
      <c r="O129" s="8"/>
    </row>
    <row r="130" spans="1:15">
      <c r="A130" s="1" t="s">
        <v>120</v>
      </c>
      <c r="B130" s="11"/>
      <c r="C130" s="11">
        <v>3749000</v>
      </c>
      <c r="D130" s="11">
        <v>3763000</v>
      </c>
      <c r="E130" s="11">
        <v>0</v>
      </c>
      <c r="F130" s="11">
        <f t="shared" si="9"/>
        <v>14000</v>
      </c>
      <c r="G130" s="17">
        <f t="shared" si="12"/>
        <v>42.19</v>
      </c>
      <c r="H130" s="17">
        <f t="shared" si="13"/>
        <v>9.1999999999999993</v>
      </c>
      <c r="I130" s="17">
        <f t="shared" si="14"/>
        <v>0</v>
      </c>
      <c r="J130" s="18">
        <f t="shared" si="15"/>
        <v>0</v>
      </c>
      <c r="K130" s="18">
        <f t="shared" si="16"/>
        <v>0</v>
      </c>
      <c r="L130" s="18">
        <f t="shared" si="10"/>
        <v>51.39</v>
      </c>
      <c r="M130" s="18">
        <f t="shared" si="17"/>
        <v>1.4499030890369475</v>
      </c>
      <c r="N130" s="18">
        <f t="shared" si="11"/>
        <v>52.839903089036952</v>
      </c>
      <c r="O130" s="8"/>
    </row>
    <row r="131" spans="1:15">
      <c r="A131" s="1" t="s">
        <v>121</v>
      </c>
      <c r="B131" s="11" t="s">
        <v>138</v>
      </c>
      <c r="C131" s="11">
        <v>0</v>
      </c>
      <c r="D131" s="11">
        <v>0</v>
      </c>
      <c r="E131" s="11">
        <v>0</v>
      </c>
      <c r="F131" s="11">
        <f t="shared" si="9"/>
        <v>0</v>
      </c>
      <c r="G131" s="17">
        <f t="shared" si="12"/>
        <v>12.41</v>
      </c>
      <c r="H131" s="17">
        <f t="shared" si="13"/>
        <v>0</v>
      </c>
      <c r="I131" s="17">
        <f t="shared" si="14"/>
        <v>0</v>
      </c>
      <c r="J131" s="18">
        <f t="shared" si="15"/>
        <v>0</v>
      </c>
      <c r="K131" s="18">
        <f t="shared" si="16"/>
        <v>0</v>
      </c>
      <c r="L131" s="18">
        <f t="shared" si="10"/>
        <v>12.41</v>
      </c>
      <c r="M131" s="18">
        <f t="shared" si="17"/>
        <v>0</v>
      </c>
      <c r="N131" s="18">
        <f t="shared" si="11"/>
        <v>12.41</v>
      </c>
      <c r="O131" s="8"/>
    </row>
    <row r="132" spans="1:15">
      <c r="A132" s="1" t="s">
        <v>122</v>
      </c>
      <c r="B132" s="11"/>
      <c r="C132" s="11">
        <v>1394000</v>
      </c>
      <c r="D132" s="11">
        <v>1409000</v>
      </c>
      <c r="E132" s="11">
        <v>0</v>
      </c>
      <c r="F132" s="11">
        <f t="shared" si="9"/>
        <v>15000</v>
      </c>
      <c r="G132" s="17">
        <f t="shared" si="12"/>
        <v>42.19</v>
      </c>
      <c r="H132" s="17">
        <f t="shared" si="13"/>
        <v>11.5</v>
      </c>
      <c r="I132" s="17">
        <f t="shared" si="14"/>
        <v>0</v>
      </c>
      <c r="J132" s="18">
        <f t="shared" si="15"/>
        <v>0</v>
      </c>
      <c r="K132" s="18">
        <f t="shared" si="16"/>
        <v>0</v>
      </c>
      <c r="L132" s="18">
        <f t="shared" si="10"/>
        <v>53.69</v>
      </c>
      <c r="M132" s="18">
        <f t="shared" si="17"/>
        <v>1.5534675953967292</v>
      </c>
      <c r="N132" s="18">
        <f t="shared" si="11"/>
        <v>55.24346759539673</v>
      </c>
      <c r="O132" s="8"/>
    </row>
    <row r="133" spans="1:15">
      <c r="A133" s="1" t="s">
        <v>123</v>
      </c>
      <c r="B133" s="11" t="s">
        <v>138</v>
      </c>
      <c r="C133" s="11">
        <v>0</v>
      </c>
      <c r="D133" s="11">
        <v>0</v>
      </c>
      <c r="E133" s="11">
        <v>0</v>
      </c>
      <c r="F133" s="11">
        <f t="shared" si="9"/>
        <v>0</v>
      </c>
      <c r="G133" s="17">
        <f t="shared" si="12"/>
        <v>12.41</v>
      </c>
      <c r="H133" s="17">
        <f t="shared" si="13"/>
        <v>0</v>
      </c>
      <c r="I133" s="17">
        <f t="shared" si="14"/>
        <v>0</v>
      </c>
      <c r="J133" s="18">
        <f t="shared" si="15"/>
        <v>0</v>
      </c>
      <c r="K133" s="18">
        <f t="shared" si="16"/>
        <v>0</v>
      </c>
      <c r="L133" s="18">
        <f t="shared" si="10"/>
        <v>12.41</v>
      </c>
      <c r="M133" s="18">
        <f t="shared" si="17"/>
        <v>0</v>
      </c>
      <c r="N133" s="18">
        <f t="shared" si="11"/>
        <v>12.41</v>
      </c>
      <c r="O133" s="8"/>
    </row>
    <row r="134" spans="1:15">
      <c r="A134" s="1" t="s">
        <v>124</v>
      </c>
      <c r="B134" s="11" t="s">
        <v>138</v>
      </c>
      <c r="C134" s="11">
        <v>0</v>
      </c>
      <c r="D134" s="11">
        <v>0</v>
      </c>
      <c r="E134" s="11">
        <v>0</v>
      </c>
      <c r="F134" s="11">
        <f t="shared" si="9"/>
        <v>0</v>
      </c>
      <c r="G134" s="17">
        <f t="shared" si="12"/>
        <v>12.41</v>
      </c>
      <c r="H134" s="17">
        <f t="shared" si="13"/>
        <v>0</v>
      </c>
      <c r="I134" s="17">
        <f t="shared" si="14"/>
        <v>0</v>
      </c>
      <c r="J134" s="18">
        <f t="shared" si="15"/>
        <v>0</v>
      </c>
      <c r="K134" s="18">
        <f t="shared" si="16"/>
        <v>0</v>
      </c>
      <c r="L134" s="18">
        <f t="shared" si="10"/>
        <v>12.41</v>
      </c>
      <c r="M134" s="18">
        <f t="shared" si="17"/>
        <v>0</v>
      </c>
      <c r="N134" s="18">
        <f t="shared" si="11"/>
        <v>12.41</v>
      </c>
      <c r="O134" s="8"/>
    </row>
    <row r="135" spans="1:15">
      <c r="A135" s="1" t="s">
        <v>125</v>
      </c>
      <c r="B135" s="11" t="s">
        <v>138</v>
      </c>
      <c r="C135" s="11">
        <v>0</v>
      </c>
      <c r="D135" s="11">
        <v>0</v>
      </c>
      <c r="E135" s="11">
        <v>0</v>
      </c>
      <c r="F135" s="11">
        <f t="shared" si="9"/>
        <v>0</v>
      </c>
      <c r="G135" s="17">
        <f t="shared" si="12"/>
        <v>12.41</v>
      </c>
      <c r="H135" s="17">
        <f t="shared" si="13"/>
        <v>0</v>
      </c>
      <c r="I135" s="17">
        <f t="shared" si="14"/>
        <v>0</v>
      </c>
      <c r="J135" s="18">
        <f t="shared" si="15"/>
        <v>0</v>
      </c>
      <c r="K135" s="18">
        <f t="shared" si="16"/>
        <v>0</v>
      </c>
      <c r="L135" s="18">
        <f t="shared" si="10"/>
        <v>12.41</v>
      </c>
      <c r="M135" s="18">
        <f t="shared" si="17"/>
        <v>0</v>
      </c>
      <c r="N135" s="18">
        <f t="shared" si="11"/>
        <v>12.41</v>
      </c>
      <c r="O135" s="8"/>
    </row>
    <row r="136" spans="1:15">
      <c r="A136" s="1" t="s">
        <v>126</v>
      </c>
      <c r="B136" s="11"/>
      <c r="C136" s="11">
        <v>1282000</v>
      </c>
      <c r="D136" s="11">
        <v>1334000</v>
      </c>
      <c r="E136" s="11">
        <v>0</v>
      </c>
      <c r="F136" s="11">
        <f t="shared" si="9"/>
        <v>52000</v>
      </c>
      <c r="G136" s="17">
        <f t="shared" si="12"/>
        <v>42.19</v>
      </c>
      <c r="H136" s="17">
        <f t="shared" si="13"/>
        <v>23</v>
      </c>
      <c r="I136" s="17">
        <f t="shared" si="14"/>
        <v>26.7</v>
      </c>
      <c r="J136" s="18">
        <f t="shared" si="15"/>
        <v>31</v>
      </c>
      <c r="K136" s="18">
        <f t="shared" si="16"/>
        <v>43.2</v>
      </c>
      <c r="L136" s="18">
        <f t="shared" si="10"/>
        <v>166.09</v>
      </c>
      <c r="M136" s="18">
        <f t="shared" si="17"/>
        <v>5.3853543307086618</v>
      </c>
      <c r="N136" s="18">
        <f t="shared" si="11"/>
        <v>171.47535433070865</v>
      </c>
      <c r="O136" s="8"/>
    </row>
    <row r="137" spans="1:15">
      <c r="B137" s="11"/>
      <c r="C137" s="11"/>
      <c r="D137" s="11"/>
      <c r="E137" s="11"/>
      <c r="F137" s="11"/>
      <c r="G137" s="17"/>
      <c r="H137" s="17"/>
      <c r="I137" s="17"/>
      <c r="J137" s="18"/>
      <c r="K137" s="18"/>
      <c r="L137" s="18"/>
      <c r="M137" s="18"/>
      <c r="N137" s="18"/>
      <c r="O137" s="8"/>
    </row>
    <row r="138" spans="1:15">
      <c r="J138" s="1" t="s">
        <v>136</v>
      </c>
      <c r="M138" s="27">
        <f>SUM(M11:M136)</f>
        <v>341.97000000000014</v>
      </c>
      <c r="N138" s="5">
        <f>SUM(N11:N136)</f>
        <v>12621.510000000004</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18">SUM(F11:F136)</f>
        <v>3302000</v>
      </c>
      <c r="G140" s="75">
        <f t="shared" si="18"/>
        <v>4416.4499999999989</v>
      </c>
      <c r="H140" s="75">
        <f t="shared" si="18"/>
        <v>1221.3</v>
      </c>
      <c r="I140" s="75">
        <f t="shared" si="18"/>
        <v>1140.0900000000006</v>
      </c>
      <c r="J140" s="75">
        <f t="shared" si="18"/>
        <v>976.49999999999989</v>
      </c>
      <c r="K140" s="75">
        <f t="shared" si="18"/>
        <v>4525.2000000000007</v>
      </c>
      <c r="L140" s="75">
        <f t="shared" si="18"/>
        <v>12279.54</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284.59526347668094</v>
      </c>
      <c r="G143" s="25">
        <f>SUM(G18:G130)-G145</f>
        <v>3459.5800000000027</v>
      </c>
      <c r="H143" s="80">
        <f>SUM(H18:H130)-H145</f>
        <v>1133.8999999999999</v>
      </c>
      <c r="I143" s="25">
        <f>SUM(I18:I130)-I145</f>
        <v>1059.9900000000005</v>
      </c>
      <c r="J143" s="25">
        <f>SUM(J18:J130)-J145</f>
        <v>883.49999999999989</v>
      </c>
      <c r="K143" s="25">
        <f>SUM(K18:K130)-K145</f>
        <v>3225.6</v>
      </c>
      <c r="L143" s="25">
        <f>SUM(F143:K143)</f>
        <v>9762.5700000000033</v>
      </c>
      <c r="M143" s="1"/>
    </row>
    <row r="144" spans="1:15" customFormat="1">
      <c r="A144" t="s">
        <v>255</v>
      </c>
      <c r="D144">
        <v>8</v>
      </c>
      <c r="E144" s="25">
        <f>SUM(M11:M15)+M17+SUM(M131:M136)</f>
        <v>53.749978800726829</v>
      </c>
      <c r="G144" s="34">
        <f>SUM(G11:G15)+G17+G132+G136</f>
        <v>337.52</v>
      </c>
      <c r="H144" s="34">
        <f>SUM(H11:H15)+H17+H132+H136</f>
        <v>87.4</v>
      </c>
      <c r="I144" s="34">
        <f>SUM(I11:I15)+I17+I132+I136</f>
        <v>80.099999999999994</v>
      </c>
      <c r="J144" s="34">
        <f>SUM(J11:J15)+J17+J132+J136</f>
        <v>93</v>
      </c>
      <c r="K144" s="34">
        <f>SUM(K11:K15)+K17+K132+K136</f>
        <v>1299.6000000000001</v>
      </c>
      <c r="L144" s="25">
        <f t="shared" ref="L144:L147" si="19">SUM(F144:K144)</f>
        <v>1897.6200000000001</v>
      </c>
      <c r="M144" s="1"/>
    </row>
    <row r="145" spans="1:13" customFormat="1">
      <c r="A145" t="s">
        <v>260</v>
      </c>
      <c r="D145">
        <v>31</v>
      </c>
      <c r="E145" s="25">
        <v>0</v>
      </c>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19"/>
        <v>384.71000000000021</v>
      </c>
      <c r="M145" s="1"/>
    </row>
    <row r="146" spans="1:13" customFormat="1">
      <c r="A146" t="s">
        <v>261</v>
      </c>
      <c r="D146">
        <v>4</v>
      </c>
      <c r="E146" s="25">
        <v>0</v>
      </c>
      <c r="G146" s="25">
        <f>G135+G134+G133+G131</f>
        <v>49.64</v>
      </c>
      <c r="H146" s="25">
        <f>H135+H134+H133+H131</f>
        <v>0</v>
      </c>
      <c r="I146" s="25">
        <f>I135+I134+I133+I131</f>
        <v>0</v>
      </c>
      <c r="J146" s="25">
        <f>J135+J134+J133+J131</f>
        <v>0</v>
      </c>
      <c r="K146" s="25">
        <f>K135+K134+K133+K131</f>
        <v>0</v>
      </c>
      <c r="L146" s="25">
        <f t="shared" si="19"/>
        <v>49.64</v>
      </c>
      <c r="M146" s="1"/>
    </row>
    <row r="147" spans="1:13" customFormat="1">
      <c r="A147" t="s">
        <v>253</v>
      </c>
      <c r="D147">
        <v>1</v>
      </c>
      <c r="E147" s="25">
        <f>M16</f>
        <v>3.6247577225923688</v>
      </c>
      <c r="G147" s="25">
        <f>G16</f>
        <v>185</v>
      </c>
      <c r="H147" s="25">
        <f>H16</f>
        <v>0</v>
      </c>
      <c r="I147" s="25">
        <f>I16</f>
        <v>0</v>
      </c>
      <c r="J147" s="25">
        <f>J16</f>
        <v>0</v>
      </c>
      <c r="K147" s="25">
        <f>K16</f>
        <v>0</v>
      </c>
      <c r="L147" s="25">
        <f t="shared" si="19"/>
        <v>185</v>
      </c>
      <c r="M147" s="1"/>
    </row>
    <row r="148" spans="1:13" customFormat="1" ht="15.75" thickBot="1">
      <c r="B148" t="s">
        <v>257</v>
      </c>
      <c r="D148" s="73">
        <f>SUM(D143:D147)</f>
        <v>126</v>
      </c>
      <c r="E148" s="74">
        <f>SUM(E143:E147)</f>
        <v>341.97000000000014</v>
      </c>
      <c r="F148" s="73"/>
      <c r="G148" s="74">
        <f t="shared" ref="G148:L148" si="20">SUM(G143:G147)</f>
        <v>4416.4500000000035</v>
      </c>
      <c r="H148" s="74">
        <f t="shared" si="20"/>
        <v>1221.3</v>
      </c>
      <c r="I148" s="74">
        <f t="shared" si="20"/>
        <v>1140.0900000000004</v>
      </c>
      <c r="J148" s="74">
        <f t="shared" si="20"/>
        <v>976.49999999999989</v>
      </c>
      <c r="K148" s="74">
        <f t="shared" si="20"/>
        <v>4525.2</v>
      </c>
      <c r="L148" s="74">
        <f t="shared" si="20"/>
        <v>12279.540000000005</v>
      </c>
      <c r="M148" s="1"/>
    </row>
    <row r="149" spans="1:13" customFormat="1" ht="16.5" thickTop="1" thickBot="1">
      <c r="D149" s="78"/>
      <c r="E149" s="78"/>
      <c r="F149" s="78"/>
      <c r="G149" s="79"/>
      <c r="H149" s="79"/>
      <c r="I149" s="79"/>
      <c r="J149" s="79"/>
      <c r="K149" s="79"/>
      <c r="L149" s="79"/>
      <c r="M149" s="1"/>
    </row>
    <row r="150" spans="1:13" customFormat="1">
      <c r="D150" s="188" t="s">
        <v>376</v>
      </c>
      <c r="E150" s="78"/>
      <c r="F150" s="78"/>
      <c r="G150" s="79"/>
      <c r="H150" s="79"/>
      <c r="I150" s="79"/>
      <c r="J150" s="79"/>
      <c r="K150" s="79"/>
      <c r="L150" s="79"/>
      <c r="M150" s="1"/>
    </row>
    <row r="151" spans="1:13" customFormat="1" ht="15.75" thickBot="1">
      <c r="D151" s="189" t="s">
        <v>375</v>
      </c>
      <c r="E151" s="78"/>
      <c r="F151" s="78"/>
      <c r="G151" s="79"/>
      <c r="H151" s="79"/>
      <c r="I151" s="79"/>
      <c r="J151" s="79"/>
      <c r="K151" s="79"/>
      <c r="L151" s="79"/>
      <c r="M151" s="1"/>
    </row>
    <row r="152" spans="1:13" customFormat="1">
      <c r="A152" t="s">
        <v>262</v>
      </c>
      <c r="D152" s="81">
        <v>76</v>
      </c>
      <c r="E152" s="81">
        <f>E143/E148*P7</f>
        <v>2748000</v>
      </c>
      <c r="F152" s="75"/>
      <c r="G152" s="81">
        <f>F140-G153-G154-(SUM(H155:K155))</f>
        <v>677000</v>
      </c>
      <c r="H152" s="81">
        <f>H143/2.3*1000</f>
        <v>493000</v>
      </c>
      <c r="I152" s="81">
        <f>I143/2.67*1000</f>
        <v>397000.00000000017</v>
      </c>
      <c r="J152" s="81">
        <f>J143/3.1*1000</f>
        <v>284999.99999999994</v>
      </c>
      <c r="K152" s="81">
        <f>K143/3.6*1000</f>
        <v>896000</v>
      </c>
      <c r="L152" s="81">
        <f>SUM(G152:K152)</f>
        <v>2748000</v>
      </c>
      <c r="M152" s="1"/>
    </row>
    <row r="153" spans="1:13" customFormat="1">
      <c r="A153" t="s">
        <v>263</v>
      </c>
      <c r="D153" s="81">
        <v>5</v>
      </c>
      <c r="E153" s="81">
        <f>E144/E148*P7</f>
        <v>518999.99999999983</v>
      </c>
      <c r="F153" s="75"/>
      <c r="G153" s="81">
        <f>(SUM(F11:F15)+F17+SUM(F131:F136)-H153-I153-J153-K153)</f>
        <v>59999.999999999942</v>
      </c>
      <c r="H153" s="81">
        <f>H144/2.3*1000</f>
        <v>38000.000000000007</v>
      </c>
      <c r="I153" s="81">
        <f>I144/2.67*1000</f>
        <v>30000</v>
      </c>
      <c r="J153" s="81">
        <f>J144/3.1*1000</f>
        <v>30000</v>
      </c>
      <c r="K153" s="81">
        <f>K144/3.6*1000</f>
        <v>361000.00000000006</v>
      </c>
      <c r="L153" s="81">
        <f>SUM(G153:K153)</f>
        <v>519000</v>
      </c>
      <c r="M153" s="1"/>
    </row>
    <row r="154" spans="1:13" customFormat="1">
      <c r="A154" t="s">
        <v>264</v>
      </c>
      <c r="D154" s="81">
        <v>1</v>
      </c>
      <c r="E154" s="81">
        <f>E147/E148*P7</f>
        <v>34999.999999999993</v>
      </c>
      <c r="F154" s="75"/>
      <c r="G154" s="81">
        <f>IF(F16&gt;100000,100000,F16)</f>
        <v>35000</v>
      </c>
      <c r="H154" s="81">
        <f>H147/1.99*1000</f>
        <v>0</v>
      </c>
      <c r="I154" s="81" t="s">
        <v>259</v>
      </c>
      <c r="J154" s="81" t="s">
        <v>259</v>
      </c>
      <c r="K154" s="81" t="s">
        <v>259</v>
      </c>
      <c r="L154" s="81">
        <f>SUM(G154:K154)</f>
        <v>35000</v>
      </c>
      <c r="M154" s="1"/>
    </row>
    <row r="155" spans="1:13" customFormat="1" ht="15.75" thickBot="1">
      <c r="B155" t="s">
        <v>265</v>
      </c>
      <c r="D155" s="82">
        <f>SUM(D152:D154)</f>
        <v>82</v>
      </c>
      <c r="E155" s="82">
        <f>SUM(E152:E154)</f>
        <v>3302000</v>
      </c>
      <c r="F155" s="77"/>
      <c r="G155" s="82">
        <f>G152+G153+G154</f>
        <v>772000</v>
      </c>
      <c r="H155" s="82">
        <f>SUM(H152:H154)</f>
        <v>531000</v>
      </c>
      <c r="I155" s="82">
        <f>SUM(I152:I154)</f>
        <v>427000.00000000017</v>
      </c>
      <c r="J155" s="82">
        <f>SUM(J152:J154)</f>
        <v>314999.99999999994</v>
      </c>
      <c r="K155" s="82">
        <f>SUM(K152:K154)</f>
        <v>1257000</v>
      </c>
      <c r="L155" s="82">
        <f>SUM(L152:L154)</f>
        <v>3302000</v>
      </c>
      <c r="M155" s="1"/>
    </row>
    <row r="156" spans="1:13" ht="15.75" thickTop="1">
      <c r="E156" s="1" t="s">
        <v>274</v>
      </c>
    </row>
    <row r="157" spans="1:13">
      <c r="E157" s="75" t="s">
        <v>275</v>
      </c>
    </row>
    <row r="158" spans="1:13">
      <c r="E158" s="75" t="s">
        <v>273</v>
      </c>
    </row>
    <row r="159" spans="1:13">
      <c r="E159"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sheetPr>
    <pageSetUpPr fitToPage="1"/>
  </sheetPr>
  <dimension ref="A1:P159"/>
  <sheetViews>
    <sheetView zoomScale="90" zoomScaleNormal="90" zoomScalePageLayoutView="10" workbookViewId="0"/>
  </sheetViews>
  <sheetFormatPr defaultRowHeight="15"/>
  <cols>
    <col min="1" max="1" width="13.140625" style="1" customWidth="1"/>
    <col min="2" max="2" width="10.7109375" style="1" customWidth="1"/>
    <col min="3" max="3" width="15.42578125" style="1" customWidth="1"/>
    <col min="4" max="5" width="14.85546875" style="1" customWidth="1"/>
    <col min="6" max="6" width="14.28515625" style="1" customWidth="1"/>
    <col min="7" max="7" width="13.5703125" style="1" customWidth="1"/>
    <col min="8" max="8" width="11.5703125" style="1" customWidth="1"/>
    <col min="9" max="9" width="11.28515625" style="1" customWidth="1"/>
    <col min="10" max="10" width="11.85546875" style="1" customWidth="1"/>
    <col min="11" max="11" width="11.42578125" style="1" customWidth="1"/>
    <col min="12" max="12" width="12.140625" style="1" bestFit="1" customWidth="1"/>
    <col min="13" max="13" width="11.42578125" style="1" customWidth="1"/>
    <col min="14" max="14" width="11.85546875" style="1" customWidth="1"/>
    <col min="15" max="15" width="44.7109375" style="1" customWidth="1"/>
    <col min="16" max="16384" width="9.140625" style="1"/>
  </cols>
  <sheetData>
    <row r="1" spans="1:16" ht="46.5">
      <c r="A1" s="2" t="s">
        <v>141</v>
      </c>
    </row>
    <row r="2" spans="1:16" ht="28.5">
      <c r="A2" s="3" t="s">
        <v>142</v>
      </c>
    </row>
    <row r="4" spans="1:16">
      <c r="A4" s="1" t="s">
        <v>143</v>
      </c>
      <c r="B4" s="23">
        <v>41122</v>
      </c>
      <c r="D4" s="1" t="s">
        <v>146</v>
      </c>
      <c r="G4" s="1" t="s">
        <v>156</v>
      </c>
      <c r="J4" s="1" t="s">
        <v>163</v>
      </c>
      <c r="K4" s="5">
        <v>42.19</v>
      </c>
      <c r="M4" s="1" t="s">
        <v>164</v>
      </c>
      <c r="N4" s="5">
        <v>12.41</v>
      </c>
      <c r="O4" s="1" t="s">
        <v>149</v>
      </c>
      <c r="P4" s="1">
        <f>SUM(F11:F136)</f>
        <v>3367000</v>
      </c>
    </row>
    <row r="5" spans="1:16">
      <c r="A5" s="1" t="s">
        <v>165</v>
      </c>
      <c r="B5" s="24">
        <v>41148</v>
      </c>
      <c r="D5" s="1" t="s">
        <v>144</v>
      </c>
      <c r="E5" s="1">
        <v>8182600</v>
      </c>
      <c r="G5" s="1" t="s">
        <v>155</v>
      </c>
      <c r="H5" s="1">
        <v>1</v>
      </c>
      <c r="J5" s="1" t="s">
        <v>166</v>
      </c>
      <c r="K5" s="5">
        <v>2.2999999999999998</v>
      </c>
      <c r="M5" s="1" t="s">
        <v>6</v>
      </c>
      <c r="N5" s="5">
        <v>185</v>
      </c>
      <c r="O5" s="1" t="s">
        <v>154</v>
      </c>
      <c r="P5" s="1">
        <f>P4-F16</f>
        <v>3267000</v>
      </c>
    </row>
    <row r="6" spans="1:16">
      <c r="B6" s="4"/>
      <c r="D6" s="1" t="s">
        <v>145</v>
      </c>
      <c r="E6" s="1">
        <v>8343900</v>
      </c>
      <c r="G6" s="1" t="s">
        <v>158</v>
      </c>
      <c r="H6" s="1">
        <v>35000</v>
      </c>
      <c r="J6" s="1" t="s">
        <v>167</v>
      </c>
      <c r="K6" s="5">
        <v>2.67</v>
      </c>
      <c r="M6" s="1" t="s">
        <v>168</v>
      </c>
      <c r="N6" s="5">
        <v>1.99</v>
      </c>
      <c r="O6" s="1" t="s">
        <v>160</v>
      </c>
      <c r="P6" s="1">
        <f>SUMIF(F11:F15,"&gt;" &amp; $H$6)+SUMIF(F17:F136,"&gt;" &amp; $H$6)+SUMIF(F16,"&gt;" &amp; $H$7)</f>
        <v>2450000</v>
      </c>
    </row>
    <row r="7" spans="1:16">
      <c r="B7" s="4"/>
      <c r="D7" s="1" t="s">
        <v>150</v>
      </c>
      <c r="E7" s="12">
        <f>E6-E5</f>
        <v>161300</v>
      </c>
      <c r="G7" s="1" t="s">
        <v>159</v>
      </c>
      <c r="H7" s="12">
        <v>100000</v>
      </c>
      <c r="J7" s="1" t="s">
        <v>169</v>
      </c>
      <c r="K7" s="5">
        <v>3.1</v>
      </c>
      <c r="M7" s="1" t="s">
        <v>170</v>
      </c>
      <c r="N7" s="5">
        <v>1755</v>
      </c>
      <c r="O7" s="1" t="s">
        <v>161</v>
      </c>
      <c r="P7" s="1">
        <f>(SUMIF(F11:F15,"&gt;" &amp; $H$6)-(COUNTIF(F11:F15,"&gt;" &amp; $H$6)*$H$6))+(SUMIF(F17:F136,"&gt;" &amp; $H$6)-(COUNTIF(F17:F136,"&gt;" &amp; $H$6)*$H$6))+(SUMIF(F16,"&gt;" &amp; $H$7)-(COUNTIF(F16,"&gt;" &amp; $H$7)*$H$7))</f>
        <v>1400000</v>
      </c>
    </row>
    <row r="8" spans="1:16">
      <c r="D8" s="1" t="s">
        <v>147</v>
      </c>
      <c r="E8" s="25">
        <v>341.97</v>
      </c>
      <c r="H8" s="6"/>
      <c r="J8" s="1" t="s">
        <v>171</v>
      </c>
      <c r="K8" s="5">
        <v>3.6</v>
      </c>
    </row>
    <row r="10" spans="1:16">
      <c r="A10" s="7" t="s">
        <v>0</v>
      </c>
      <c r="B10" s="10" t="s">
        <v>137</v>
      </c>
      <c r="C10" s="13" t="s">
        <v>182</v>
      </c>
      <c r="D10" s="26" t="s">
        <v>195</v>
      </c>
      <c r="E10" s="10" t="s">
        <v>140</v>
      </c>
      <c r="F10" s="10" t="s">
        <v>157</v>
      </c>
      <c r="G10" s="21" t="s">
        <v>132</v>
      </c>
      <c r="H10" s="21" t="s">
        <v>128</v>
      </c>
      <c r="I10" s="21" t="s">
        <v>129</v>
      </c>
      <c r="J10" s="22" t="s">
        <v>130</v>
      </c>
      <c r="K10" s="22" t="s">
        <v>131</v>
      </c>
      <c r="L10" s="22" t="s">
        <v>162</v>
      </c>
      <c r="M10" s="22" t="s">
        <v>148</v>
      </c>
      <c r="N10" s="22" t="s">
        <v>135</v>
      </c>
      <c r="O10" s="9" t="s">
        <v>127</v>
      </c>
    </row>
    <row r="11" spans="1:16">
      <c r="A11" s="1" t="s">
        <v>1</v>
      </c>
      <c r="B11" s="11"/>
      <c r="C11" s="11">
        <v>8926000</v>
      </c>
      <c r="D11" s="11">
        <v>9249000</v>
      </c>
      <c r="E11" s="11">
        <v>0</v>
      </c>
      <c r="F11" s="11">
        <f t="shared" ref="F11:F74" si="0">($D11-$C11)+$E11</f>
        <v>323000</v>
      </c>
      <c r="G11" s="17">
        <f>IF(OR($F11&gt;0,$B11=""),$K$4,$N$4)</f>
        <v>42.19</v>
      </c>
      <c r="H11" s="17">
        <f>IF(AND((($F11-10000)&gt;=0),(($F11-10000)&lt;= 10000)),($F11-10000)/1000*$K$5,IF(($F11-10000)&gt;=10000,$K$5*10,0))</f>
        <v>23</v>
      </c>
      <c r="I11" s="17">
        <f>IF(AND((($F11-20000)&gt;=0),(($F11-20000)&lt;=10000)),($F11-20000)/1000*$K$6,IF(($F11-20000)&gt;=10000,$K$6*10,0))</f>
        <v>26.7</v>
      </c>
      <c r="J11" s="18">
        <f>IF(AND((($F11-30000)&gt;=0),(($F11-30000)&lt;=10000)),($F11-30000)/1000*$K$7,IF(($F11-30000)&gt;=10000,$K$7*10,0))</f>
        <v>31</v>
      </c>
      <c r="K11" s="18">
        <f>IF((($F11-40000)&gt;=0),($F11-40000)/1000*$K$8,0)</f>
        <v>1018.8000000000001</v>
      </c>
      <c r="L11" s="18">
        <f>SUM(G11:K11)</f>
        <v>1141.69</v>
      </c>
      <c r="M11" s="18">
        <f>IF(   $H$5=1,    IF((F11-$H$6)&gt;0,((F11-$H$6)/$P$7)*$E$8,0),   IF(F11&gt;0,(F11/$P$4)*$E$8,0)    )</f>
        <v>70.348114285714288</v>
      </c>
      <c r="N11" s="18">
        <f>SUM(L11:M11)</f>
        <v>1212.0381142857143</v>
      </c>
      <c r="O11" s="8"/>
    </row>
    <row r="12" spans="1:16">
      <c r="A12" s="1" t="s">
        <v>2</v>
      </c>
      <c r="B12" s="11"/>
      <c r="C12" s="11">
        <v>7052000</v>
      </c>
      <c r="D12" s="11">
        <v>7052000</v>
      </c>
      <c r="E12" s="11">
        <v>0</v>
      </c>
      <c r="F12" s="11">
        <f t="shared" si="0"/>
        <v>0</v>
      </c>
      <c r="G12" s="17">
        <f>IF(OR($F12&gt;0,$B12=""),$K$4,$N$4)</f>
        <v>42.19</v>
      </c>
      <c r="H12" s="17">
        <f>IF(AND((($F12-10000)&gt;=0),(($F12-10000)&lt;= 10000)),($F12-10000)/1000*$K$5,IF(($F12-10000)&gt;=10000,$K$5*10,0))</f>
        <v>0</v>
      </c>
      <c r="I12" s="17">
        <f>IF(AND((($F12-20000)&gt;=0),(($F12-20000)&lt;=10000)),($F12-20000)/1000*$K$6,IF(($F12-20000)&gt;=10000,$K$6*10,0))</f>
        <v>0</v>
      </c>
      <c r="J12" s="18">
        <f>IF(AND((($F12-30000)&gt;=0),(($F12-30000)&lt;=10000)),($F12-30000)/1000*$K$7,IF(($F12-30000)&gt;=10000,$K$7*10,0))</f>
        <v>0</v>
      </c>
      <c r="K12" s="18">
        <f>IF((($F12-40000)&gt;=0),($F12-40000)/1000*$K$8,0)</f>
        <v>0</v>
      </c>
      <c r="L12" s="18">
        <f t="shared" ref="L12:L75" si="1">SUM(G12:K12)</f>
        <v>42.19</v>
      </c>
      <c r="M12" s="18">
        <f>IF(   $H$5=1,    IF((F12-$H$6)&gt;0,((F12-$H$6)/$P$7)*$E$8,0),   IF(F12&gt;0,(F12/$P$4)*$E$8,0)    )</f>
        <v>0</v>
      </c>
      <c r="N12" s="18">
        <f t="shared" ref="N12:N75" si="2">SUM(L12:M12)</f>
        <v>42.19</v>
      </c>
      <c r="O12" s="8"/>
    </row>
    <row r="13" spans="1:16">
      <c r="A13" s="1" t="s">
        <v>3</v>
      </c>
      <c r="B13" s="11"/>
      <c r="C13" s="11">
        <v>0</v>
      </c>
      <c r="D13" s="11">
        <v>0</v>
      </c>
      <c r="E13" s="11">
        <v>0</v>
      </c>
      <c r="F13" s="11">
        <f t="shared" si="0"/>
        <v>0</v>
      </c>
      <c r="G13" s="17">
        <f>IF(OR($F13&gt;0,$B13=""),$K$4,$N$4)</f>
        <v>42.19</v>
      </c>
      <c r="H13" s="17">
        <f>IF(AND((($F13-10000)&gt;=0),(($F13-10000)&lt;= 10000)),($F13-10000)/1000*$K$5,IF(($F13-10000)&gt;=10000,$K$5*10,0))</f>
        <v>0</v>
      </c>
      <c r="I13" s="17">
        <f>IF(AND((($F13-20000)&gt;=0),(($F13-20000)&lt;=10000)),($F13-20000)/1000*$K$6,IF(($F13-20000)&gt;=10000,$K$6*10,0))</f>
        <v>0</v>
      </c>
      <c r="J13" s="18">
        <f>IF(AND((($F13-30000)&gt;=0),(($F13-30000)&lt;=10000)),($F13-30000)/1000*$K$7,IF(($F13-30000)&gt;=10000,$K$7*10,0))</f>
        <v>0</v>
      </c>
      <c r="K13" s="18">
        <f>IF((($F13-40000)&gt;=0),($F13-40000)/1000*$K$8,0)</f>
        <v>0</v>
      </c>
      <c r="L13" s="18">
        <f t="shared" si="1"/>
        <v>42.19</v>
      </c>
      <c r="M13" s="18">
        <f>IF(   $H$5=1,    IF((F13-$H$6)&gt;0,((F13-$H$6)/$P$7)*$E$8,0),   IF(F13&gt;0,(F13/$P$4)*$E$8,0)    )</f>
        <v>0</v>
      </c>
      <c r="N13" s="18">
        <f t="shared" si="2"/>
        <v>42.19</v>
      </c>
      <c r="O13" s="8" t="s">
        <v>134</v>
      </c>
    </row>
    <row r="14" spans="1:16">
      <c r="A14" s="1" t="s">
        <v>4</v>
      </c>
      <c r="B14" s="11"/>
      <c r="C14" s="11">
        <v>3708000</v>
      </c>
      <c r="D14" s="11">
        <v>3718000</v>
      </c>
      <c r="E14" s="11">
        <v>0</v>
      </c>
      <c r="F14" s="11">
        <f t="shared" si="0"/>
        <v>10000</v>
      </c>
      <c r="G14" s="17">
        <f>IF(OR($F14&gt;0,$B14=""),$K$4,$N$4)</f>
        <v>42.19</v>
      </c>
      <c r="H14" s="17">
        <f>IF(AND((($F14-10000)&gt;=0),(($F14-10000)&lt;= 10000)),($F14-10000)/1000*$K$5,IF(($F14-10000)&gt;=10000,$K$5*10,0))</f>
        <v>0</v>
      </c>
      <c r="I14" s="17">
        <f>IF(AND((($F14-20000)&gt;=0),(($F14-20000)&lt;=10000)),($F14-20000)/1000*$K$6,IF(($F14-20000)&gt;=10000,$K$6*10,0))</f>
        <v>0</v>
      </c>
      <c r="J14" s="18">
        <f>IF(AND((($F14-30000)&gt;=0),(($F14-30000)&lt;=10000)),($F14-30000)/1000*$K$7,IF(($F14-30000)&gt;=10000,$K$7*10,0))</f>
        <v>0</v>
      </c>
      <c r="K14" s="18">
        <f>IF((($F14-40000)&gt;=0),($F14-40000)/1000*$K$8,0)</f>
        <v>0</v>
      </c>
      <c r="L14" s="18">
        <f t="shared" si="1"/>
        <v>42.19</v>
      </c>
      <c r="M14" s="18">
        <f>IF(   $H$5=1,    IF((F14-$H$6)&gt;0,((F14-$H$6)/$P$7)*$E$8,0),   IF(F14&gt;0,(F14/$P$4)*$E$8,0)    )</f>
        <v>0</v>
      </c>
      <c r="N14" s="18">
        <f t="shared" si="2"/>
        <v>42.19</v>
      </c>
      <c r="O14" s="8"/>
    </row>
    <row r="15" spans="1:16">
      <c r="A15" s="1" t="s">
        <v>5</v>
      </c>
      <c r="B15" s="11"/>
      <c r="C15" s="11">
        <v>2742000</v>
      </c>
      <c r="D15" s="11">
        <v>2848000</v>
      </c>
      <c r="E15" s="11">
        <v>0</v>
      </c>
      <c r="F15" s="11">
        <f t="shared" si="0"/>
        <v>106000</v>
      </c>
      <c r="G15" s="17">
        <f>IF(OR($F15&gt;0,$B15=""),$K$4,$N$4)</f>
        <v>42.19</v>
      </c>
      <c r="H15" s="17">
        <f>IF(AND((($F15-10000)&gt;=0),(($F15-10000)&lt;= 10000)),($F15-10000)/1000*$K$5,IF(($F15-10000)&gt;=10000,$K$5*10,0))</f>
        <v>23</v>
      </c>
      <c r="I15" s="17">
        <f>IF(AND((($F15-20000)&gt;=0),(($F15-20000)&lt;=10000)),($F15-20000)/1000*$K$6,IF(($F15-20000)&gt;=10000,$K$6*10,0))</f>
        <v>26.7</v>
      </c>
      <c r="J15" s="18">
        <f>IF(AND((($F15-30000)&gt;=0),(($F15-30000)&lt;=10000)),($F15-30000)/1000*$K$7,IF(($F15-30000)&gt;=10000,$K$7*10,0))</f>
        <v>31</v>
      </c>
      <c r="K15" s="18">
        <f>IF((($F15-40000)&gt;=0),($F15-40000)/1000*$K$8,0)</f>
        <v>237.6</v>
      </c>
      <c r="L15" s="18">
        <f t="shared" si="1"/>
        <v>360.49</v>
      </c>
      <c r="M15" s="18">
        <f>IF(   $H$5=1,    IF((F15-$H$6)&gt;0,((F15-$H$6)/$P$7)*$E$8,0),   IF(F15&gt;0,(F15/$P$4)*$E$8,0)    )</f>
        <v>17.342764285714285</v>
      </c>
      <c r="N15" s="18">
        <f t="shared" si="2"/>
        <v>377.83276428571429</v>
      </c>
      <c r="O15" s="8"/>
    </row>
    <row r="16" spans="1:16">
      <c r="A16" s="1" t="s">
        <v>6</v>
      </c>
      <c r="B16" s="11"/>
      <c r="C16" s="11">
        <v>26400000</v>
      </c>
      <c r="D16" s="11">
        <v>26500000</v>
      </c>
      <c r="E16" s="11">
        <v>0</v>
      </c>
      <c r="F16" s="11">
        <f t="shared" si="0"/>
        <v>100000</v>
      </c>
      <c r="G16" s="17">
        <f>$N$5</f>
        <v>185</v>
      </c>
      <c r="H16" s="17">
        <f>IF(($F16-100000)&gt;=0,($F16-100000)/1000*$N$6,0)</f>
        <v>0</v>
      </c>
      <c r="I16" s="17"/>
      <c r="J16" s="18"/>
      <c r="K16" s="18"/>
      <c r="L16" s="18">
        <f t="shared" si="1"/>
        <v>185</v>
      </c>
      <c r="M16" s="18">
        <f>IF(   $H$5=1,     IF((F16-$H$7)&gt;0,((F16-$H$7)/$P$7)*$E$8,0),   IF(F16&gt;0,(F16/$P$4)*$E$8,0)    )</f>
        <v>0</v>
      </c>
      <c r="N16" s="18">
        <f t="shared" si="2"/>
        <v>185</v>
      </c>
      <c r="O16" s="8" t="s">
        <v>133</v>
      </c>
    </row>
    <row r="17" spans="1:15">
      <c r="A17" s="1" t="s">
        <v>7</v>
      </c>
      <c r="B17" s="11"/>
      <c r="C17" s="11">
        <v>643000</v>
      </c>
      <c r="D17" s="11">
        <v>656000</v>
      </c>
      <c r="E17" s="11">
        <v>0</v>
      </c>
      <c r="F17" s="11">
        <f t="shared" si="0"/>
        <v>13000</v>
      </c>
      <c r="G17" s="17">
        <f t="shared" ref="G17:G80" si="3">IF(OR($F17&gt;0,$B17=""),$K$4,$N$4)</f>
        <v>42.19</v>
      </c>
      <c r="H17" s="17">
        <f t="shared" ref="H17:H80" si="4">IF(AND((($F17-10000)&gt;=0),(($F17-10000)&lt;= 10000)),($F17-10000)/1000*$K$5,IF(($F17-10000)&gt;=10000,$K$5*10,0))</f>
        <v>6.8999999999999995</v>
      </c>
      <c r="I17" s="17">
        <f t="shared" ref="I17:I80" si="5">IF(AND((($F17-20000)&gt;=0),(($F17-20000)&lt;=10000)),($F17-20000)/1000*$K$6,IF(($F17-20000)&gt;=10000,$K$6*10,0))</f>
        <v>0</v>
      </c>
      <c r="J17" s="18">
        <f t="shared" ref="J17:J80" si="6">IF(AND((($F17-30000)&gt;=0),(($F17-30000)&lt;=10000)),($F17-30000)/1000*$K$7,IF(($F17-30000)&gt;=10000,$K$7*10,0))</f>
        <v>0</v>
      </c>
      <c r="K17" s="18">
        <f t="shared" ref="K17:K80" si="7">IF((($F17-40000)&gt;=0),($F17-40000)/1000*$K$8,0)</f>
        <v>0</v>
      </c>
      <c r="L17" s="18">
        <f t="shared" si="1"/>
        <v>49.089999999999996</v>
      </c>
      <c r="M17" s="18">
        <f t="shared" ref="M17:M48" si="8">IF(   $H$5=1,    IF((F17-$H$6)&gt;0,((F17-$H$6)/$P$7)*$E$8,0),   IF(F17&gt;0,(F17/$P$4)*$E$8,0)    )</f>
        <v>0</v>
      </c>
      <c r="N17" s="18">
        <f t="shared" si="2"/>
        <v>49.089999999999996</v>
      </c>
      <c r="O17" s="8"/>
    </row>
    <row r="18" spans="1:15">
      <c r="A18" s="1" t="s">
        <v>8</v>
      </c>
      <c r="B18" s="11"/>
      <c r="C18" s="11">
        <v>322000</v>
      </c>
      <c r="D18" s="11">
        <v>465000</v>
      </c>
      <c r="E18" s="11">
        <v>0</v>
      </c>
      <c r="F18" s="11">
        <f t="shared" si="0"/>
        <v>143000</v>
      </c>
      <c r="G18" s="17">
        <f t="shared" si="3"/>
        <v>42.19</v>
      </c>
      <c r="H18" s="17">
        <f t="shared" si="4"/>
        <v>23</v>
      </c>
      <c r="I18" s="17">
        <f t="shared" si="5"/>
        <v>26.7</v>
      </c>
      <c r="J18" s="18">
        <f t="shared" si="6"/>
        <v>31</v>
      </c>
      <c r="K18" s="18">
        <f t="shared" si="7"/>
        <v>370.8</v>
      </c>
      <c r="L18" s="18">
        <f t="shared" si="1"/>
        <v>493.69</v>
      </c>
      <c r="M18" s="18">
        <f t="shared" si="8"/>
        <v>26.380542857142856</v>
      </c>
      <c r="N18" s="18">
        <f t="shared" si="2"/>
        <v>520.07054285714287</v>
      </c>
      <c r="O18" s="8" t="s">
        <v>174</v>
      </c>
    </row>
    <row r="19" spans="1:15">
      <c r="A19" s="1" t="s">
        <v>9</v>
      </c>
      <c r="B19" s="11"/>
      <c r="C19" s="11">
        <v>411000</v>
      </c>
      <c r="D19" s="11">
        <v>458000</v>
      </c>
      <c r="E19" s="11">
        <v>0</v>
      </c>
      <c r="F19" s="11">
        <f t="shared" si="0"/>
        <v>47000</v>
      </c>
      <c r="G19" s="17">
        <f t="shared" si="3"/>
        <v>42.19</v>
      </c>
      <c r="H19" s="17">
        <f t="shared" si="4"/>
        <v>23</v>
      </c>
      <c r="I19" s="17">
        <f t="shared" si="5"/>
        <v>26.7</v>
      </c>
      <c r="J19" s="18">
        <f t="shared" si="6"/>
        <v>31</v>
      </c>
      <c r="K19" s="18">
        <f t="shared" si="7"/>
        <v>25.2</v>
      </c>
      <c r="L19" s="18">
        <f t="shared" si="1"/>
        <v>148.09</v>
      </c>
      <c r="M19" s="18">
        <f t="shared" si="8"/>
        <v>2.931171428571429</v>
      </c>
      <c r="N19" s="18">
        <f t="shared" si="2"/>
        <v>151.02117142857142</v>
      </c>
      <c r="O19" s="8"/>
    </row>
    <row r="20" spans="1:15">
      <c r="A20" s="1" t="s">
        <v>10</v>
      </c>
      <c r="B20" s="11"/>
      <c r="C20" s="11">
        <v>1631000</v>
      </c>
      <c r="D20" s="11">
        <v>1661000</v>
      </c>
      <c r="E20" s="11">
        <v>0</v>
      </c>
      <c r="F20" s="11">
        <f t="shared" si="0"/>
        <v>30000</v>
      </c>
      <c r="G20" s="17">
        <f t="shared" si="3"/>
        <v>42.19</v>
      </c>
      <c r="H20" s="17">
        <f t="shared" si="4"/>
        <v>23</v>
      </c>
      <c r="I20" s="17">
        <f t="shared" si="5"/>
        <v>26.7</v>
      </c>
      <c r="J20" s="18">
        <f t="shared" si="6"/>
        <v>0</v>
      </c>
      <c r="K20" s="18">
        <f t="shared" si="7"/>
        <v>0</v>
      </c>
      <c r="L20" s="18">
        <f t="shared" si="1"/>
        <v>91.89</v>
      </c>
      <c r="M20" s="18">
        <f t="shared" si="8"/>
        <v>0</v>
      </c>
      <c r="N20" s="18">
        <f t="shared" si="2"/>
        <v>91.89</v>
      </c>
      <c r="O20" s="8"/>
    </row>
    <row r="21" spans="1:15">
      <c r="A21" s="1" t="s">
        <v>11</v>
      </c>
      <c r="B21" s="11"/>
      <c r="C21" s="11">
        <v>2080000</v>
      </c>
      <c r="D21" s="11">
        <v>2096000</v>
      </c>
      <c r="E21" s="11">
        <v>0</v>
      </c>
      <c r="F21" s="11">
        <f t="shared" si="0"/>
        <v>16000</v>
      </c>
      <c r="G21" s="17">
        <f t="shared" si="3"/>
        <v>42.19</v>
      </c>
      <c r="H21" s="17">
        <f t="shared" si="4"/>
        <v>13.799999999999999</v>
      </c>
      <c r="I21" s="17">
        <f t="shared" si="5"/>
        <v>0</v>
      </c>
      <c r="J21" s="18">
        <f t="shared" si="6"/>
        <v>0</v>
      </c>
      <c r="K21" s="18">
        <f t="shared" si="7"/>
        <v>0</v>
      </c>
      <c r="L21" s="18">
        <f t="shared" si="1"/>
        <v>55.989999999999995</v>
      </c>
      <c r="M21" s="18">
        <f t="shared" si="8"/>
        <v>0</v>
      </c>
      <c r="N21" s="18">
        <f t="shared" si="2"/>
        <v>55.989999999999995</v>
      </c>
      <c r="O21" s="8"/>
    </row>
    <row r="22" spans="1:15">
      <c r="A22" s="1" t="s">
        <v>12</v>
      </c>
      <c r="B22" s="11"/>
      <c r="C22" s="11">
        <v>2336000</v>
      </c>
      <c r="D22" s="11">
        <v>2371000</v>
      </c>
      <c r="E22" s="11">
        <v>0</v>
      </c>
      <c r="F22" s="11">
        <f t="shared" si="0"/>
        <v>35000</v>
      </c>
      <c r="G22" s="17">
        <f t="shared" si="3"/>
        <v>42.19</v>
      </c>
      <c r="H22" s="17">
        <f t="shared" si="4"/>
        <v>23</v>
      </c>
      <c r="I22" s="17">
        <f t="shared" si="5"/>
        <v>26.7</v>
      </c>
      <c r="J22" s="18">
        <f t="shared" si="6"/>
        <v>15.5</v>
      </c>
      <c r="K22" s="18">
        <f t="shared" si="7"/>
        <v>0</v>
      </c>
      <c r="L22" s="18">
        <f t="shared" si="1"/>
        <v>107.39</v>
      </c>
      <c r="M22" s="18">
        <f t="shared" si="8"/>
        <v>0</v>
      </c>
      <c r="N22" s="18">
        <f t="shared" si="2"/>
        <v>107.39</v>
      </c>
      <c r="O22" s="8"/>
    </row>
    <row r="23" spans="1:15">
      <c r="A23" s="1" t="s">
        <v>13</v>
      </c>
      <c r="B23" s="11" t="s">
        <v>138</v>
      </c>
      <c r="C23" s="11">
        <v>0</v>
      </c>
      <c r="D23" s="11">
        <v>0</v>
      </c>
      <c r="E23" s="11">
        <v>0</v>
      </c>
      <c r="F23" s="11">
        <f t="shared" si="0"/>
        <v>0</v>
      </c>
      <c r="G23" s="17">
        <f t="shared" si="3"/>
        <v>12.41</v>
      </c>
      <c r="H23" s="17">
        <f t="shared" si="4"/>
        <v>0</v>
      </c>
      <c r="I23" s="17">
        <f t="shared" si="5"/>
        <v>0</v>
      </c>
      <c r="J23" s="18">
        <f t="shared" si="6"/>
        <v>0</v>
      </c>
      <c r="K23" s="18">
        <f t="shared" si="7"/>
        <v>0</v>
      </c>
      <c r="L23" s="18">
        <f t="shared" si="1"/>
        <v>12.41</v>
      </c>
      <c r="M23" s="18">
        <f t="shared" si="8"/>
        <v>0</v>
      </c>
      <c r="N23" s="18">
        <f t="shared" si="2"/>
        <v>12.41</v>
      </c>
      <c r="O23" s="8"/>
    </row>
    <row r="24" spans="1:15">
      <c r="A24" s="1" t="s">
        <v>14</v>
      </c>
      <c r="B24" s="11"/>
      <c r="C24" s="11">
        <v>6714000</v>
      </c>
      <c r="D24" s="11">
        <v>6814000</v>
      </c>
      <c r="E24" s="11">
        <v>0</v>
      </c>
      <c r="F24" s="11">
        <f t="shared" si="0"/>
        <v>100000</v>
      </c>
      <c r="G24" s="17">
        <f t="shared" si="3"/>
        <v>42.19</v>
      </c>
      <c r="H24" s="17">
        <f t="shared" si="4"/>
        <v>23</v>
      </c>
      <c r="I24" s="17">
        <f t="shared" si="5"/>
        <v>26.7</v>
      </c>
      <c r="J24" s="18">
        <f t="shared" si="6"/>
        <v>31</v>
      </c>
      <c r="K24" s="18">
        <f t="shared" si="7"/>
        <v>216</v>
      </c>
      <c r="L24" s="18">
        <f t="shared" si="1"/>
        <v>338.89</v>
      </c>
      <c r="M24" s="18">
        <f t="shared" si="8"/>
        <v>15.877178571428573</v>
      </c>
      <c r="N24" s="18">
        <f t="shared" si="2"/>
        <v>354.76717857142853</v>
      </c>
      <c r="O24" s="8"/>
    </row>
    <row r="25" spans="1:15">
      <c r="A25" s="1" t="s">
        <v>15</v>
      </c>
      <c r="B25" s="11"/>
      <c r="C25" s="11">
        <v>2754000</v>
      </c>
      <c r="D25" s="11">
        <v>2788000</v>
      </c>
      <c r="E25" s="11">
        <v>0</v>
      </c>
      <c r="F25" s="11">
        <f t="shared" si="0"/>
        <v>34000</v>
      </c>
      <c r="G25" s="17">
        <f t="shared" si="3"/>
        <v>42.19</v>
      </c>
      <c r="H25" s="17">
        <f t="shared" si="4"/>
        <v>23</v>
      </c>
      <c r="I25" s="17">
        <f t="shared" si="5"/>
        <v>26.7</v>
      </c>
      <c r="J25" s="18">
        <f t="shared" si="6"/>
        <v>12.4</v>
      </c>
      <c r="K25" s="18">
        <f t="shared" si="7"/>
        <v>0</v>
      </c>
      <c r="L25" s="18">
        <f t="shared" si="1"/>
        <v>104.29</v>
      </c>
      <c r="M25" s="18">
        <f t="shared" si="8"/>
        <v>0</v>
      </c>
      <c r="N25" s="18">
        <f t="shared" si="2"/>
        <v>104.29</v>
      </c>
      <c r="O25" s="8"/>
    </row>
    <row r="26" spans="1:15">
      <c r="A26" s="1" t="s">
        <v>16</v>
      </c>
      <c r="B26" s="11"/>
      <c r="C26" s="11">
        <v>1675000</v>
      </c>
      <c r="D26" s="11">
        <v>1710000</v>
      </c>
      <c r="E26" s="11">
        <v>0</v>
      </c>
      <c r="F26" s="11">
        <f t="shared" si="0"/>
        <v>35000</v>
      </c>
      <c r="G26" s="17">
        <f t="shared" si="3"/>
        <v>42.19</v>
      </c>
      <c r="H26" s="17">
        <f t="shared" si="4"/>
        <v>23</v>
      </c>
      <c r="I26" s="17">
        <f t="shared" si="5"/>
        <v>26.7</v>
      </c>
      <c r="J26" s="18">
        <f t="shared" si="6"/>
        <v>15.5</v>
      </c>
      <c r="K26" s="18">
        <f t="shared" si="7"/>
        <v>0</v>
      </c>
      <c r="L26" s="18">
        <f t="shared" si="1"/>
        <v>107.39</v>
      </c>
      <c r="M26" s="18">
        <f t="shared" si="8"/>
        <v>0</v>
      </c>
      <c r="N26" s="18">
        <f t="shared" si="2"/>
        <v>107.39</v>
      </c>
      <c r="O26" s="8"/>
    </row>
    <row r="27" spans="1:15">
      <c r="A27" s="1" t="s">
        <v>17</v>
      </c>
      <c r="B27" s="11"/>
      <c r="C27" s="11">
        <v>1223000</v>
      </c>
      <c r="D27" s="11">
        <v>1227000</v>
      </c>
      <c r="E27" s="11">
        <v>0</v>
      </c>
      <c r="F27" s="11">
        <f t="shared" si="0"/>
        <v>4000</v>
      </c>
      <c r="G27" s="17">
        <f t="shared" si="3"/>
        <v>42.19</v>
      </c>
      <c r="H27" s="17">
        <f t="shared" si="4"/>
        <v>0</v>
      </c>
      <c r="I27" s="17">
        <f t="shared" si="5"/>
        <v>0</v>
      </c>
      <c r="J27" s="18">
        <f t="shared" si="6"/>
        <v>0</v>
      </c>
      <c r="K27" s="18">
        <f t="shared" si="7"/>
        <v>0</v>
      </c>
      <c r="L27" s="18">
        <f t="shared" si="1"/>
        <v>42.19</v>
      </c>
      <c r="M27" s="18">
        <f t="shared" si="8"/>
        <v>0</v>
      </c>
      <c r="N27" s="18">
        <f t="shared" si="2"/>
        <v>42.19</v>
      </c>
      <c r="O27" s="8"/>
    </row>
    <row r="28" spans="1:15">
      <c r="A28" s="1" t="s">
        <v>18</v>
      </c>
      <c r="B28" s="11"/>
      <c r="C28" s="11">
        <v>4101000</v>
      </c>
      <c r="D28" s="11">
        <v>4116000</v>
      </c>
      <c r="E28" s="11">
        <v>0</v>
      </c>
      <c r="F28" s="11">
        <f t="shared" si="0"/>
        <v>15000</v>
      </c>
      <c r="G28" s="17">
        <f t="shared" si="3"/>
        <v>42.19</v>
      </c>
      <c r="H28" s="17">
        <f t="shared" si="4"/>
        <v>11.5</v>
      </c>
      <c r="I28" s="17">
        <f t="shared" si="5"/>
        <v>0</v>
      </c>
      <c r="J28" s="18">
        <f t="shared" si="6"/>
        <v>0</v>
      </c>
      <c r="K28" s="18">
        <f t="shared" si="7"/>
        <v>0</v>
      </c>
      <c r="L28" s="18">
        <f t="shared" si="1"/>
        <v>53.69</v>
      </c>
      <c r="M28" s="18">
        <f t="shared" si="8"/>
        <v>0</v>
      </c>
      <c r="N28" s="18">
        <f t="shared" si="2"/>
        <v>53.69</v>
      </c>
      <c r="O28" s="8"/>
    </row>
    <row r="29" spans="1:15">
      <c r="A29" s="1" t="s">
        <v>19</v>
      </c>
      <c r="B29" s="11"/>
      <c r="C29" s="11">
        <v>1327000</v>
      </c>
      <c r="D29" s="11">
        <v>1373000</v>
      </c>
      <c r="E29" s="11">
        <v>0</v>
      </c>
      <c r="F29" s="11">
        <f t="shared" si="0"/>
        <v>46000</v>
      </c>
      <c r="G29" s="17">
        <f t="shared" si="3"/>
        <v>42.19</v>
      </c>
      <c r="H29" s="17">
        <f t="shared" si="4"/>
        <v>23</v>
      </c>
      <c r="I29" s="17">
        <f t="shared" si="5"/>
        <v>26.7</v>
      </c>
      <c r="J29" s="18">
        <f t="shared" si="6"/>
        <v>31</v>
      </c>
      <c r="K29" s="18">
        <f t="shared" si="7"/>
        <v>21.6</v>
      </c>
      <c r="L29" s="18">
        <f t="shared" si="1"/>
        <v>144.49</v>
      </c>
      <c r="M29" s="18">
        <f t="shared" si="8"/>
        <v>2.6869071428571432</v>
      </c>
      <c r="N29" s="18">
        <f t="shared" si="2"/>
        <v>147.17690714285715</v>
      </c>
      <c r="O29" s="8"/>
    </row>
    <row r="30" spans="1:15">
      <c r="A30" s="1" t="s">
        <v>20</v>
      </c>
      <c r="B30" s="11"/>
      <c r="C30" s="11">
        <v>2250000</v>
      </c>
      <c r="D30" s="11">
        <v>2260000</v>
      </c>
      <c r="E30" s="11">
        <v>0</v>
      </c>
      <c r="F30" s="11">
        <f t="shared" si="0"/>
        <v>10000</v>
      </c>
      <c r="G30" s="17">
        <f t="shared" si="3"/>
        <v>42.19</v>
      </c>
      <c r="H30" s="17">
        <f t="shared" si="4"/>
        <v>0</v>
      </c>
      <c r="I30" s="17">
        <f t="shared" si="5"/>
        <v>0</v>
      </c>
      <c r="J30" s="18">
        <f t="shared" si="6"/>
        <v>0</v>
      </c>
      <c r="K30" s="18">
        <f t="shared" si="7"/>
        <v>0</v>
      </c>
      <c r="L30" s="18">
        <f t="shared" si="1"/>
        <v>42.19</v>
      </c>
      <c r="M30" s="18">
        <f t="shared" si="8"/>
        <v>0</v>
      </c>
      <c r="N30" s="18">
        <f t="shared" si="2"/>
        <v>42.19</v>
      </c>
      <c r="O30" s="8"/>
    </row>
    <row r="31" spans="1:15">
      <c r="A31" s="1" t="s">
        <v>21</v>
      </c>
      <c r="B31" s="11" t="s">
        <v>138</v>
      </c>
      <c r="C31" s="11">
        <v>0</v>
      </c>
      <c r="D31" s="11">
        <v>0</v>
      </c>
      <c r="E31" s="11">
        <v>0</v>
      </c>
      <c r="F31" s="11">
        <f t="shared" si="0"/>
        <v>0</v>
      </c>
      <c r="G31" s="17">
        <f t="shared" si="3"/>
        <v>12.41</v>
      </c>
      <c r="H31" s="17">
        <f t="shared" si="4"/>
        <v>0</v>
      </c>
      <c r="I31" s="17">
        <f t="shared" si="5"/>
        <v>0</v>
      </c>
      <c r="J31" s="18">
        <f t="shared" si="6"/>
        <v>0</v>
      </c>
      <c r="K31" s="18">
        <f t="shared" si="7"/>
        <v>0</v>
      </c>
      <c r="L31" s="18">
        <f t="shared" si="1"/>
        <v>12.41</v>
      </c>
      <c r="M31" s="18">
        <f t="shared" si="8"/>
        <v>0</v>
      </c>
      <c r="N31" s="18">
        <f t="shared" si="2"/>
        <v>12.41</v>
      </c>
      <c r="O31" s="8"/>
    </row>
    <row r="32" spans="1:15">
      <c r="A32" s="1" t="s">
        <v>22</v>
      </c>
      <c r="B32" s="11"/>
      <c r="C32" s="11">
        <v>716000</v>
      </c>
      <c r="D32" s="11">
        <v>730000</v>
      </c>
      <c r="E32" s="11">
        <v>0</v>
      </c>
      <c r="F32" s="11">
        <f t="shared" si="0"/>
        <v>14000</v>
      </c>
      <c r="G32" s="17">
        <f t="shared" si="3"/>
        <v>42.19</v>
      </c>
      <c r="H32" s="17">
        <f t="shared" si="4"/>
        <v>9.1999999999999993</v>
      </c>
      <c r="I32" s="17">
        <f t="shared" si="5"/>
        <v>0</v>
      </c>
      <c r="J32" s="18">
        <f t="shared" si="6"/>
        <v>0</v>
      </c>
      <c r="K32" s="18">
        <f t="shared" si="7"/>
        <v>0</v>
      </c>
      <c r="L32" s="18">
        <f t="shared" si="1"/>
        <v>51.39</v>
      </c>
      <c r="M32" s="18">
        <f t="shared" si="8"/>
        <v>0</v>
      </c>
      <c r="N32" s="18">
        <f t="shared" si="2"/>
        <v>51.39</v>
      </c>
      <c r="O32" s="8"/>
    </row>
    <row r="33" spans="1:15">
      <c r="A33" s="1" t="s">
        <v>23</v>
      </c>
      <c r="B33" s="11" t="s">
        <v>138</v>
      </c>
      <c r="C33" s="11">
        <v>0</v>
      </c>
      <c r="D33" s="11">
        <v>0</v>
      </c>
      <c r="E33" s="11">
        <v>0</v>
      </c>
      <c r="F33" s="11">
        <f t="shared" si="0"/>
        <v>0</v>
      </c>
      <c r="G33" s="17">
        <f t="shared" si="3"/>
        <v>12.41</v>
      </c>
      <c r="H33" s="17">
        <f t="shared" si="4"/>
        <v>0</v>
      </c>
      <c r="I33" s="17">
        <f t="shared" si="5"/>
        <v>0</v>
      </c>
      <c r="J33" s="18">
        <f t="shared" si="6"/>
        <v>0</v>
      </c>
      <c r="K33" s="18">
        <f t="shared" si="7"/>
        <v>0</v>
      </c>
      <c r="L33" s="18">
        <f t="shared" si="1"/>
        <v>12.41</v>
      </c>
      <c r="M33" s="18">
        <f t="shared" si="8"/>
        <v>0</v>
      </c>
      <c r="N33" s="18">
        <f t="shared" si="2"/>
        <v>12.41</v>
      </c>
      <c r="O33" s="8"/>
    </row>
    <row r="34" spans="1:15">
      <c r="A34" s="1" t="s">
        <v>24</v>
      </c>
      <c r="B34" s="11" t="s">
        <v>138</v>
      </c>
      <c r="C34" s="11">
        <v>0</v>
      </c>
      <c r="D34" s="11">
        <v>0</v>
      </c>
      <c r="E34" s="11">
        <v>0</v>
      </c>
      <c r="F34" s="11">
        <f t="shared" si="0"/>
        <v>0</v>
      </c>
      <c r="G34" s="17">
        <f t="shared" si="3"/>
        <v>12.41</v>
      </c>
      <c r="H34" s="17">
        <f t="shared" si="4"/>
        <v>0</v>
      </c>
      <c r="I34" s="17">
        <f t="shared" si="5"/>
        <v>0</v>
      </c>
      <c r="J34" s="18">
        <f t="shared" si="6"/>
        <v>0</v>
      </c>
      <c r="K34" s="18">
        <f t="shared" si="7"/>
        <v>0</v>
      </c>
      <c r="L34" s="18">
        <f t="shared" si="1"/>
        <v>12.41</v>
      </c>
      <c r="M34" s="18">
        <f t="shared" si="8"/>
        <v>0</v>
      </c>
      <c r="N34" s="18">
        <f t="shared" si="2"/>
        <v>12.41</v>
      </c>
      <c r="O34" s="8"/>
    </row>
    <row r="35" spans="1:15">
      <c r="A35" s="1" t="s">
        <v>25</v>
      </c>
      <c r="B35" s="11"/>
      <c r="C35" s="11">
        <v>2620000</v>
      </c>
      <c r="D35" s="11">
        <v>2689000</v>
      </c>
      <c r="E35" s="11">
        <v>0</v>
      </c>
      <c r="F35" s="11">
        <f t="shared" si="0"/>
        <v>69000</v>
      </c>
      <c r="G35" s="17">
        <f t="shared" si="3"/>
        <v>42.19</v>
      </c>
      <c r="H35" s="17">
        <f t="shared" si="4"/>
        <v>23</v>
      </c>
      <c r="I35" s="17">
        <f t="shared" si="5"/>
        <v>26.7</v>
      </c>
      <c r="J35" s="18">
        <f t="shared" si="6"/>
        <v>31</v>
      </c>
      <c r="K35" s="18">
        <f t="shared" si="7"/>
        <v>104.4</v>
      </c>
      <c r="L35" s="18">
        <f t="shared" si="1"/>
        <v>227.29000000000002</v>
      </c>
      <c r="M35" s="18">
        <f t="shared" si="8"/>
        <v>8.3049857142857153</v>
      </c>
      <c r="N35" s="18">
        <f t="shared" si="2"/>
        <v>235.59498571428574</v>
      </c>
      <c r="O35" s="8"/>
    </row>
    <row r="36" spans="1:15">
      <c r="A36" s="1" t="s">
        <v>26</v>
      </c>
      <c r="B36" s="11"/>
      <c r="C36" s="11">
        <v>479000</v>
      </c>
      <c r="D36" s="11">
        <v>518000</v>
      </c>
      <c r="E36" s="11">
        <v>0</v>
      </c>
      <c r="F36" s="11">
        <f t="shared" si="0"/>
        <v>39000</v>
      </c>
      <c r="G36" s="17">
        <f t="shared" si="3"/>
        <v>42.19</v>
      </c>
      <c r="H36" s="17">
        <f t="shared" si="4"/>
        <v>23</v>
      </c>
      <c r="I36" s="17">
        <f t="shared" si="5"/>
        <v>26.7</v>
      </c>
      <c r="J36" s="18">
        <f t="shared" si="6"/>
        <v>27.900000000000002</v>
      </c>
      <c r="K36" s="18">
        <f t="shared" si="7"/>
        <v>0</v>
      </c>
      <c r="L36" s="18">
        <f t="shared" si="1"/>
        <v>119.79</v>
      </c>
      <c r="M36" s="18">
        <f t="shared" si="8"/>
        <v>0.97705714285714296</v>
      </c>
      <c r="N36" s="18">
        <f t="shared" si="2"/>
        <v>120.76705714285715</v>
      </c>
      <c r="O36" s="8"/>
    </row>
    <row r="37" spans="1:15">
      <c r="A37" s="1" t="s">
        <v>27</v>
      </c>
      <c r="B37" s="11"/>
      <c r="C37" s="11">
        <v>2163000</v>
      </c>
      <c r="D37" s="11">
        <v>2168000</v>
      </c>
      <c r="E37" s="11">
        <v>0</v>
      </c>
      <c r="F37" s="11">
        <f t="shared" si="0"/>
        <v>5000</v>
      </c>
      <c r="G37" s="17">
        <f t="shared" si="3"/>
        <v>42.19</v>
      </c>
      <c r="H37" s="17">
        <f t="shared" si="4"/>
        <v>0</v>
      </c>
      <c r="I37" s="17">
        <f t="shared" si="5"/>
        <v>0</v>
      </c>
      <c r="J37" s="18">
        <f t="shared" si="6"/>
        <v>0</v>
      </c>
      <c r="K37" s="18">
        <f t="shared" si="7"/>
        <v>0</v>
      </c>
      <c r="L37" s="18">
        <f t="shared" si="1"/>
        <v>42.19</v>
      </c>
      <c r="M37" s="18">
        <f t="shared" si="8"/>
        <v>0</v>
      </c>
      <c r="N37" s="18">
        <f t="shared" si="2"/>
        <v>42.19</v>
      </c>
      <c r="O37" s="8"/>
    </row>
    <row r="38" spans="1:15">
      <c r="A38" s="1" t="s">
        <v>28</v>
      </c>
      <c r="B38" s="11"/>
      <c r="C38" s="11">
        <v>1413000</v>
      </c>
      <c r="D38" s="11">
        <v>1423000</v>
      </c>
      <c r="E38" s="11">
        <v>0</v>
      </c>
      <c r="F38" s="11">
        <f t="shared" si="0"/>
        <v>10000</v>
      </c>
      <c r="G38" s="17">
        <f t="shared" si="3"/>
        <v>42.19</v>
      </c>
      <c r="H38" s="17">
        <f t="shared" si="4"/>
        <v>0</v>
      </c>
      <c r="I38" s="17">
        <f t="shared" si="5"/>
        <v>0</v>
      </c>
      <c r="J38" s="18">
        <f t="shared" si="6"/>
        <v>0</v>
      </c>
      <c r="K38" s="18">
        <f t="shared" si="7"/>
        <v>0</v>
      </c>
      <c r="L38" s="18">
        <f t="shared" si="1"/>
        <v>42.19</v>
      </c>
      <c r="M38" s="18">
        <f t="shared" si="8"/>
        <v>0</v>
      </c>
      <c r="N38" s="18">
        <f t="shared" si="2"/>
        <v>42.19</v>
      </c>
      <c r="O38" s="8"/>
    </row>
    <row r="39" spans="1:15">
      <c r="A39" s="1" t="s">
        <v>29</v>
      </c>
      <c r="B39" s="11" t="s">
        <v>138</v>
      </c>
      <c r="C39" s="11">
        <v>0</v>
      </c>
      <c r="D39" s="11">
        <v>0</v>
      </c>
      <c r="E39" s="11">
        <v>0</v>
      </c>
      <c r="F39" s="11">
        <f t="shared" si="0"/>
        <v>0</v>
      </c>
      <c r="G39" s="17">
        <f t="shared" si="3"/>
        <v>12.41</v>
      </c>
      <c r="H39" s="17">
        <f t="shared" si="4"/>
        <v>0</v>
      </c>
      <c r="I39" s="17">
        <f t="shared" si="5"/>
        <v>0</v>
      </c>
      <c r="J39" s="18">
        <f t="shared" si="6"/>
        <v>0</v>
      </c>
      <c r="K39" s="18">
        <f t="shared" si="7"/>
        <v>0</v>
      </c>
      <c r="L39" s="18">
        <f t="shared" si="1"/>
        <v>12.41</v>
      </c>
      <c r="M39" s="18">
        <f t="shared" si="8"/>
        <v>0</v>
      </c>
      <c r="N39" s="18">
        <f t="shared" si="2"/>
        <v>12.41</v>
      </c>
      <c r="O39" s="8"/>
    </row>
    <row r="40" spans="1:15">
      <c r="A40" s="1" t="s">
        <v>30</v>
      </c>
      <c r="B40" s="11" t="s">
        <v>138</v>
      </c>
      <c r="C40" s="11">
        <v>0</v>
      </c>
      <c r="D40" s="11">
        <v>0</v>
      </c>
      <c r="E40" s="11">
        <v>0</v>
      </c>
      <c r="F40" s="11">
        <f t="shared" si="0"/>
        <v>0</v>
      </c>
      <c r="G40" s="17">
        <f t="shared" si="3"/>
        <v>12.41</v>
      </c>
      <c r="H40" s="17">
        <f t="shared" si="4"/>
        <v>0</v>
      </c>
      <c r="I40" s="17">
        <f t="shared" si="5"/>
        <v>0</v>
      </c>
      <c r="J40" s="18">
        <f t="shared" si="6"/>
        <v>0</v>
      </c>
      <c r="K40" s="18">
        <f t="shared" si="7"/>
        <v>0</v>
      </c>
      <c r="L40" s="18">
        <f t="shared" si="1"/>
        <v>12.41</v>
      </c>
      <c r="M40" s="18">
        <f t="shared" si="8"/>
        <v>0</v>
      </c>
      <c r="N40" s="18">
        <f t="shared" si="2"/>
        <v>12.41</v>
      </c>
      <c r="O40" s="8"/>
    </row>
    <row r="41" spans="1:15">
      <c r="A41" s="1" t="s">
        <v>31</v>
      </c>
      <c r="B41" s="11"/>
      <c r="C41" s="11">
        <v>561000</v>
      </c>
      <c r="D41" s="11">
        <v>570000</v>
      </c>
      <c r="E41" s="11">
        <v>0</v>
      </c>
      <c r="F41" s="11">
        <f t="shared" si="0"/>
        <v>9000</v>
      </c>
      <c r="G41" s="17">
        <f t="shared" si="3"/>
        <v>42.19</v>
      </c>
      <c r="H41" s="17">
        <f t="shared" si="4"/>
        <v>0</v>
      </c>
      <c r="I41" s="17">
        <f t="shared" si="5"/>
        <v>0</v>
      </c>
      <c r="J41" s="18">
        <f t="shared" si="6"/>
        <v>0</v>
      </c>
      <c r="K41" s="18">
        <f t="shared" si="7"/>
        <v>0</v>
      </c>
      <c r="L41" s="18">
        <f t="shared" si="1"/>
        <v>42.19</v>
      </c>
      <c r="M41" s="18">
        <f t="shared" si="8"/>
        <v>0</v>
      </c>
      <c r="N41" s="18">
        <f t="shared" si="2"/>
        <v>42.19</v>
      </c>
      <c r="O41" s="8"/>
    </row>
    <row r="42" spans="1:15">
      <c r="A42" s="1" t="s">
        <v>32</v>
      </c>
      <c r="B42" s="11"/>
      <c r="C42" s="11">
        <v>3931000</v>
      </c>
      <c r="D42" s="11">
        <v>3947000</v>
      </c>
      <c r="E42" s="11">
        <v>0</v>
      </c>
      <c r="F42" s="11">
        <f t="shared" si="0"/>
        <v>16000</v>
      </c>
      <c r="G42" s="17">
        <f t="shared" si="3"/>
        <v>42.19</v>
      </c>
      <c r="H42" s="17">
        <f t="shared" si="4"/>
        <v>13.799999999999999</v>
      </c>
      <c r="I42" s="17">
        <f t="shared" si="5"/>
        <v>0</v>
      </c>
      <c r="J42" s="18">
        <f t="shared" si="6"/>
        <v>0</v>
      </c>
      <c r="K42" s="18">
        <f t="shared" si="7"/>
        <v>0</v>
      </c>
      <c r="L42" s="18">
        <f t="shared" si="1"/>
        <v>55.989999999999995</v>
      </c>
      <c r="M42" s="18">
        <f t="shared" si="8"/>
        <v>0</v>
      </c>
      <c r="N42" s="18">
        <f t="shared" si="2"/>
        <v>55.989999999999995</v>
      </c>
      <c r="O42" s="8"/>
    </row>
    <row r="43" spans="1:15">
      <c r="A43" s="1" t="s">
        <v>33</v>
      </c>
      <c r="B43" s="11"/>
      <c r="C43" s="11">
        <v>1252000</v>
      </c>
      <c r="D43" s="11">
        <v>1271000</v>
      </c>
      <c r="E43" s="11">
        <v>0</v>
      </c>
      <c r="F43" s="11">
        <f t="shared" si="0"/>
        <v>19000</v>
      </c>
      <c r="G43" s="17">
        <f t="shared" si="3"/>
        <v>42.19</v>
      </c>
      <c r="H43" s="17">
        <f t="shared" si="4"/>
        <v>20.7</v>
      </c>
      <c r="I43" s="17">
        <f t="shared" si="5"/>
        <v>0</v>
      </c>
      <c r="J43" s="18">
        <f t="shared" si="6"/>
        <v>0</v>
      </c>
      <c r="K43" s="18">
        <f t="shared" si="7"/>
        <v>0</v>
      </c>
      <c r="L43" s="18">
        <f t="shared" si="1"/>
        <v>62.89</v>
      </c>
      <c r="M43" s="18">
        <f t="shared" si="8"/>
        <v>0</v>
      </c>
      <c r="N43" s="18">
        <f t="shared" si="2"/>
        <v>62.89</v>
      </c>
      <c r="O43" s="8"/>
    </row>
    <row r="44" spans="1:15">
      <c r="A44" s="1" t="s">
        <v>34</v>
      </c>
      <c r="B44" s="11"/>
      <c r="C44" s="11">
        <v>452000</v>
      </c>
      <c r="D44" s="11">
        <v>530000</v>
      </c>
      <c r="E44" s="11">
        <v>0</v>
      </c>
      <c r="F44" s="11">
        <f t="shared" si="0"/>
        <v>78000</v>
      </c>
      <c r="G44" s="17">
        <f t="shared" si="3"/>
        <v>42.19</v>
      </c>
      <c r="H44" s="17">
        <f t="shared" si="4"/>
        <v>23</v>
      </c>
      <c r="I44" s="17">
        <f t="shared" si="5"/>
        <v>26.7</v>
      </c>
      <c r="J44" s="18">
        <f t="shared" si="6"/>
        <v>31</v>
      </c>
      <c r="K44" s="18">
        <f t="shared" si="7"/>
        <v>136.80000000000001</v>
      </c>
      <c r="L44" s="18">
        <f t="shared" si="1"/>
        <v>259.69</v>
      </c>
      <c r="M44" s="18">
        <f t="shared" si="8"/>
        <v>10.503364285714287</v>
      </c>
      <c r="N44" s="18">
        <f t="shared" si="2"/>
        <v>270.19336428571427</v>
      </c>
      <c r="O44" s="8" t="s">
        <v>175</v>
      </c>
    </row>
    <row r="45" spans="1:15">
      <c r="A45" s="1" t="s">
        <v>35</v>
      </c>
      <c r="B45" s="11"/>
      <c r="C45" s="11">
        <v>1805000</v>
      </c>
      <c r="D45" s="11">
        <v>1893000</v>
      </c>
      <c r="E45" s="11">
        <v>0</v>
      </c>
      <c r="F45" s="11">
        <f t="shared" si="0"/>
        <v>88000</v>
      </c>
      <c r="G45" s="17">
        <f t="shared" si="3"/>
        <v>42.19</v>
      </c>
      <c r="H45" s="17">
        <f t="shared" si="4"/>
        <v>23</v>
      </c>
      <c r="I45" s="17">
        <f t="shared" si="5"/>
        <v>26.7</v>
      </c>
      <c r="J45" s="18">
        <f t="shared" si="6"/>
        <v>31</v>
      </c>
      <c r="K45" s="18">
        <f t="shared" si="7"/>
        <v>172.8</v>
      </c>
      <c r="L45" s="18">
        <f t="shared" si="1"/>
        <v>295.69</v>
      </c>
      <c r="M45" s="18">
        <f t="shared" si="8"/>
        <v>12.946007142857145</v>
      </c>
      <c r="N45" s="18">
        <f t="shared" si="2"/>
        <v>308.63600714285712</v>
      </c>
      <c r="O45" s="8"/>
    </row>
    <row r="46" spans="1:15">
      <c r="A46" s="1" t="s">
        <v>36</v>
      </c>
      <c r="B46" s="11"/>
      <c r="C46" s="11">
        <v>1624000</v>
      </c>
      <c r="D46" s="11">
        <v>1632000</v>
      </c>
      <c r="E46" s="11">
        <v>0</v>
      </c>
      <c r="F46" s="11">
        <f t="shared" si="0"/>
        <v>8000</v>
      </c>
      <c r="G46" s="17">
        <f t="shared" si="3"/>
        <v>42.19</v>
      </c>
      <c r="H46" s="17">
        <f t="shared" si="4"/>
        <v>0</v>
      </c>
      <c r="I46" s="17">
        <f t="shared" si="5"/>
        <v>0</v>
      </c>
      <c r="J46" s="18">
        <f t="shared" si="6"/>
        <v>0</v>
      </c>
      <c r="K46" s="18">
        <f t="shared" si="7"/>
        <v>0</v>
      </c>
      <c r="L46" s="18">
        <f t="shared" si="1"/>
        <v>42.19</v>
      </c>
      <c r="M46" s="18">
        <f t="shared" si="8"/>
        <v>0</v>
      </c>
      <c r="N46" s="18">
        <f t="shared" si="2"/>
        <v>42.19</v>
      </c>
      <c r="O46" s="8"/>
    </row>
    <row r="47" spans="1:15">
      <c r="A47" s="1" t="s">
        <v>37</v>
      </c>
      <c r="B47" s="11"/>
      <c r="C47" s="11">
        <v>2145000</v>
      </c>
      <c r="D47" s="11">
        <v>2230000</v>
      </c>
      <c r="E47" s="11">
        <v>0</v>
      </c>
      <c r="F47" s="11">
        <f t="shared" si="0"/>
        <v>85000</v>
      </c>
      <c r="G47" s="17">
        <f t="shared" si="3"/>
        <v>42.19</v>
      </c>
      <c r="H47" s="17">
        <f t="shared" si="4"/>
        <v>23</v>
      </c>
      <c r="I47" s="17">
        <f t="shared" si="5"/>
        <v>26.7</v>
      </c>
      <c r="J47" s="18">
        <f t="shared" si="6"/>
        <v>31</v>
      </c>
      <c r="K47" s="18">
        <f t="shared" si="7"/>
        <v>162</v>
      </c>
      <c r="L47" s="18">
        <f t="shared" si="1"/>
        <v>284.89</v>
      </c>
      <c r="M47" s="18">
        <f t="shared" si="8"/>
        <v>12.213214285714287</v>
      </c>
      <c r="N47" s="18">
        <f t="shared" si="2"/>
        <v>297.10321428571427</v>
      </c>
      <c r="O47" s="8"/>
    </row>
    <row r="48" spans="1:15">
      <c r="A48" s="1" t="s">
        <v>38</v>
      </c>
      <c r="B48" s="11"/>
      <c r="C48" s="11">
        <v>2091000</v>
      </c>
      <c r="D48" s="11">
        <v>2199000</v>
      </c>
      <c r="E48" s="11">
        <v>0</v>
      </c>
      <c r="F48" s="11">
        <f t="shared" si="0"/>
        <v>108000</v>
      </c>
      <c r="G48" s="17">
        <f t="shared" si="3"/>
        <v>42.19</v>
      </c>
      <c r="H48" s="17">
        <f t="shared" si="4"/>
        <v>23</v>
      </c>
      <c r="I48" s="17">
        <f t="shared" si="5"/>
        <v>26.7</v>
      </c>
      <c r="J48" s="18">
        <f t="shared" si="6"/>
        <v>31</v>
      </c>
      <c r="K48" s="18">
        <f t="shared" si="7"/>
        <v>244.8</v>
      </c>
      <c r="L48" s="18">
        <f t="shared" si="1"/>
        <v>367.69</v>
      </c>
      <c r="M48" s="18">
        <f t="shared" si="8"/>
        <v>17.831292857142859</v>
      </c>
      <c r="N48" s="18">
        <f t="shared" si="2"/>
        <v>385.52129285714284</v>
      </c>
      <c r="O48" s="8"/>
    </row>
    <row r="49" spans="1:15">
      <c r="A49" s="1" t="s">
        <v>39</v>
      </c>
      <c r="B49" s="11" t="s">
        <v>138</v>
      </c>
      <c r="C49" s="11">
        <v>0</v>
      </c>
      <c r="D49" s="11">
        <v>0</v>
      </c>
      <c r="E49" s="11">
        <v>0</v>
      </c>
      <c r="F49" s="11">
        <f t="shared" si="0"/>
        <v>0</v>
      </c>
      <c r="G49" s="17">
        <f t="shared" si="3"/>
        <v>12.41</v>
      </c>
      <c r="H49" s="17">
        <f t="shared" si="4"/>
        <v>0</v>
      </c>
      <c r="I49" s="17">
        <f t="shared" si="5"/>
        <v>0</v>
      </c>
      <c r="J49" s="18">
        <f t="shared" si="6"/>
        <v>0</v>
      </c>
      <c r="K49" s="18">
        <f t="shared" si="7"/>
        <v>0</v>
      </c>
      <c r="L49" s="18">
        <f t="shared" si="1"/>
        <v>12.41</v>
      </c>
      <c r="M49" s="18">
        <f t="shared" ref="M49:M80" si="9">IF(   $H$5=1,    IF((F49-$H$6)&gt;0,((F49-$H$6)/$P$7)*$E$8,0),   IF(F49&gt;0,(F49/$P$4)*$E$8,0)    )</f>
        <v>0</v>
      </c>
      <c r="N49" s="18">
        <f t="shared" si="2"/>
        <v>12.41</v>
      </c>
      <c r="O49" s="8"/>
    </row>
    <row r="50" spans="1:15">
      <c r="A50" s="1" t="s">
        <v>40</v>
      </c>
      <c r="B50" s="11" t="s">
        <v>138</v>
      </c>
      <c r="C50" s="11">
        <v>0</v>
      </c>
      <c r="D50" s="11">
        <v>0</v>
      </c>
      <c r="E50" s="11">
        <v>0</v>
      </c>
      <c r="F50" s="11">
        <f t="shared" si="0"/>
        <v>0</v>
      </c>
      <c r="G50" s="17">
        <f t="shared" si="3"/>
        <v>12.41</v>
      </c>
      <c r="H50" s="17">
        <f t="shared" si="4"/>
        <v>0</v>
      </c>
      <c r="I50" s="17">
        <f t="shared" si="5"/>
        <v>0</v>
      </c>
      <c r="J50" s="18">
        <f t="shared" si="6"/>
        <v>0</v>
      </c>
      <c r="K50" s="18">
        <f t="shared" si="7"/>
        <v>0</v>
      </c>
      <c r="L50" s="18">
        <f t="shared" si="1"/>
        <v>12.41</v>
      </c>
      <c r="M50" s="18">
        <f t="shared" si="9"/>
        <v>0</v>
      </c>
      <c r="N50" s="18">
        <f t="shared" si="2"/>
        <v>12.41</v>
      </c>
      <c r="O50" s="8"/>
    </row>
    <row r="51" spans="1:15">
      <c r="A51" s="1" t="s">
        <v>41</v>
      </c>
      <c r="B51" s="11" t="s">
        <v>138</v>
      </c>
      <c r="C51" s="11">
        <v>0</v>
      </c>
      <c r="D51" s="11">
        <v>0</v>
      </c>
      <c r="E51" s="11">
        <v>0</v>
      </c>
      <c r="F51" s="11">
        <f t="shared" si="0"/>
        <v>0</v>
      </c>
      <c r="G51" s="17">
        <f t="shared" si="3"/>
        <v>12.41</v>
      </c>
      <c r="H51" s="17">
        <f t="shared" si="4"/>
        <v>0</v>
      </c>
      <c r="I51" s="17">
        <f t="shared" si="5"/>
        <v>0</v>
      </c>
      <c r="J51" s="18">
        <f t="shared" si="6"/>
        <v>0</v>
      </c>
      <c r="K51" s="18">
        <f t="shared" si="7"/>
        <v>0</v>
      </c>
      <c r="L51" s="18">
        <f t="shared" si="1"/>
        <v>12.41</v>
      </c>
      <c r="M51" s="18">
        <f t="shared" si="9"/>
        <v>0</v>
      </c>
      <c r="N51" s="18">
        <f t="shared" si="2"/>
        <v>12.41</v>
      </c>
      <c r="O51" s="8"/>
    </row>
    <row r="52" spans="1:15">
      <c r="A52" s="1" t="s">
        <v>42</v>
      </c>
      <c r="B52" s="11"/>
      <c r="C52" s="11">
        <v>3149000</v>
      </c>
      <c r="D52" s="11">
        <v>3179000</v>
      </c>
      <c r="E52" s="11">
        <v>0</v>
      </c>
      <c r="F52" s="11">
        <f t="shared" si="0"/>
        <v>30000</v>
      </c>
      <c r="G52" s="17">
        <f t="shared" si="3"/>
        <v>42.19</v>
      </c>
      <c r="H52" s="17">
        <f t="shared" si="4"/>
        <v>23</v>
      </c>
      <c r="I52" s="17">
        <f t="shared" si="5"/>
        <v>26.7</v>
      </c>
      <c r="J52" s="18">
        <f t="shared" si="6"/>
        <v>0</v>
      </c>
      <c r="K52" s="18">
        <f t="shared" si="7"/>
        <v>0</v>
      </c>
      <c r="L52" s="18">
        <f t="shared" si="1"/>
        <v>91.89</v>
      </c>
      <c r="M52" s="18">
        <f t="shared" si="9"/>
        <v>0</v>
      </c>
      <c r="N52" s="18">
        <f t="shared" si="2"/>
        <v>91.89</v>
      </c>
      <c r="O52" s="8"/>
    </row>
    <row r="53" spans="1:15">
      <c r="A53" s="1" t="s">
        <v>43</v>
      </c>
      <c r="B53" s="11"/>
      <c r="C53" s="11">
        <v>3346000</v>
      </c>
      <c r="D53" s="11">
        <v>3383000</v>
      </c>
      <c r="E53" s="11">
        <v>0</v>
      </c>
      <c r="F53" s="11">
        <f t="shared" si="0"/>
        <v>37000</v>
      </c>
      <c r="G53" s="17">
        <f t="shared" si="3"/>
        <v>42.19</v>
      </c>
      <c r="H53" s="17">
        <f t="shared" si="4"/>
        <v>23</v>
      </c>
      <c r="I53" s="17">
        <f t="shared" si="5"/>
        <v>26.7</v>
      </c>
      <c r="J53" s="18">
        <f t="shared" si="6"/>
        <v>21.7</v>
      </c>
      <c r="K53" s="18">
        <f t="shared" si="7"/>
        <v>0</v>
      </c>
      <c r="L53" s="18">
        <f t="shared" si="1"/>
        <v>113.59</v>
      </c>
      <c r="M53" s="18">
        <f t="shared" si="9"/>
        <v>0.48852857142857148</v>
      </c>
      <c r="N53" s="18">
        <f t="shared" si="2"/>
        <v>114.07852857142858</v>
      </c>
      <c r="O53" s="8"/>
    </row>
    <row r="54" spans="1:15">
      <c r="A54" s="1" t="s">
        <v>44</v>
      </c>
      <c r="B54" s="11"/>
      <c r="C54" s="11">
        <v>4453000</v>
      </c>
      <c r="D54" s="11">
        <v>4533000</v>
      </c>
      <c r="E54" s="11">
        <v>0</v>
      </c>
      <c r="F54" s="11">
        <f t="shared" si="0"/>
        <v>80000</v>
      </c>
      <c r="G54" s="17">
        <f t="shared" si="3"/>
        <v>42.19</v>
      </c>
      <c r="H54" s="17">
        <f t="shared" si="4"/>
        <v>23</v>
      </c>
      <c r="I54" s="17">
        <f t="shared" si="5"/>
        <v>26.7</v>
      </c>
      <c r="J54" s="18">
        <f t="shared" si="6"/>
        <v>31</v>
      </c>
      <c r="K54" s="18">
        <f t="shared" si="7"/>
        <v>144</v>
      </c>
      <c r="L54" s="18">
        <f t="shared" si="1"/>
        <v>266.89</v>
      </c>
      <c r="M54" s="18">
        <f t="shared" si="9"/>
        <v>10.991892857142856</v>
      </c>
      <c r="N54" s="18">
        <f t="shared" si="2"/>
        <v>277.88189285714282</v>
      </c>
      <c r="O54" s="8"/>
    </row>
    <row r="55" spans="1:15">
      <c r="A55" s="1" t="s">
        <v>45</v>
      </c>
      <c r="B55" s="11" t="s">
        <v>138</v>
      </c>
      <c r="C55" s="11">
        <v>0</v>
      </c>
      <c r="D55" s="11">
        <v>0</v>
      </c>
      <c r="E55" s="11">
        <v>0</v>
      </c>
      <c r="F55" s="11">
        <f t="shared" si="0"/>
        <v>0</v>
      </c>
      <c r="G55" s="17">
        <f t="shared" si="3"/>
        <v>12.41</v>
      </c>
      <c r="H55" s="17">
        <f t="shared" si="4"/>
        <v>0</v>
      </c>
      <c r="I55" s="17">
        <f t="shared" si="5"/>
        <v>0</v>
      </c>
      <c r="J55" s="18">
        <f t="shared" si="6"/>
        <v>0</v>
      </c>
      <c r="K55" s="18">
        <f t="shared" si="7"/>
        <v>0</v>
      </c>
      <c r="L55" s="18">
        <f t="shared" si="1"/>
        <v>12.41</v>
      </c>
      <c r="M55" s="18">
        <f t="shared" si="9"/>
        <v>0</v>
      </c>
      <c r="N55" s="18">
        <f t="shared" si="2"/>
        <v>12.41</v>
      </c>
      <c r="O55" s="8"/>
    </row>
    <row r="56" spans="1:15">
      <c r="A56" s="1" t="s">
        <v>46</v>
      </c>
      <c r="B56" s="11" t="s">
        <v>138</v>
      </c>
      <c r="C56" s="11">
        <v>0</v>
      </c>
      <c r="D56" s="11">
        <v>0</v>
      </c>
      <c r="E56" s="11">
        <v>0</v>
      </c>
      <c r="F56" s="11">
        <f t="shared" si="0"/>
        <v>0</v>
      </c>
      <c r="G56" s="17">
        <f t="shared" si="3"/>
        <v>12.41</v>
      </c>
      <c r="H56" s="17">
        <f t="shared" si="4"/>
        <v>0</v>
      </c>
      <c r="I56" s="17">
        <f t="shared" si="5"/>
        <v>0</v>
      </c>
      <c r="J56" s="18">
        <f t="shared" si="6"/>
        <v>0</v>
      </c>
      <c r="K56" s="18">
        <f t="shared" si="7"/>
        <v>0</v>
      </c>
      <c r="L56" s="18">
        <f t="shared" si="1"/>
        <v>12.41</v>
      </c>
      <c r="M56" s="18">
        <f t="shared" si="9"/>
        <v>0</v>
      </c>
      <c r="N56" s="18">
        <f t="shared" si="2"/>
        <v>12.41</v>
      </c>
      <c r="O56" s="8"/>
    </row>
    <row r="57" spans="1:15">
      <c r="A57" s="1" t="s">
        <v>47</v>
      </c>
      <c r="B57" s="11" t="s">
        <v>138</v>
      </c>
      <c r="C57" s="11">
        <v>0</v>
      </c>
      <c r="D57" s="11">
        <v>0</v>
      </c>
      <c r="E57" s="11">
        <v>0</v>
      </c>
      <c r="F57" s="11">
        <f t="shared" si="0"/>
        <v>0</v>
      </c>
      <c r="G57" s="17">
        <f t="shared" si="3"/>
        <v>12.41</v>
      </c>
      <c r="H57" s="17">
        <f t="shared" si="4"/>
        <v>0</v>
      </c>
      <c r="I57" s="17">
        <f t="shared" si="5"/>
        <v>0</v>
      </c>
      <c r="J57" s="18">
        <f t="shared" si="6"/>
        <v>0</v>
      </c>
      <c r="K57" s="18">
        <f t="shared" si="7"/>
        <v>0</v>
      </c>
      <c r="L57" s="18">
        <f t="shared" si="1"/>
        <v>12.41</v>
      </c>
      <c r="M57" s="18">
        <f t="shared" si="9"/>
        <v>0</v>
      </c>
      <c r="N57" s="18">
        <f t="shared" si="2"/>
        <v>12.41</v>
      </c>
      <c r="O57" s="8"/>
    </row>
    <row r="58" spans="1:15">
      <c r="A58" s="1" t="s">
        <v>48</v>
      </c>
      <c r="B58" s="11"/>
      <c r="C58" s="11">
        <v>1139000</v>
      </c>
      <c r="D58" s="11">
        <v>1141000</v>
      </c>
      <c r="E58" s="11">
        <v>0</v>
      </c>
      <c r="F58" s="11">
        <f t="shared" si="0"/>
        <v>2000</v>
      </c>
      <c r="G58" s="17">
        <f t="shared" si="3"/>
        <v>42.19</v>
      </c>
      <c r="H58" s="17">
        <f t="shared" si="4"/>
        <v>0</v>
      </c>
      <c r="I58" s="17">
        <f t="shared" si="5"/>
        <v>0</v>
      </c>
      <c r="J58" s="18">
        <f t="shared" si="6"/>
        <v>0</v>
      </c>
      <c r="K58" s="18">
        <f t="shared" si="7"/>
        <v>0</v>
      </c>
      <c r="L58" s="18">
        <f t="shared" si="1"/>
        <v>42.19</v>
      </c>
      <c r="M58" s="18">
        <f t="shared" si="9"/>
        <v>0</v>
      </c>
      <c r="N58" s="18">
        <f t="shared" si="2"/>
        <v>42.19</v>
      </c>
      <c r="O58" s="8"/>
    </row>
    <row r="59" spans="1:15">
      <c r="A59" s="1" t="s">
        <v>49</v>
      </c>
      <c r="B59" s="11"/>
      <c r="C59" s="11">
        <v>980000</v>
      </c>
      <c r="D59" s="11">
        <v>996000</v>
      </c>
      <c r="E59" s="11">
        <v>0</v>
      </c>
      <c r="F59" s="11">
        <f t="shared" si="0"/>
        <v>16000</v>
      </c>
      <c r="G59" s="17">
        <f t="shared" si="3"/>
        <v>42.19</v>
      </c>
      <c r="H59" s="17">
        <f t="shared" si="4"/>
        <v>13.799999999999999</v>
      </c>
      <c r="I59" s="17">
        <f t="shared" si="5"/>
        <v>0</v>
      </c>
      <c r="J59" s="18">
        <f t="shared" si="6"/>
        <v>0</v>
      </c>
      <c r="K59" s="18">
        <f t="shared" si="7"/>
        <v>0</v>
      </c>
      <c r="L59" s="18">
        <f t="shared" si="1"/>
        <v>55.989999999999995</v>
      </c>
      <c r="M59" s="18">
        <f t="shared" si="9"/>
        <v>0</v>
      </c>
      <c r="N59" s="18">
        <f t="shared" si="2"/>
        <v>55.989999999999995</v>
      </c>
      <c r="O59" s="8"/>
    </row>
    <row r="60" spans="1:15">
      <c r="A60" s="1" t="s">
        <v>50</v>
      </c>
      <c r="B60" s="11"/>
      <c r="C60" s="11">
        <v>3573000</v>
      </c>
      <c r="D60" s="11">
        <v>3599000</v>
      </c>
      <c r="E60" s="11">
        <v>0</v>
      </c>
      <c r="F60" s="11">
        <f t="shared" si="0"/>
        <v>26000</v>
      </c>
      <c r="G60" s="17">
        <f t="shared" si="3"/>
        <v>42.19</v>
      </c>
      <c r="H60" s="17">
        <f t="shared" si="4"/>
        <v>23</v>
      </c>
      <c r="I60" s="17">
        <f t="shared" si="5"/>
        <v>16.02</v>
      </c>
      <c r="J60" s="18">
        <f t="shared" si="6"/>
        <v>0</v>
      </c>
      <c r="K60" s="18">
        <f t="shared" si="7"/>
        <v>0</v>
      </c>
      <c r="L60" s="18">
        <f t="shared" si="1"/>
        <v>81.209999999999994</v>
      </c>
      <c r="M60" s="18">
        <f t="shared" si="9"/>
        <v>0</v>
      </c>
      <c r="N60" s="18">
        <f t="shared" si="2"/>
        <v>81.209999999999994</v>
      </c>
      <c r="O60" s="8"/>
    </row>
    <row r="61" spans="1:15">
      <c r="A61" s="1" t="s">
        <v>51</v>
      </c>
      <c r="B61" s="11" t="s">
        <v>138</v>
      </c>
      <c r="C61" s="11">
        <v>0</v>
      </c>
      <c r="D61" s="11">
        <v>0</v>
      </c>
      <c r="E61" s="11">
        <v>0</v>
      </c>
      <c r="F61" s="11">
        <f t="shared" si="0"/>
        <v>0</v>
      </c>
      <c r="G61" s="17">
        <f t="shared" si="3"/>
        <v>12.41</v>
      </c>
      <c r="H61" s="17">
        <f t="shared" si="4"/>
        <v>0</v>
      </c>
      <c r="I61" s="17">
        <f t="shared" si="5"/>
        <v>0</v>
      </c>
      <c r="J61" s="18">
        <f t="shared" si="6"/>
        <v>0</v>
      </c>
      <c r="K61" s="18">
        <f t="shared" si="7"/>
        <v>0</v>
      </c>
      <c r="L61" s="18">
        <f t="shared" si="1"/>
        <v>12.41</v>
      </c>
      <c r="M61" s="18">
        <f t="shared" si="9"/>
        <v>0</v>
      </c>
      <c r="N61" s="18">
        <f t="shared" si="2"/>
        <v>12.41</v>
      </c>
      <c r="O61" s="8"/>
    </row>
    <row r="62" spans="1:15">
      <c r="A62" s="1" t="s">
        <v>52</v>
      </c>
      <c r="B62" s="11"/>
      <c r="C62" s="11">
        <v>1750000</v>
      </c>
      <c r="D62" s="11">
        <v>1762000</v>
      </c>
      <c r="E62" s="11">
        <v>0</v>
      </c>
      <c r="F62" s="11">
        <f t="shared" si="0"/>
        <v>12000</v>
      </c>
      <c r="G62" s="17">
        <f t="shared" si="3"/>
        <v>42.19</v>
      </c>
      <c r="H62" s="17">
        <f t="shared" si="4"/>
        <v>4.5999999999999996</v>
      </c>
      <c r="I62" s="17">
        <f t="shared" si="5"/>
        <v>0</v>
      </c>
      <c r="J62" s="18">
        <f t="shared" si="6"/>
        <v>0</v>
      </c>
      <c r="K62" s="18">
        <f t="shared" si="7"/>
        <v>0</v>
      </c>
      <c r="L62" s="18">
        <f t="shared" si="1"/>
        <v>46.79</v>
      </c>
      <c r="M62" s="18">
        <f t="shared" si="9"/>
        <v>0</v>
      </c>
      <c r="N62" s="18">
        <f t="shared" si="2"/>
        <v>46.79</v>
      </c>
      <c r="O62" s="8"/>
    </row>
    <row r="63" spans="1:15">
      <c r="A63" s="1" t="s">
        <v>53</v>
      </c>
      <c r="B63" s="11"/>
      <c r="C63" s="11">
        <v>2473000</v>
      </c>
      <c r="D63" s="11">
        <v>2505000</v>
      </c>
      <c r="E63" s="11">
        <v>0</v>
      </c>
      <c r="F63" s="11">
        <f t="shared" si="0"/>
        <v>32000</v>
      </c>
      <c r="G63" s="17">
        <f t="shared" si="3"/>
        <v>42.19</v>
      </c>
      <c r="H63" s="17">
        <f t="shared" si="4"/>
        <v>23</v>
      </c>
      <c r="I63" s="17">
        <f t="shared" si="5"/>
        <v>26.7</v>
      </c>
      <c r="J63" s="18">
        <f t="shared" si="6"/>
        <v>6.2</v>
      </c>
      <c r="K63" s="18">
        <f t="shared" si="7"/>
        <v>0</v>
      </c>
      <c r="L63" s="18">
        <f t="shared" si="1"/>
        <v>98.09</v>
      </c>
      <c r="M63" s="18">
        <f t="shared" si="9"/>
        <v>0</v>
      </c>
      <c r="N63" s="18">
        <f t="shared" si="2"/>
        <v>98.09</v>
      </c>
      <c r="O63" s="8"/>
    </row>
    <row r="64" spans="1:15">
      <c r="A64" s="1" t="s">
        <v>54</v>
      </c>
      <c r="B64" s="11"/>
      <c r="C64" s="11">
        <v>3688000</v>
      </c>
      <c r="D64" s="11">
        <v>3801000</v>
      </c>
      <c r="E64" s="11">
        <v>0</v>
      </c>
      <c r="F64" s="11">
        <f t="shared" si="0"/>
        <v>113000</v>
      </c>
      <c r="G64" s="17">
        <f t="shared" si="3"/>
        <v>42.19</v>
      </c>
      <c r="H64" s="17">
        <f t="shared" si="4"/>
        <v>23</v>
      </c>
      <c r="I64" s="17">
        <f t="shared" si="5"/>
        <v>26.7</v>
      </c>
      <c r="J64" s="18">
        <f t="shared" si="6"/>
        <v>31</v>
      </c>
      <c r="K64" s="18">
        <f t="shared" si="7"/>
        <v>262.8</v>
      </c>
      <c r="L64" s="18">
        <f t="shared" si="1"/>
        <v>385.69</v>
      </c>
      <c r="M64" s="18">
        <f t="shared" si="9"/>
        <v>19.052614285714288</v>
      </c>
      <c r="N64" s="18">
        <f t="shared" si="2"/>
        <v>404.7426142857143</v>
      </c>
      <c r="O64" s="8"/>
    </row>
    <row r="65" spans="1:15">
      <c r="A65" s="1" t="s">
        <v>55</v>
      </c>
      <c r="B65" s="11" t="s">
        <v>138</v>
      </c>
      <c r="C65" s="11">
        <v>0</v>
      </c>
      <c r="D65" s="11">
        <v>0</v>
      </c>
      <c r="E65" s="11">
        <v>0</v>
      </c>
      <c r="F65" s="11">
        <f t="shared" si="0"/>
        <v>0</v>
      </c>
      <c r="G65" s="17">
        <f t="shared" si="3"/>
        <v>12.41</v>
      </c>
      <c r="H65" s="17">
        <f t="shared" si="4"/>
        <v>0</v>
      </c>
      <c r="I65" s="17">
        <f t="shared" si="5"/>
        <v>0</v>
      </c>
      <c r="J65" s="18">
        <f t="shared" si="6"/>
        <v>0</v>
      </c>
      <c r="K65" s="18">
        <f t="shared" si="7"/>
        <v>0</v>
      </c>
      <c r="L65" s="18">
        <f t="shared" si="1"/>
        <v>12.41</v>
      </c>
      <c r="M65" s="18">
        <f t="shared" si="9"/>
        <v>0</v>
      </c>
      <c r="N65" s="18">
        <f t="shared" si="2"/>
        <v>12.41</v>
      </c>
      <c r="O65" s="8"/>
    </row>
    <row r="66" spans="1:15">
      <c r="A66" s="1" t="s">
        <v>56</v>
      </c>
      <c r="B66" s="11"/>
      <c r="C66" s="11">
        <v>1642000</v>
      </c>
      <c r="D66" s="11">
        <v>1679000</v>
      </c>
      <c r="E66" s="11">
        <v>0</v>
      </c>
      <c r="F66" s="11">
        <f t="shared" si="0"/>
        <v>37000</v>
      </c>
      <c r="G66" s="17">
        <f t="shared" si="3"/>
        <v>42.19</v>
      </c>
      <c r="H66" s="17">
        <f t="shared" si="4"/>
        <v>23</v>
      </c>
      <c r="I66" s="17">
        <f t="shared" si="5"/>
        <v>26.7</v>
      </c>
      <c r="J66" s="18">
        <f t="shared" si="6"/>
        <v>21.7</v>
      </c>
      <c r="K66" s="18">
        <f t="shared" si="7"/>
        <v>0</v>
      </c>
      <c r="L66" s="18">
        <f t="shared" si="1"/>
        <v>113.59</v>
      </c>
      <c r="M66" s="18">
        <f t="shared" si="9"/>
        <v>0.48852857142857148</v>
      </c>
      <c r="N66" s="18">
        <f t="shared" si="2"/>
        <v>114.07852857142858</v>
      </c>
      <c r="O66" s="8"/>
    </row>
    <row r="67" spans="1:15">
      <c r="A67" s="1" t="s">
        <v>57</v>
      </c>
      <c r="B67" s="11"/>
      <c r="C67" s="11">
        <v>1619000</v>
      </c>
      <c r="D67" s="11">
        <v>1622000</v>
      </c>
      <c r="E67" s="11">
        <v>0</v>
      </c>
      <c r="F67" s="11">
        <f t="shared" si="0"/>
        <v>3000</v>
      </c>
      <c r="G67" s="17">
        <f t="shared" si="3"/>
        <v>42.19</v>
      </c>
      <c r="H67" s="17">
        <f t="shared" si="4"/>
        <v>0</v>
      </c>
      <c r="I67" s="17">
        <f t="shared" si="5"/>
        <v>0</v>
      </c>
      <c r="J67" s="18">
        <f t="shared" si="6"/>
        <v>0</v>
      </c>
      <c r="K67" s="18">
        <f t="shared" si="7"/>
        <v>0</v>
      </c>
      <c r="L67" s="18">
        <f t="shared" si="1"/>
        <v>42.19</v>
      </c>
      <c r="M67" s="18">
        <f t="shared" si="9"/>
        <v>0</v>
      </c>
      <c r="N67" s="18">
        <f t="shared" si="2"/>
        <v>42.19</v>
      </c>
      <c r="O67" s="8"/>
    </row>
    <row r="68" spans="1:15">
      <c r="A68" s="1" t="s">
        <v>58</v>
      </c>
      <c r="B68" s="11" t="s">
        <v>138</v>
      </c>
      <c r="C68" s="11">
        <v>0</v>
      </c>
      <c r="D68" s="11">
        <v>0</v>
      </c>
      <c r="E68" s="11">
        <v>0</v>
      </c>
      <c r="F68" s="11">
        <f t="shared" si="0"/>
        <v>0</v>
      </c>
      <c r="G68" s="17">
        <f t="shared" si="3"/>
        <v>12.41</v>
      </c>
      <c r="H68" s="17">
        <f t="shared" si="4"/>
        <v>0</v>
      </c>
      <c r="I68" s="17">
        <f t="shared" si="5"/>
        <v>0</v>
      </c>
      <c r="J68" s="18">
        <f t="shared" si="6"/>
        <v>0</v>
      </c>
      <c r="K68" s="18">
        <f t="shared" si="7"/>
        <v>0</v>
      </c>
      <c r="L68" s="18">
        <f t="shared" si="1"/>
        <v>12.41</v>
      </c>
      <c r="M68" s="18">
        <f t="shared" si="9"/>
        <v>0</v>
      </c>
      <c r="N68" s="18">
        <f t="shared" si="2"/>
        <v>12.41</v>
      </c>
      <c r="O68" s="8" t="s">
        <v>183</v>
      </c>
    </row>
    <row r="69" spans="1:15">
      <c r="A69" s="1" t="s">
        <v>59</v>
      </c>
      <c r="B69" s="11" t="s">
        <v>138</v>
      </c>
      <c r="C69" s="11">
        <v>0</v>
      </c>
      <c r="D69" s="11">
        <v>0</v>
      </c>
      <c r="E69" s="11">
        <v>0</v>
      </c>
      <c r="F69" s="11">
        <f t="shared" si="0"/>
        <v>0</v>
      </c>
      <c r="G69" s="17">
        <f t="shared" si="3"/>
        <v>12.41</v>
      </c>
      <c r="H69" s="17">
        <f t="shared" si="4"/>
        <v>0</v>
      </c>
      <c r="I69" s="17">
        <f t="shared" si="5"/>
        <v>0</v>
      </c>
      <c r="J69" s="18">
        <f t="shared" si="6"/>
        <v>0</v>
      </c>
      <c r="K69" s="18">
        <f t="shared" si="7"/>
        <v>0</v>
      </c>
      <c r="L69" s="18">
        <f t="shared" si="1"/>
        <v>12.41</v>
      </c>
      <c r="M69" s="18">
        <f t="shared" si="9"/>
        <v>0</v>
      </c>
      <c r="N69" s="18">
        <f t="shared" si="2"/>
        <v>12.41</v>
      </c>
      <c r="O69" s="8"/>
    </row>
    <row r="70" spans="1:15">
      <c r="A70" s="1" t="s">
        <v>60</v>
      </c>
      <c r="B70" s="11" t="s">
        <v>138</v>
      </c>
      <c r="C70" s="11">
        <v>0</v>
      </c>
      <c r="D70" s="11">
        <v>0</v>
      </c>
      <c r="E70" s="11">
        <v>0</v>
      </c>
      <c r="F70" s="11">
        <f t="shared" si="0"/>
        <v>0</v>
      </c>
      <c r="G70" s="17">
        <f t="shared" si="3"/>
        <v>12.41</v>
      </c>
      <c r="H70" s="17">
        <f t="shared" si="4"/>
        <v>0</v>
      </c>
      <c r="I70" s="17">
        <f t="shared" si="5"/>
        <v>0</v>
      </c>
      <c r="J70" s="18">
        <f t="shared" si="6"/>
        <v>0</v>
      </c>
      <c r="K70" s="18">
        <f t="shared" si="7"/>
        <v>0</v>
      </c>
      <c r="L70" s="18">
        <f t="shared" si="1"/>
        <v>12.41</v>
      </c>
      <c r="M70" s="18">
        <f t="shared" si="9"/>
        <v>0</v>
      </c>
      <c r="N70" s="18">
        <f t="shared" si="2"/>
        <v>12.41</v>
      </c>
      <c r="O70" s="8"/>
    </row>
    <row r="71" spans="1:15">
      <c r="A71" s="1" t="s">
        <v>61</v>
      </c>
      <c r="B71" s="11"/>
      <c r="C71" s="11">
        <v>1380000</v>
      </c>
      <c r="D71" s="11">
        <v>1385000</v>
      </c>
      <c r="E71" s="11">
        <v>0</v>
      </c>
      <c r="F71" s="11">
        <f t="shared" si="0"/>
        <v>5000</v>
      </c>
      <c r="G71" s="17">
        <f t="shared" si="3"/>
        <v>42.19</v>
      </c>
      <c r="H71" s="17">
        <f t="shared" si="4"/>
        <v>0</v>
      </c>
      <c r="I71" s="17">
        <f t="shared" si="5"/>
        <v>0</v>
      </c>
      <c r="J71" s="18">
        <f t="shared" si="6"/>
        <v>0</v>
      </c>
      <c r="K71" s="18">
        <f t="shared" si="7"/>
        <v>0</v>
      </c>
      <c r="L71" s="18">
        <f t="shared" si="1"/>
        <v>42.19</v>
      </c>
      <c r="M71" s="18">
        <f t="shared" si="9"/>
        <v>0</v>
      </c>
      <c r="N71" s="18">
        <f t="shared" si="2"/>
        <v>42.19</v>
      </c>
      <c r="O71" s="8"/>
    </row>
    <row r="72" spans="1:15">
      <c r="A72" s="1" t="s">
        <v>62</v>
      </c>
      <c r="B72" s="11"/>
      <c r="C72" s="11">
        <v>1976000</v>
      </c>
      <c r="D72" s="11">
        <v>2020000</v>
      </c>
      <c r="E72" s="11">
        <v>0</v>
      </c>
      <c r="F72" s="11">
        <f t="shared" si="0"/>
        <v>44000</v>
      </c>
      <c r="G72" s="17">
        <f t="shared" si="3"/>
        <v>42.19</v>
      </c>
      <c r="H72" s="17">
        <f t="shared" si="4"/>
        <v>23</v>
      </c>
      <c r="I72" s="17">
        <f t="shared" si="5"/>
        <v>26.7</v>
      </c>
      <c r="J72" s="18">
        <f t="shared" si="6"/>
        <v>31</v>
      </c>
      <c r="K72" s="18">
        <f t="shared" si="7"/>
        <v>14.4</v>
      </c>
      <c r="L72" s="18">
        <f t="shared" si="1"/>
        <v>137.29</v>
      </c>
      <c r="M72" s="18">
        <f t="shared" si="9"/>
        <v>2.1983785714285715</v>
      </c>
      <c r="N72" s="18">
        <f t="shared" si="2"/>
        <v>139.48837857142857</v>
      </c>
      <c r="O72" s="8"/>
    </row>
    <row r="73" spans="1:15">
      <c r="A73" s="1" t="s">
        <v>63</v>
      </c>
      <c r="B73" s="11" t="s">
        <v>138</v>
      </c>
      <c r="C73" s="11">
        <v>0</v>
      </c>
      <c r="D73" s="11">
        <v>0</v>
      </c>
      <c r="E73" s="11">
        <v>0</v>
      </c>
      <c r="F73" s="11">
        <f t="shared" si="0"/>
        <v>0</v>
      </c>
      <c r="G73" s="17">
        <f t="shared" si="3"/>
        <v>12.41</v>
      </c>
      <c r="H73" s="17">
        <f t="shared" si="4"/>
        <v>0</v>
      </c>
      <c r="I73" s="17">
        <f t="shared" si="5"/>
        <v>0</v>
      </c>
      <c r="J73" s="18">
        <f t="shared" si="6"/>
        <v>0</v>
      </c>
      <c r="K73" s="18">
        <f t="shared" si="7"/>
        <v>0</v>
      </c>
      <c r="L73" s="18">
        <f t="shared" si="1"/>
        <v>12.41</v>
      </c>
      <c r="M73" s="18">
        <f t="shared" si="9"/>
        <v>0</v>
      </c>
      <c r="N73" s="18">
        <f t="shared" si="2"/>
        <v>12.41</v>
      </c>
      <c r="O73" s="8"/>
    </row>
    <row r="74" spans="1:15">
      <c r="A74" s="1" t="s">
        <v>64</v>
      </c>
      <c r="B74" s="11"/>
      <c r="C74" s="11">
        <v>5065000</v>
      </c>
      <c r="D74" s="11">
        <v>5116000</v>
      </c>
      <c r="E74" s="11">
        <v>0</v>
      </c>
      <c r="F74" s="11">
        <f t="shared" si="0"/>
        <v>51000</v>
      </c>
      <c r="G74" s="17">
        <f t="shared" si="3"/>
        <v>42.19</v>
      </c>
      <c r="H74" s="17">
        <f t="shared" si="4"/>
        <v>23</v>
      </c>
      <c r="I74" s="17">
        <f t="shared" si="5"/>
        <v>26.7</v>
      </c>
      <c r="J74" s="18">
        <f t="shared" si="6"/>
        <v>31</v>
      </c>
      <c r="K74" s="18">
        <f t="shared" si="7"/>
        <v>39.6</v>
      </c>
      <c r="L74" s="18">
        <f t="shared" si="1"/>
        <v>162.49</v>
      </c>
      <c r="M74" s="18">
        <f t="shared" si="9"/>
        <v>3.9082285714285718</v>
      </c>
      <c r="N74" s="18">
        <f t="shared" si="2"/>
        <v>166.39822857142858</v>
      </c>
      <c r="O74" s="8"/>
    </row>
    <row r="75" spans="1:15">
      <c r="A75" s="1" t="s">
        <v>65</v>
      </c>
      <c r="B75" s="11"/>
      <c r="C75" s="11">
        <v>6855000</v>
      </c>
      <c r="D75" s="11">
        <v>6942000</v>
      </c>
      <c r="E75" s="11">
        <v>0</v>
      </c>
      <c r="F75" s="11">
        <f t="shared" ref="F75:F136" si="10">($D75-$C75)+$E75</f>
        <v>87000</v>
      </c>
      <c r="G75" s="17">
        <f t="shared" si="3"/>
        <v>42.19</v>
      </c>
      <c r="H75" s="17">
        <f t="shared" si="4"/>
        <v>23</v>
      </c>
      <c r="I75" s="17">
        <f t="shared" si="5"/>
        <v>26.7</v>
      </c>
      <c r="J75" s="18">
        <f t="shared" si="6"/>
        <v>31</v>
      </c>
      <c r="K75" s="18">
        <f t="shared" si="7"/>
        <v>169.20000000000002</v>
      </c>
      <c r="L75" s="18">
        <f t="shared" si="1"/>
        <v>292.09000000000003</v>
      </c>
      <c r="M75" s="18">
        <f t="shared" si="9"/>
        <v>12.701742857142859</v>
      </c>
      <c r="N75" s="18">
        <f t="shared" si="2"/>
        <v>304.79174285714288</v>
      </c>
      <c r="O75" s="8"/>
    </row>
    <row r="76" spans="1:15">
      <c r="A76" s="1" t="s">
        <v>66</v>
      </c>
      <c r="B76" s="11"/>
      <c r="C76" s="11">
        <v>9371000</v>
      </c>
      <c r="D76" s="11">
        <v>9412000</v>
      </c>
      <c r="E76" s="11">
        <v>0</v>
      </c>
      <c r="F76" s="11">
        <f t="shared" si="10"/>
        <v>41000</v>
      </c>
      <c r="G76" s="17">
        <f t="shared" si="3"/>
        <v>42.19</v>
      </c>
      <c r="H76" s="17">
        <f t="shared" si="4"/>
        <v>23</v>
      </c>
      <c r="I76" s="17">
        <f t="shared" si="5"/>
        <v>26.7</v>
      </c>
      <c r="J76" s="18">
        <f t="shared" si="6"/>
        <v>31</v>
      </c>
      <c r="K76" s="18">
        <f t="shared" si="7"/>
        <v>3.6</v>
      </c>
      <c r="L76" s="18">
        <f t="shared" ref="L76:L136" si="11">SUM(G76:K76)</f>
        <v>126.49</v>
      </c>
      <c r="M76" s="18">
        <f t="shared" si="9"/>
        <v>1.4655857142857145</v>
      </c>
      <c r="N76" s="18">
        <f t="shared" ref="N76:N136" si="12">SUM(L76:M76)</f>
        <v>127.9555857142857</v>
      </c>
      <c r="O76" s="8"/>
    </row>
    <row r="77" spans="1:15">
      <c r="A77" s="1" t="s">
        <v>67</v>
      </c>
      <c r="B77" s="11" t="s">
        <v>138</v>
      </c>
      <c r="C77" s="11">
        <v>0</v>
      </c>
      <c r="D77" s="11">
        <v>0</v>
      </c>
      <c r="E77" s="11">
        <v>0</v>
      </c>
      <c r="F77" s="11">
        <f t="shared" si="10"/>
        <v>0</v>
      </c>
      <c r="G77" s="17">
        <f t="shared" si="3"/>
        <v>12.41</v>
      </c>
      <c r="H77" s="17">
        <f t="shared" si="4"/>
        <v>0</v>
      </c>
      <c r="I77" s="17">
        <f t="shared" si="5"/>
        <v>0</v>
      </c>
      <c r="J77" s="18">
        <f t="shared" si="6"/>
        <v>0</v>
      </c>
      <c r="K77" s="18">
        <f t="shared" si="7"/>
        <v>0</v>
      </c>
      <c r="L77" s="18">
        <f t="shared" si="11"/>
        <v>12.41</v>
      </c>
      <c r="M77" s="18">
        <f t="shared" si="9"/>
        <v>0</v>
      </c>
      <c r="N77" s="18">
        <f t="shared" si="12"/>
        <v>12.41</v>
      </c>
      <c r="O77" s="8"/>
    </row>
    <row r="78" spans="1:15">
      <c r="A78" s="1" t="s">
        <v>68</v>
      </c>
      <c r="B78" s="11"/>
      <c r="C78" s="11">
        <v>3690000</v>
      </c>
      <c r="D78" s="11">
        <v>3723000</v>
      </c>
      <c r="E78" s="11">
        <v>0</v>
      </c>
      <c r="F78" s="11">
        <f t="shared" si="10"/>
        <v>33000</v>
      </c>
      <c r="G78" s="17">
        <f t="shared" si="3"/>
        <v>42.19</v>
      </c>
      <c r="H78" s="17">
        <f t="shared" si="4"/>
        <v>23</v>
      </c>
      <c r="I78" s="17">
        <f t="shared" si="5"/>
        <v>26.7</v>
      </c>
      <c r="J78" s="18">
        <f t="shared" si="6"/>
        <v>9.3000000000000007</v>
      </c>
      <c r="K78" s="18">
        <f t="shared" si="7"/>
        <v>0</v>
      </c>
      <c r="L78" s="18">
        <f t="shared" si="11"/>
        <v>101.19</v>
      </c>
      <c r="M78" s="18">
        <f t="shared" si="9"/>
        <v>0</v>
      </c>
      <c r="N78" s="18">
        <f t="shared" si="12"/>
        <v>101.19</v>
      </c>
      <c r="O78" s="8"/>
    </row>
    <row r="79" spans="1:15">
      <c r="A79" s="1" t="s">
        <v>69</v>
      </c>
      <c r="B79" s="11"/>
      <c r="C79" s="11">
        <v>2472000</v>
      </c>
      <c r="D79" s="11">
        <v>2490000</v>
      </c>
      <c r="E79" s="11">
        <v>0</v>
      </c>
      <c r="F79" s="11">
        <f t="shared" si="10"/>
        <v>18000</v>
      </c>
      <c r="G79" s="17">
        <f t="shared" si="3"/>
        <v>42.19</v>
      </c>
      <c r="H79" s="17">
        <f t="shared" si="4"/>
        <v>18.399999999999999</v>
      </c>
      <c r="I79" s="17">
        <f t="shared" si="5"/>
        <v>0</v>
      </c>
      <c r="J79" s="18">
        <f t="shared" si="6"/>
        <v>0</v>
      </c>
      <c r="K79" s="18">
        <f t="shared" si="7"/>
        <v>0</v>
      </c>
      <c r="L79" s="18">
        <f t="shared" si="11"/>
        <v>60.589999999999996</v>
      </c>
      <c r="M79" s="18">
        <f t="shared" si="9"/>
        <v>0</v>
      </c>
      <c r="N79" s="18">
        <f t="shared" si="12"/>
        <v>60.589999999999996</v>
      </c>
      <c r="O79" s="8"/>
    </row>
    <row r="80" spans="1:15">
      <c r="A80" s="1" t="s">
        <v>70</v>
      </c>
      <c r="B80" s="11"/>
      <c r="C80" s="11">
        <v>1548000</v>
      </c>
      <c r="D80" s="11">
        <v>1575000</v>
      </c>
      <c r="E80" s="11">
        <v>0</v>
      </c>
      <c r="F80" s="11">
        <f t="shared" si="10"/>
        <v>27000</v>
      </c>
      <c r="G80" s="17">
        <f t="shared" si="3"/>
        <v>42.19</v>
      </c>
      <c r="H80" s="17">
        <f t="shared" si="4"/>
        <v>23</v>
      </c>
      <c r="I80" s="17">
        <f t="shared" si="5"/>
        <v>18.689999999999998</v>
      </c>
      <c r="J80" s="18">
        <f t="shared" si="6"/>
        <v>0</v>
      </c>
      <c r="K80" s="18">
        <f t="shared" si="7"/>
        <v>0</v>
      </c>
      <c r="L80" s="18">
        <f t="shared" si="11"/>
        <v>83.88</v>
      </c>
      <c r="M80" s="18">
        <f t="shared" si="9"/>
        <v>0</v>
      </c>
      <c r="N80" s="18">
        <f t="shared" si="12"/>
        <v>83.88</v>
      </c>
      <c r="O80" s="8"/>
    </row>
    <row r="81" spans="1:15">
      <c r="A81" s="1" t="s">
        <v>71</v>
      </c>
      <c r="B81" s="11" t="s">
        <v>138</v>
      </c>
      <c r="C81" s="11">
        <v>0</v>
      </c>
      <c r="D81" s="11">
        <v>0</v>
      </c>
      <c r="E81" s="11">
        <v>0</v>
      </c>
      <c r="F81" s="11">
        <f t="shared" si="10"/>
        <v>0</v>
      </c>
      <c r="G81" s="17">
        <f t="shared" ref="G81:G136" si="13">IF(OR($F81&gt;0,$B81=""),$K$4,$N$4)</f>
        <v>12.41</v>
      </c>
      <c r="H81" s="17">
        <f t="shared" ref="H81:H136" si="14">IF(AND((($F81-10000)&gt;=0),(($F81-10000)&lt;= 10000)),($F81-10000)/1000*$K$5,IF(($F81-10000)&gt;=10000,$K$5*10,0))</f>
        <v>0</v>
      </c>
      <c r="I81" s="17">
        <f t="shared" ref="I81:I136" si="15">IF(AND((($F81-20000)&gt;=0),(($F81-20000)&lt;=10000)),($F81-20000)/1000*$K$6,IF(($F81-20000)&gt;=10000,$K$6*10,0))</f>
        <v>0</v>
      </c>
      <c r="J81" s="18">
        <f t="shared" ref="J81:J136" si="16">IF(AND((($F81-30000)&gt;=0),(($F81-30000)&lt;=10000)),($F81-30000)/1000*$K$7,IF(($F81-30000)&gt;=10000,$K$7*10,0))</f>
        <v>0</v>
      </c>
      <c r="K81" s="18">
        <f t="shared" ref="K81:K136" si="17">IF((($F81-40000)&gt;=0),($F81-40000)/1000*$K$8,0)</f>
        <v>0</v>
      </c>
      <c r="L81" s="18">
        <f t="shared" si="11"/>
        <v>12.41</v>
      </c>
      <c r="M81" s="18">
        <f t="shared" ref="M81:M112" si="18">IF(   $H$5=1,    IF((F81-$H$6)&gt;0,((F81-$H$6)/$P$7)*$E$8,0),   IF(F81&gt;0,(F81/$P$4)*$E$8,0)    )</f>
        <v>0</v>
      </c>
      <c r="N81" s="18">
        <f t="shared" si="12"/>
        <v>12.41</v>
      </c>
      <c r="O81" s="8"/>
    </row>
    <row r="82" spans="1:15">
      <c r="A82" s="1" t="s">
        <v>72</v>
      </c>
      <c r="B82" s="11"/>
      <c r="C82" s="11">
        <v>300000</v>
      </c>
      <c r="D82" s="11">
        <v>340000</v>
      </c>
      <c r="E82" s="11">
        <v>0</v>
      </c>
      <c r="F82" s="11">
        <f t="shared" si="10"/>
        <v>40000</v>
      </c>
      <c r="G82" s="17">
        <f t="shared" si="13"/>
        <v>42.19</v>
      </c>
      <c r="H82" s="17">
        <f t="shared" si="14"/>
        <v>23</v>
      </c>
      <c r="I82" s="17">
        <f t="shared" si="15"/>
        <v>26.7</v>
      </c>
      <c r="J82" s="18">
        <f t="shared" si="16"/>
        <v>31</v>
      </c>
      <c r="K82" s="18">
        <f t="shared" si="17"/>
        <v>0</v>
      </c>
      <c r="L82" s="18">
        <f t="shared" si="11"/>
        <v>122.89</v>
      </c>
      <c r="M82" s="18">
        <f t="shared" si="18"/>
        <v>1.2213214285714287</v>
      </c>
      <c r="N82" s="18">
        <f t="shared" si="12"/>
        <v>124.11132142857143</v>
      </c>
      <c r="O82" s="8" t="s">
        <v>139</v>
      </c>
    </row>
    <row r="83" spans="1:15">
      <c r="A83" s="1" t="s">
        <v>73</v>
      </c>
      <c r="B83" s="11"/>
      <c r="C83" s="11">
        <v>1997000</v>
      </c>
      <c r="D83" s="11">
        <v>2002000</v>
      </c>
      <c r="E83" s="11">
        <v>0</v>
      </c>
      <c r="F83" s="11">
        <f t="shared" si="10"/>
        <v>5000</v>
      </c>
      <c r="G83" s="17">
        <f t="shared" si="13"/>
        <v>42.19</v>
      </c>
      <c r="H83" s="17">
        <f t="shared" si="14"/>
        <v>0</v>
      </c>
      <c r="I83" s="17">
        <f t="shared" si="15"/>
        <v>0</v>
      </c>
      <c r="J83" s="18">
        <f t="shared" si="16"/>
        <v>0</v>
      </c>
      <c r="K83" s="18">
        <f t="shared" si="17"/>
        <v>0</v>
      </c>
      <c r="L83" s="18">
        <f t="shared" si="11"/>
        <v>42.19</v>
      </c>
      <c r="M83" s="18">
        <f t="shared" si="18"/>
        <v>0</v>
      </c>
      <c r="N83" s="18">
        <f t="shared" si="12"/>
        <v>42.19</v>
      </c>
      <c r="O83" s="8"/>
    </row>
    <row r="84" spans="1:15">
      <c r="A84" s="1" t="s">
        <v>74</v>
      </c>
      <c r="B84" s="11" t="s">
        <v>138</v>
      </c>
      <c r="C84" s="11">
        <v>0</v>
      </c>
      <c r="D84" s="11">
        <v>0</v>
      </c>
      <c r="E84" s="11">
        <v>0</v>
      </c>
      <c r="F84" s="11">
        <f t="shared" si="10"/>
        <v>0</v>
      </c>
      <c r="G84" s="17">
        <f t="shared" si="13"/>
        <v>12.41</v>
      </c>
      <c r="H84" s="17">
        <f t="shared" si="14"/>
        <v>0</v>
      </c>
      <c r="I84" s="17">
        <f t="shared" si="15"/>
        <v>0</v>
      </c>
      <c r="J84" s="18">
        <f t="shared" si="16"/>
        <v>0</v>
      </c>
      <c r="K84" s="18">
        <f t="shared" si="17"/>
        <v>0</v>
      </c>
      <c r="L84" s="18">
        <f t="shared" si="11"/>
        <v>12.41</v>
      </c>
      <c r="M84" s="18">
        <f t="shared" si="18"/>
        <v>0</v>
      </c>
      <c r="N84" s="18">
        <f t="shared" si="12"/>
        <v>12.41</v>
      </c>
      <c r="O84" s="8"/>
    </row>
    <row r="85" spans="1:15">
      <c r="A85" s="1" t="s">
        <v>75</v>
      </c>
      <c r="B85" s="11"/>
      <c r="C85" s="11">
        <v>752000</v>
      </c>
      <c r="D85" s="11">
        <v>755000</v>
      </c>
      <c r="E85" s="11">
        <v>0</v>
      </c>
      <c r="F85" s="11">
        <f t="shared" si="10"/>
        <v>3000</v>
      </c>
      <c r="G85" s="17">
        <f t="shared" si="13"/>
        <v>42.19</v>
      </c>
      <c r="H85" s="17">
        <f t="shared" si="14"/>
        <v>0</v>
      </c>
      <c r="I85" s="17">
        <f t="shared" si="15"/>
        <v>0</v>
      </c>
      <c r="J85" s="18">
        <f t="shared" si="16"/>
        <v>0</v>
      </c>
      <c r="K85" s="18">
        <f t="shared" si="17"/>
        <v>0</v>
      </c>
      <c r="L85" s="18">
        <f t="shared" si="11"/>
        <v>42.19</v>
      </c>
      <c r="M85" s="18">
        <f t="shared" si="18"/>
        <v>0</v>
      </c>
      <c r="N85" s="18">
        <f t="shared" si="12"/>
        <v>42.19</v>
      </c>
      <c r="O85" s="8"/>
    </row>
    <row r="86" spans="1:15">
      <c r="A86" s="1" t="s">
        <v>76</v>
      </c>
      <c r="B86" s="11"/>
      <c r="C86" s="11">
        <v>278000</v>
      </c>
      <c r="D86" s="11">
        <v>307000</v>
      </c>
      <c r="E86" s="11">
        <v>0</v>
      </c>
      <c r="F86" s="11">
        <f t="shared" si="10"/>
        <v>29000</v>
      </c>
      <c r="G86" s="17">
        <f t="shared" si="13"/>
        <v>42.19</v>
      </c>
      <c r="H86" s="17">
        <f t="shared" si="14"/>
        <v>23</v>
      </c>
      <c r="I86" s="17">
        <f t="shared" si="15"/>
        <v>24.03</v>
      </c>
      <c r="J86" s="18">
        <f t="shared" si="16"/>
        <v>0</v>
      </c>
      <c r="K86" s="18">
        <f t="shared" si="17"/>
        <v>0</v>
      </c>
      <c r="L86" s="18">
        <f t="shared" si="11"/>
        <v>89.22</v>
      </c>
      <c r="M86" s="18">
        <f t="shared" si="18"/>
        <v>0</v>
      </c>
      <c r="N86" s="18">
        <f t="shared" si="12"/>
        <v>89.22</v>
      </c>
      <c r="O86" s="8" t="s">
        <v>139</v>
      </c>
    </row>
    <row r="87" spans="1:15">
      <c r="A87" s="1" t="s">
        <v>77</v>
      </c>
      <c r="B87" s="11"/>
      <c r="C87" s="11">
        <v>149000</v>
      </c>
      <c r="D87" s="11">
        <v>165000</v>
      </c>
      <c r="E87" s="11">
        <v>0</v>
      </c>
      <c r="F87" s="11">
        <f t="shared" si="10"/>
        <v>16000</v>
      </c>
      <c r="G87" s="17">
        <f t="shared" si="13"/>
        <v>42.19</v>
      </c>
      <c r="H87" s="17">
        <f t="shared" si="14"/>
        <v>13.799999999999999</v>
      </c>
      <c r="I87" s="17">
        <f t="shared" si="15"/>
        <v>0</v>
      </c>
      <c r="J87" s="18">
        <f t="shared" si="16"/>
        <v>0</v>
      </c>
      <c r="K87" s="18">
        <f t="shared" si="17"/>
        <v>0</v>
      </c>
      <c r="L87" s="18">
        <f t="shared" si="11"/>
        <v>55.989999999999995</v>
      </c>
      <c r="M87" s="18">
        <f t="shared" si="18"/>
        <v>0</v>
      </c>
      <c r="N87" s="18">
        <f t="shared" si="12"/>
        <v>55.989999999999995</v>
      </c>
      <c r="O87" s="8"/>
    </row>
    <row r="88" spans="1:15">
      <c r="A88" s="1" t="s">
        <v>78</v>
      </c>
      <c r="B88" s="11"/>
      <c r="C88" s="11">
        <v>1409000</v>
      </c>
      <c r="D88" s="11">
        <v>1468000</v>
      </c>
      <c r="E88" s="11">
        <v>0</v>
      </c>
      <c r="F88" s="11">
        <f t="shared" si="10"/>
        <v>59000</v>
      </c>
      <c r="G88" s="17">
        <f t="shared" si="13"/>
        <v>42.19</v>
      </c>
      <c r="H88" s="17">
        <f t="shared" si="14"/>
        <v>23</v>
      </c>
      <c r="I88" s="17">
        <f t="shared" si="15"/>
        <v>26.7</v>
      </c>
      <c r="J88" s="18">
        <f t="shared" si="16"/>
        <v>31</v>
      </c>
      <c r="K88" s="18">
        <f t="shared" si="17"/>
        <v>68.400000000000006</v>
      </c>
      <c r="L88" s="18">
        <f t="shared" si="11"/>
        <v>191.29000000000002</v>
      </c>
      <c r="M88" s="18">
        <f t="shared" si="18"/>
        <v>5.862342857142858</v>
      </c>
      <c r="N88" s="18">
        <f t="shared" si="12"/>
        <v>197.15234285714288</v>
      </c>
      <c r="O88" s="8"/>
    </row>
    <row r="89" spans="1:15">
      <c r="A89" s="1" t="s">
        <v>79</v>
      </c>
      <c r="B89" s="11"/>
      <c r="C89" s="11">
        <v>3502000</v>
      </c>
      <c r="D89" s="11">
        <v>3511000</v>
      </c>
      <c r="E89" s="11">
        <v>0</v>
      </c>
      <c r="F89" s="11">
        <f t="shared" si="10"/>
        <v>9000</v>
      </c>
      <c r="G89" s="17">
        <f t="shared" si="13"/>
        <v>42.19</v>
      </c>
      <c r="H89" s="17">
        <f t="shared" si="14"/>
        <v>0</v>
      </c>
      <c r="I89" s="17">
        <f t="shared" si="15"/>
        <v>0</v>
      </c>
      <c r="J89" s="18">
        <f t="shared" si="16"/>
        <v>0</v>
      </c>
      <c r="K89" s="18">
        <f t="shared" si="17"/>
        <v>0</v>
      </c>
      <c r="L89" s="18">
        <f t="shared" si="11"/>
        <v>42.19</v>
      </c>
      <c r="M89" s="18">
        <f t="shared" si="18"/>
        <v>0</v>
      </c>
      <c r="N89" s="18">
        <f t="shared" si="12"/>
        <v>42.19</v>
      </c>
      <c r="O89" s="8"/>
    </row>
    <row r="90" spans="1:15">
      <c r="A90" s="1" t="s">
        <v>80</v>
      </c>
      <c r="B90" s="11"/>
      <c r="C90" s="11">
        <v>3048000</v>
      </c>
      <c r="D90" s="11">
        <v>3053000</v>
      </c>
      <c r="E90" s="11">
        <v>0</v>
      </c>
      <c r="F90" s="11">
        <f t="shared" si="10"/>
        <v>5000</v>
      </c>
      <c r="G90" s="17">
        <f t="shared" si="13"/>
        <v>42.19</v>
      </c>
      <c r="H90" s="17">
        <f t="shared" si="14"/>
        <v>0</v>
      </c>
      <c r="I90" s="17">
        <f t="shared" si="15"/>
        <v>0</v>
      </c>
      <c r="J90" s="18">
        <f t="shared" si="16"/>
        <v>0</v>
      </c>
      <c r="K90" s="18">
        <f t="shared" si="17"/>
        <v>0</v>
      </c>
      <c r="L90" s="18">
        <f t="shared" si="11"/>
        <v>42.19</v>
      </c>
      <c r="M90" s="18">
        <f t="shared" si="18"/>
        <v>0</v>
      </c>
      <c r="N90" s="18">
        <f t="shared" si="12"/>
        <v>42.19</v>
      </c>
      <c r="O90" s="8"/>
    </row>
    <row r="91" spans="1:15">
      <c r="A91" s="1" t="s">
        <v>81</v>
      </c>
      <c r="B91" s="11" t="s">
        <v>138</v>
      </c>
      <c r="C91" s="11">
        <v>0</v>
      </c>
      <c r="D91" s="11">
        <v>0</v>
      </c>
      <c r="E91" s="11">
        <v>0</v>
      </c>
      <c r="F91" s="11">
        <f t="shared" si="10"/>
        <v>0</v>
      </c>
      <c r="G91" s="17">
        <f t="shared" si="13"/>
        <v>12.41</v>
      </c>
      <c r="H91" s="17">
        <f t="shared" si="14"/>
        <v>0</v>
      </c>
      <c r="I91" s="17">
        <f t="shared" si="15"/>
        <v>0</v>
      </c>
      <c r="J91" s="18">
        <f t="shared" si="16"/>
        <v>0</v>
      </c>
      <c r="K91" s="18">
        <f t="shared" si="17"/>
        <v>0</v>
      </c>
      <c r="L91" s="18">
        <f t="shared" si="11"/>
        <v>12.41</v>
      </c>
      <c r="M91" s="18">
        <f t="shared" si="18"/>
        <v>0</v>
      </c>
      <c r="N91" s="18">
        <f t="shared" si="12"/>
        <v>12.41</v>
      </c>
      <c r="O91" s="8"/>
    </row>
    <row r="92" spans="1:15">
      <c r="A92" s="1" t="s">
        <v>82</v>
      </c>
      <c r="B92" s="11"/>
      <c r="C92" s="11">
        <v>3428000</v>
      </c>
      <c r="D92" s="11">
        <v>3498000</v>
      </c>
      <c r="E92" s="11">
        <v>0</v>
      </c>
      <c r="F92" s="11">
        <f t="shared" si="10"/>
        <v>70000</v>
      </c>
      <c r="G92" s="17">
        <f t="shared" si="13"/>
        <v>42.19</v>
      </c>
      <c r="H92" s="17">
        <f t="shared" si="14"/>
        <v>23</v>
      </c>
      <c r="I92" s="17">
        <f t="shared" si="15"/>
        <v>26.7</v>
      </c>
      <c r="J92" s="18">
        <f t="shared" si="16"/>
        <v>31</v>
      </c>
      <c r="K92" s="18">
        <f t="shared" si="17"/>
        <v>108</v>
      </c>
      <c r="L92" s="18">
        <f t="shared" si="11"/>
        <v>230.89</v>
      </c>
      <c r="M92" s="18">
        <f t="shared" si="18"/>
        <v>8.5492500000000007</v>
      </c>
      <c r="N92" s="18">
        <f t="shared" si="12"/>
        <v>239.43924999999999</v>
      </c>
      <c r="O92" s="8"/>
    </row>
    <row r="93" spans="1:15">
      <c r="A93" s="1" t="s">
        <v>83</v>
      </c>
      <c r="B93" s="11"/>
      <c r="C93" s="11">
        <v>7766000</v>
      </c>
      <c r="D93" s="11">
        <v>7827000</v>
      </c>
      <c r="E93" s="11">
        <v>0</v>
      </c>
      <c r="F93" s="11">
        <f t="shared" si="10"/>
        <v>61000</v>
      </c>
      <c r="G93" s="17">
        <f t="shared" si="13"/>
        <v>42.19</v>
      </c>
      <c r="H93" s="17">
        <f t="shared" si="14"/>
        <v>23</v>
      </c>
      <c r="I93" s="17">
        <f t="shared" si="15"/>
        <v>26.7</v>
      </c>
      <c r="J93" s="18">
        <f t="shared" si="16"/>
        <v>31</v>
      </c>
      <c r="K93" s="18">
        <f t="shared" si="17"/>
        <v>75.600000000000009</v>
      </c>
      <c r="L93" s="18">
        <f t="shared" si="11"/>
        <v>198.49</v>
      </c>
      <c r="M93" s="18">
        <f t="shared" si="18"/>
        <v>6.3508714285714296</v>
      </c>
      <c r="N93" s="18">
        <f t="shared" si="12"/>
        <v>204.84087142857143</v>
      </c>
      <c r="O93" s="8"/>
    </row>
    <row r="94" spans="1:15">
      <c r="A94" s="1" t="s">
        <v>84</v>
      </c>
      <c r="B94" s="11"/>
      <c r="C94" s="11">
        <v>3800000</v>
      </c>
      <c r="D94" s="11">
        <v>3800000</v>
      </c>
      <c r="E94" s="11">
        <v>0</v>
      </c>
      <c r="F94" s="11">
        <f t="shared" si="10"/>
        <v>0</v>
      </c>
      <c r="G94" s="17">
        <f t="shared" si="13"/>
        <v>42.19</v>
      </c>
      <c r="H94" s="17">
        <f t="shared" si="14"/>
        <v>0</v>
      </c>
      <c r="I94" s="17">
        <f t="shared" si="15"/>
        <v>0</v>
      </c>
      <c r="J94" s="18">
        <f t="shared" si="16"/>
        <v>0</v>
      </c>
      <c r="K94" s="18">
        <f t="shared" si="17"/>
        <v>0</v>
      </c>
      <c r="L94" s="18">
        <f t="shared" si="11"/>
        <v>42.19</v>
      </c>
      <c r="M94" s="18">
        <f t="shared" si="18"/>
        <v>0</v>
      </c>
      <c r="N94" s="18">
        <f t="shared" si="12"/>
        <v>42.19</v>
      </c>
      <c r="O94" s="8"/>
    </row>
    <row r="95" spans="1:15">
      <c r="A95" s="1" t="s">
        <v>85</v>
      </c>
      <c r="B95" s="11"/>
      <c r="C95" s="11">
        <v>2113000</v>
      </c>
      <c r="D95" s="11">
        <v>2146000</v>
      </c>
      <c r="E95" s="11">
        <v>0</v>
      </c>
      <c r="F95" s="11">
        <f t="shared" si="10"/>
        <v>33000</v>
      </c>
      <c r="G95" s="17">
        <f t="shared" si="13"/>
        <v>42.19</v>
      </c>
      <c r="H95" s="17">
        <f t="shared" si="14"/>
        <v>23</v>
      </c>
      <c r="I95" s="17">
        <f t="shared" si="15"/>
        <v>26.7</v>
      </c>
      <c r="J95" s="18">
        <f t="shared" si="16"/>
        <v>9.3000000000000007</v>
      </c>
      <c r="K95" s="18">
        <f t="shared" si="17"/>
        <v>0</v>
      </c>
      <c r="L95" s="18">
        <f t="shared" si="11"/>
        <v>101.19</v>
      </c>
      <c r="M95" s="18">
        <f t="shared" si="18"/>
        <v>0</v>
      </c>
      <c r="N95" s="18">
        <f t="shared" si="12"/>
        <v>101.19</v>
      </c>
      <c r="O95" s="8"/>
    </row>
    <row r="96" spans="1:15">
      <c r="A96" s="1" t="s">
        <v>86</v>
      </c>
      <c r="B96" s="11"/>
      <c r="C96" s="11">
        <v>1876000</v>
      </c>
      <c r="D96" s="11">
        <v>1880000</v>
      </c>
      <c r="E96" s="11">
        <v>0</v>
      </c>
      <c r="F96" s="11">
        <f t="shared" si="10"/>
        <v>4000</v>
      </c>
      <c r="G96" s="17">
        <f t="shared" si="13"/>
        <v>42.19</v>
      </c>
      <c r="H96" s="17">
        <f t="shared" si="14"/>
        <v>0</v>
      </c>
      <c r="I96" s="17">
        <f t="shared" si="15"/>
        <v>0</v>
      </c>
      <c r="J96" s="18">
        <f t="shared" si="16"/>
        <v>0</v>
      </c>
      <c r="K96" s="18">
        <f t="shared" si="17"/>
        <v>0</v>
      </c>
      <c r="L96" s="18">
        <f t="shared" si="11"/>
        <v>42.19</v>
      </c>
      <c r="M96" s="18">
        <f t="shared" si="18"/>
        <v>0</v>
      </c>
      <c r="N96" s="18">
        <f t="shared" si="12"/>
        <v>42.19</v>
      </c>
      <c r="O96" s="8"/>
    </row>
    <row r="97" spans="1:15">
      <c r="A97" s="1" t="s">
        <v>87</v>
      </c>
      <c r="B97" s="11" t="s">
        <v>138</v>
      </c>
      <c r="C97" s="11">
        <v>0</v>
      </c>
      <c r="D97" s="11">
        <v>0</v>
      </c>
      <c r="E97" s="11">
        <v>0</v>
      </c>
      <c r="F97" s="11">
        <f t="shared" si="10"/>
        <v>0</v>
      </c>
      <c r="G97" s="17">
        <f t="shared" si="13"/>
        <v>12.41</v>
      </c>
      <c r="H97" s="17">
        <f t="shared" si="14"/>
        <v>0</v>
      </c>
      <c r="I97" s="17">
        <f t="shared" si="15"/>
        <v>0</v>
      </c>
      <c r="J97" s="18">
        <f t="shared" si="16"/>
        <v>0</v>
      </c>
      <c r="K97" s="18">
        <f t="shared" si="17"/>
        <v>0</v>
      </c>
      <c r="L97" s="18">
        <f t="shared" si="11"/>
        <v>12.41</v>
      </c>
      <c r="M97" s="18">
        <f t="shared" si="18"/>
        <v>0</v>
      </c>
      <c r="N97" s="18">
        <f t="shared" si="12"/>
        <v>12.41</v>
      </c>
      <c r="O97" s="8"/>
    </row>
    <row r="98" spans="1:15">
      <c r="A98" s="1" t="s">
        <v>88</v>
      </c>
      <c r="B98" s="11"/>
      <c r="C98" s="11">
        <v>1268000</v>
      </c>
      <c r="D98" s="11">
        <v>1282000</v>
      </c>
      <c r="E98" s="11">
        <v>0</v>
      </c>
      <c r="F98" s="11">
        <f t="shared" si="10"/>
        <v>14000</v>
      </c>
      <c r="G98" s="17">
        <f t="shared" si="13"/>
        <v>42.19</v>
      </c>
      <c r="H98" s="17">
        <f t="shared" si="14"/>
        <v>9.1999999999999993</v>
      </c>
      <c r="I98" s="17">
        <f t="shared" si="15"/>
        <v>0</v>
      </c>
      <c r="J98" s="18">
        <f t="shared" si="16"/>
        <v>0</v>
      </c>
      <c r="K98" s="18">
        <f t="shared" si="17"/>
        <v>0</v>
      </c>
      <c r="L98" s="18">
        <f t="shared" si="11"/>
        <v>51.39</v>
      </c>
      <c r="M98" s="18">
        <f t="shared" si="18"/>
        <v>0</v>
      </c>
      <c r="N98" s="18">
        <f t="shared" si="12"/>
        <v>51.39</v>
      </c>
      <c r="O98" s="8"/>
    </row>
    <row r="99" spans="1:15">
      <c r="A99" s="1" t="s">
        <v>89</v>
      </c>
      <c r="B99" s="11"/>
      <c r="C99" s="11">
        <v>2437000</v>
      </c>
      <c r="D99" s="11">
        <v>2510000</v>
      </c>
      <c r="E99" s="11">
        <v>0</v>
      </c>
      <c r="F99" s="11">
        <f t="shared" si="10"/>
        <v>73000</v>
      </c>
      <c r="G99" s="17">
        <f t="shared" si="13"/>
        <v>42.19</v>
      </c>
      <c r="H99" s="17">
        <f t="shared" si="14"/>
        <v>23</v>
      </c>
      <c r="I99" s="17">
        <f t="shared" si="15"/>
        <v>26.7</v>
      </c>
      <c r="J99" s="18">
        <f t="shared" si="16"/>
        <v>31</v>
      </c>
      <c r="K99" s="18">
        <f t="shared" si="17"/>
        <v>118.8</v>
      </c>
      <c r="L99" s="18">
        <f t="shared" si="11"/>
        <v>241.69</v>
      </c>
      <c r="M99" s="18">
        <f t="shared" si="18"/>
        <v>9.2820428571428568</v>
      </c>
      <c r="N99" s="18">
        <f t="shared" si="12"/>
        <v>250.97204285714287</v>
      </c>
      <c r="O99" s="8"/>
    </row>
    <row r="100" spans="1:15">
      <c r="A100" s="1" t="s">
        <v>90</v>
      </c>
      <c r="B100" s="11"/>
      <c r="C100" s="11">
        <v>1260000</v>
      </c>
      <c r="D100" s="11">
        <v>1264000</v>
      </c>
      <c r="E100" s="11">
        <v>0</v>
      </c>
      <c r="F100" s="11">
        <f t="shared" si="10"/>
        <v>4000</v>
      </c>
      <c r="G100" s="17">
        <f t="shared" si="13"/>
        <v>42.19</v>
      </c>
      <c r="H100" s="17">
        <f t="shared" si="14"/>
        <v>0</v>
      </c>
      <c r="I100" s="17">
        <f t="shared" si="15"/>
        <v>0</v>
      </c>
      <c r="J100" s="18">
        <f t="shared" si="16"/>
        <v>0</v>
      </c>
      <c r="K100" s="18">
        <f t="shared" si="17"/>
        <v>0</v>
      </c>
      <c r="L100" s="18">
        <f t="shared" si="11"/>
        <v>42.19</v>
      </c>
      <c r="M100" s="18">
        <f t="shared" si="18"/>
        <v>0</v>
      </c>
      <c r="N100" s="18">
        <f t="shared" si="12"/>
        <v>42.19</v>
      </c>
      <c r="O100" s="8"/>
    </row>
    <row r="101" spans="1:15">
      <c r="A101" s="14" t="s">
        <v>91</v>
      </c>
      <c r="B101" s="15"/>
      <c r="C101" s="15">
        <v>272900</v>
      </c>
      <c r="D101" s="15">
        <v>272900</v>
      </c>
      <c r="E101" s="15">
        <v>0</v>
      </c>
      <c r="F101" s="15">
        <f t="shared" si="10"/>
        <v>0</v>
      </c>
      <c r="G101" s="19">
        <f t="shared" si="13"/>
        <v>42.19</v>
      </c>
      <c r="H101" s="19">
        <f t="shared" si="14"/>
        <v>0</v>
      </c>
      <c r="I101" s="19">
        <f t="shared" si="15"/>
        <v>0</v>
      </c>
      <c r="J101" s="20">
        <f t="shared" si="16"/>
        <v>0</v>
      </c>
      <c r="K101" s="20">
        <f t="shared" si="17"/>
        <v>0</v>
      </c>
      <c r="L101" s="20">
        <f t="shared" si="11"/>
        <v>42.19</v>
      </c>
      <c r="M101" s="20">
        <f t="shared" si="18"/>
        <v>0</v>
      </c>
      <c r="N101" s="20">
        <f t="shared" si="12"/>
        <v>42.19</v>
      </c>
      <c r="O101" s="16"/>
    </row>
    <row r="102" spans="1:15">
      <c r="A102" s="1" t="s">
        <v>92</v>
      </c>
      <c r="B102" s="11"/>
      <c r="C102" s="11">
        <v>2559000</v>
      </c>
      <c r="D102" s="11">
        <v>2567000</v>
      </c>
      <c r="E102" s="11">
        <v>0</v>
      </c>
      <c r="F102" s="11">
        <f t="shared" si="10"/>
        <v>8000</v>
      </c>
      <c r="G102" s="17">
        <f t="shared" si="13"/>
        <v>42.19</v>
      </c>
      <c r="H102" s="17">
        <f t="shared" si="14"/>
        <v>0</v>
      </c>
      <c r="I102" s="17">
        <f t="shared" si="15"/>
        <v>0</v>
      </c>
      <c r="J102" s="18">
        <f t="shared" si="16"/>
        <v>0</v>
      </c>
      <c r="K102" s="18">
        <f t="shared" si="17"/>
        <v>0</v>
      </c>
      <c r="L102" s="18">
        <f t="shared" si="11"/>
        <v>42.19</v>
      </c>
      <c r="M102" s="18">
        <f t="shared" si="18"/>
        <v>0</v>
      </c>
      <c r="N102" s="18">
        <f t="shared" si="12"/>
        <v>42.19</v>
      </c>
      <c r="O102" s="8"/>
    </row>
    <row r="103" spans="1:15">
      <c r="A103" s="1" t="s">
        <v>93</v>
      </c>
      <c r="B103" s="11" t="s">
        <v>138</v>
      </c>
      <c r="C103" s="11">
        <v>0</v>
      </c>
      <c r="D103" s="11">
        <v>0</v>
      </c>
      <c r="E103" s="11">
        <v>0</v>
      </c>
      <c r="F103" s="11">
        <f t="shared" si="10"/>
        <v>0</v>
      </c>
      <c r="G103" s="17">
        <f t="shared" si="13"/>
        <v>12.41</v>
      </c>
      <c r="H103" s="17">
        <f t="shared" si="14"/>
        <v>0</v>
      </c>
      <c r="I103" s="17">
        <f t="shared" si="15"/>
        <v>0</v>
      </c>
      <c r="J103" s="18">
        <f t="shared" si="16"/>
        <v>0</v>
      </c>
      <c r="K103" s="18">
        <f t="shared" si="17"/>
        <v>0</v>
      </c>
      <c r="L103" s="18">
        <f t="shared" si="11"/>
        <v>12.41</v>
      </c>
      <c r="M103" s="18">
        <f t="shared" si="18"/>
        <v>0</v>
      </c>
      <c r="N103" s="18">
        <f t="shared" si="12"/>
        <v>12.41</v>
      </c>
      <c r="O103" s="8"/>
    </row>
    <row r="104" spans="1:15">
      <c r="A104" s="1" t="s">
        <v>94</v>
      </c>
      <c r="B104" s="11" t="s">
        <v>138</v>
      </c>
      <c r="C104" s="11">
        <v>0</v>
      </c>
      <c r="D104" s="11">
        <v>0</v>
      </c>
      <c r="E104" s="11">
        <v>0</v>
      </c>
      <c r="F104" s="11">
        <f t="shared" si="10"/>
        <v>0</v>
      </c>
      <c r="G104" s="17">
        <f t="shared" si="13"/>
        <v>12.41</v>
      </c>
      <c r="H104" s="17">
        <f t="shared" si="14"/>
        <v>0</v>
      </c>
      <c r="I104" s="17">
        <f t="shared" si="15"/>
        <v>0</v>
      </c>
      <c r="J104" s="18">
        <f t="shared" si="16"/>
        <v>0</v>
      </c>
      <c r="K104" s="18">
        <f t="shared" si="17"/>
        <v>0</v>
      </c>
      <c r="L104" s="18">
        <f t="shared" si="11"/>
        <v>12.41</v>
      </c>
      <c r="M104" s="18">
        <f t="shared" si="18"/>
        <v>0</v>
      </c>
      <c r="N104" s="18">
        <f t="shared" si="12"/>
        <v>12.41</v>
      </c>
      <c r="O104" s="8"/>
    </row>
    <row r="105" spans="1:15">
      <c r="A105" s="1" t="s">
        <v>95</v>
      </c>
      <c r="B105" s="11" t="s">
        <v>138</v>
      </c>
      <c r="C105" s="11">
        <v>0</v>
      </c>
      <c r="D105" s="11">
        <v>0</v>
      </c>
      <c r="E105" s="11">
        <v>0</v>
      </c>
      <c r="F105" s="11">
        <f t="shared" si="10"/>
        <v>0</v>
      </c>
      <c r="G105" s="17">
        <f t="shared" si="13"/>
        <v>12.41</v>
      </c>
      <c r="H105" s="17">
        <f t="shared" si="14"/>
        <v>0</v>
      </c>
      <c r="I105" s="17">
        <f t="shared" si="15"/>
        <v>0</v>
      </c>
      <c r="J105" s="18">
        <f t="shared" si="16"/>
        <v>0</v>
      </c>
      <c r="K105" s="18">
        <f t="shared" si="17"/>
        <v>0</v>
      </c>
      <c r="L105" s="18">
        <f t="shared" si="11"/>
        <v>12.41</v>
      </c>
      <c r="M105" s="18">
        <f t="shared" si="18"/>
        <v>0</v>
      </c>
      <c r="N105" s="18">
        <f t="shared" si="12"/>
        <v>12.41</v>
      </c>
      <c r="O105" s="8"/>
    </row>
    <row r="106" spans="1:15">
      <c r="A106" s="1" t="s">
        <v>96</v>
      </c>
      <c r="B106" s="11"/>
      <c r="C106" s="11">
        <v>1913000</v>
      </c>
      <c r="D106" s="11">
        <v>1929000</v>
      </c>
      <c r="E106" s="11">
        <v>0</v>
      </c>
      <c r="F106" s="11">
        <f t="shared" si="10"/>
        <v>16000</v>
      </c>
      <c r="G106" s="17">
        <f t="shared" si="13"/>
        <v>42.19</v>
      </c>
      <c r="H106" s="17">
        <f t="shared" si="14"/>
        <v>13.799999999999999</v>
      </c>
      <c r="I106" s="17">
        <f t="shared" si="15"/>
        <v>0</v>
      </c>
      <c r="J106" s="18">
        <f t="shared" si="16"/>
        <v>0</v>
      </c>
      <c r="K106" s="18">
        <f t="shared" si="17"/>
        <v>0</v>
      </c>
      <c r="L106" s="18">
        <f t="shared" si="11"/>
        <v>55.989999999999995</v>
      </c>
      <c r="M106" s="18">
        <f t="shared" si="18"/>
        <v>0</v>
      </c>
      <c r="N106" s="18">
        <f t="shared" si="12"/>
        <v>55.989999999999995</v>
      </c>
      <c r="O106" s="8"/>
    </row>
    <row r="107" spans="1:15">
      <c r="A107" s="1" t="s">
        <v>97</v>
      </c>
      <c r="B107" s="11" t="s">
        <v>138</v>
      </c>
      <c r="C107" s="11">
        <v>0</v>
      </c>
      <c r="D107" s="11">
        <v>0</v>
      </c>
      <c r="E107" s="11">
        <v>0</v>
      </c>
      <c r="F107" s="11">
        <f t="shared" si="10"/>
        <v>0</v>
      </c>
      <c r="G107" s="17">
        <f t="shared" si="13"/>
        <v>12.41</v>
      </c>
      <c r="H107" s="17">
        <f t="shared" si="14"/>
        <v>0</v>
      </c>
      <c r="I107" s="17">
        <f t="shared" si="15"/>
        <v>0</v>
      </c>
      <c r="J107" s="18">
        <f t="shared" si="16"/>
        <v>0</v>
      </c>
      <c r="K107" s="18">
        <f t="shared" si="17"/>
        <v>0</v>
      </c>
      <c r="L107" s="18">
        <f t="shared" si="11"/>
        <v>12.41</v>
      </c>
      <c r="M107" s="18">
        <f t="shared" si="18"/>
        <v>0</v>
      </c>
      <c r="N107" s="18">
        <f t="shared" si="12"/>
        <v>12.41</v>
      </c>
      <c r="O107" s="8"/>
    </row>
    <row r="108" spans="1:15">
      <c r="A108" s="1" t="s">
        <v>98</v>
      </c>
      <c r="B108" s="11" t="s">
        <v>138</v>
      </c>
      <c r="C108" s="11">
        <v>0</v>
      </c>
      <c r="D108" s="11">
        <v>0</v>
      </c>
      <c r="E108" s="11">
        <v>0</v>
      </c>
      <c r="F108" s="11">
        <f t="shared" si="10"/>
        <v>0</v>
      </c>
      <c r="G108" s="17">
        <f t="shared" si="13"/>
        <v>12.41</v>
      </c>
      <c r="H108" s="17">
        <f t="shared" si="14"/>
        <v>0</v>
      </c>
      <c r="I108" s="17">
        <f t="shared" si="15"/>
        <v>0</v>
      </c>
      <c r="J108" s="18">
        <f t="shared" si="16"/>
        <v>0</v>
      </c>
      <c r="K108" s="18">
        <f t="shared" si="17"/>
        <v>0</v>
      </c>
      <c r="L108" s="18">
        <f t="shared" si="11"/>
        <v>12.41</v>
      </c>
      <c r="M108" s="18">
        <f t="shared" si="18"/>
        <v>0</v>
      </c>
      <c r="N108" s="18">
        <f t="shared" si="12"/>
        <v>12.41</v>
      </c>
      <c r="O108" s="8"/>
    </row>
    <row r="109" spans="1:15">
      <c r="A109" s="1" t="s">
        <v>99</v>
      </c>
      <c r="B109" s="11"/>
      <c r="C109" s="11">
        <v>1680000</v>
      </c>
      <c r="D109" s="11">
        <v>1680000</v>
      </c>
      <c r="E109" s="11">
        <v>0</v>
      </c>
      <c r="F109" s="11">
        <f t="shared" si="10"/>
        <v>0</v>
      </c>
      <c r="G109" s="17">
        <f t="shared" si="13"/>
        <v>42.19</v>
      </c>
      <c r="H109" s="17">
        <f t="shared" si="14"/>
        <v>0</v>
      </c>
      <c r="I109" s="17">
        <f t="shared" si="15"/>
        <v>0</v>
      </c>
      <c r="J109" s="18">
        <f t="shared" si="16"/>
        <v>0</v>
      </c>
      <c r="K109" s="18">
        <f t="shared" si="17"/>
        <v>0</v>
      </c>
      <c r="L109" s="18">
        <f t="shared" si="11"/>
        <v>42.19</v>
      </c>
      <c r="M109" s="18">
        <f t="shared" si="18"/>
        <v>0</v>
      </c>
      <c r="N109" s="18">
        <f t="shared" si="12"/>
        <v>42.19</v>
      </c>
      <c r="O109" s="8"/>
    </row>
    <row r="110" spans="1:15">
      <c r="A110" s="37" t="s">
        <v>100</v>
      </c>
      <c r="B110" s="38"/>
      <c r="C110" s="38">
        <v>546000</v>
      </c>
      <c r="D110" s="38">
        <v>546000</v>
      </c>
      <c r="E110" s="38">
        <v>0</v>
      </c>
      <c r="F110" s="38">
        <f t="shared" si="10"/>
        <v>0</v>
      </c>
      <c r="G110" s="39">
        <f t="shared" si="13"/>
        <v>42.19</v>
      </c>
      <c r="H110" s="39">
        <f t="shared" si="14"/>
        <v>0</v>
      </c>
      <c r="I110" s="39">
        <f t="shared" si="15"/>
        <v>0</v>
      </c>
      <c r="J110" s="40">
        <f t="shared" si="16"/>
        <v>0</v>
      </c>
      <c r="K110" s="40">
        <f t="shared" si="17"/>
        <v>0</v>
      </c>
      <c r="L110" s="40">
        <f t="shared" si="11"/>
        <v>42.19</v>
      </c>
      <c r="M110" s="40">
        <f t="shared" si="18"/>
        <v>0</v>
      </c>
      <c r="N110" s="40">
        <f t="shared" si="12"/>
        <v>42.19</v>
      </c>
      <c r="O110" s="41" t="s">
        <v>184</v>
      </c>
    </row>
    <row r="111" spans="1:15">
      <c r="A111" s="1" t="s">
        <v>101</v>
      </c>
      <c r="B111" s="11"/>
      <c r="C111" s="11">
        <v>4625000</v>
      </c>
      <c r="D111" s="11">
        <v>4650000</v>
      </c>
      <c r="E111" s="11">
        <v>0</v>
      </c>
      <c r="F111" s="11">
        <f t="shared" si="10"/>
        <v>25000</v>
      </c>
      <c r="G111" s="17">
        <f t="shared" si="13"/>
        <v>42.19</v>
      </c>
      <c r="H111" s="17">
        <f t="shared" si="14"/>
        <v>23</v>
      </c>
      <c r="I111" s="17">
        <f t="shared" si="15"/>
        <v>13.35</v>
      </c>
      <c r="J111" s="18">
        <f t="shared" si="16"/>
        <v>0</v>
      </c>
      <c r="K111" s="18">
        <f t="shared" si="17"/>
        <v>0</v>
      </c>
      <c r="L111" s="18">
        <f t="shared" si="11"/>
        <v>78.539999999999992</v>
      </c>
      <c r="M111" s="18">
        <f t="shared" si="18"/>
        <v>0</v>
      </c>
      <c r="N111" s="18">
        <f t="shared" si="12"/>
        <v>78.539999999999992</v>
      </c>
      <c r="O111" s="8"/>
    </row>
    <row r="112" spans="1:15">
      <c r="A112" s="1" t="s">
        <v>102</v>
      </c>
      <c r="B112" s="11" t="s">
        <v>138</v>
      </c>
      <c r="C112" s="11">
        <v>0</v>
      </c>
      <c r="D112" s="11">
        <v>0</v>
      </c>
      <c r="E112" s="11">
        <v>0</v>
      </c>
      <c r="F112" s="11">
        <f t="shared" si="10"/>
        <v>0</v>
      </c>
      <c r="G112" s="17">
        <f t="shared" si="13"/>
        <v>12.41</v>
      </c>
      <c r="H112" s="17">
        <f t="shared" si="14"/>
        <v>0</v>
      </c>
      <c r="I112" s="17">
        <f t="shared" si="15"/>
        <v>0</v>
      </c>
      <c r="J112" s="18">
        <f t="shared" si="16"/>
        <v>0</v>
      </c>
      <c r="K112" s="18">
        <f t="shared" si="17"/>
        <v>0</v>
      </c>
      <c r="L112" s="18">
        <f t="shared" si="11"/>
        <v>12.41</v>
      </c>
      <c r="M112" s="18">
        <f t="shared" si="18"/>
        <v>0</v>
      </c>
      <c r="N112" s="18">
        <f t="shared" si="12"/>
        <v>12.41</v>
      </c>
      <c r="O112" s="8"/>
    </row>
    <row r="113" spans="1:15">
      <c r="A113" s="1" t="s">
        <v>103</v>
      </c>
      <c r="B113" s="11"/>
      <c r="C113" s="11">
        <v>1381000</v>
      </c>
      <c r="D113" s="11">
        <v>1431000</v>
      </c>
      <c r="E113" s="11">
        <v>0</v>
      </c>
      <c r="F113" s="11">
        <f t="shared" si="10"/>
        <v>50000</v>
      </c>
      <c r="G113" s="17">
        <f t="shared" si="13"/>
        <v>42.19</v>
      </c>
      <c r="H113" s="17">
        <f t="shared" si="14"/>
        <v>23</v>
      </c>
      <c r="I113" s="17">
        <f t="shared" si="15"/>
        <v>26.7</v>
      </c>
      <c r="J113" s="18">
        <f t="shared" si="16"/>
        <v>31</v>
      </c>
      <c r="K113" s="18">
        <f t="shared" si="17"/>
        <v>36</v>
      </c>
      <c r="L113" s="18">
        <f t="shared" si="11"/>
        <v>158.88999999999999</v>
      </c>
      <c r="M113" s="18">
        <f t="shared" ref="M113:M136" si="19">IF(   $H$5=1,    IF((F113-$H$6)&gt;0,((F113-$H$6)/$P$7)*$E$8,0),   IF(F113&gt;0,(F113/$P$4)*$E$8,0)    )</f>
        <v>3.663964285714286</v>
      </c>
      <c r="N113" s="18">
        <f t="shared" si="12"/>
        <v>162.55396428571427</v>
      </c>
      <c r="O113" s="8"/>
    </row>
    <row r="114" spans="1:15">
      <c r="A114" s="1" t="s">
        <v>104</v>
      </c>
      <c r="B114" s="11" t="s">
        <v>138</v>
      </c>
      <c r="C114" s="11">
        <v>0</v>
      </c>
      <c r="D114" s="11">
        <v>0</v>
      </c>
      <c r="E114" s="11">
        <v>0</v>
      </c>
      <c r="F114" s="11">
        <f t="shared" si="10"/>
        <v>0</v>
      </c>
      <c r="G114" s="17">
        <f t="shared" si="13"/>
        <v>12.41</v>
      </c>
      <c r="H114" s="17">
        <f t="shared" si="14"/>
        <v>0</v>
      </c>
      <c r="I114" s="17">
        <f t="shared" si="15"/>
        <v>0</v>
      </c>
      <c r="J114" s="18">
        <f t="shared" si="16"/>
        <v>0</v>
      </c>
      <c r="K114" s="18">
        <f t="shared" si="17"/>
        <v>0</v>
      </c>
      <c r="L114" s="18">
        <f t="shared" si="11"/>
        <v>12.41</v>
      </c>
      <c r="M114" s="18">
        <f t="shared" si="19"/>
        <v>0</v>
      </c>
      <c r="N114" s="18">
        <f t="shared" si="12"/>
        <v>12.41</v>
      </c>
      <c r="O114" s="8"/>
    </row>
    <row r="115" spans="1:15">
      <c r="A115" s="1" t="s">
        <v>105</v>
      </c>
      <c r="B115" s="11"/>
      <c r="C115" s="11">
        <v>1600000</v>
      </c>
      <c r="D115" s="11">
        <v>1660000</v>
      </c>
      <c r="E115" s="11">
        <v>0</v>
      </c>
      <c r="F115" s="11">
        <f t="shared" si="10"/>
        <v>60000</v>
      </c>
      <c r="G115" s="17">
        <f t="shared" si="13"/>
        <v>42.19</v>
      </c>
      <c r="H115" s="17">
        <f t="shared" si="14"/>
        <v>23</v>
      </c>
      <c r="I115" s="17">
        <f t="shared" si="15"/>
        <v>26.7</v>
      </c>
      <c r="J115" s="18">
        <f t="shared" si="16"/>
        <v>31</v>
      </c>
      <c r="K115" s="18">
        <f t="shared" si="17"/>
        <v>72</v>
      </c>
      <c r="L115" s="18">
        <f t="shared" si="11"/>
        <v>194.89</v>
      </c>
      <c r="M115" s="18">
        <f t="shared" si="19"/>
        <v>6.1066071428571433</v>
      </c>
      <c r="N115" s="18">
        <f t="shared" si="12"/>
        <v>200.99660714285713</v>
      </c>
      <c r="O115" s="8"/>
    </row>
    <row r="116" spans="1:15">
      <c r="A116" s="1" t="s">
        <v>106</v>
      </c>
      <c r="B116" s="11"/>
      <c r="C116" s="11">
        <v>1801000</v>
      </c>
      <c r="D116" s="11">
        <v>1803000</v>
      </c>
      <c r="E116" s="11">
        <v>0</v>
      </c>
      <c r="F116" s="11">
        <f t="shared" si="10"/>
        <v>2000</v>
      </c>
      <c r="G116" s="17">
        <f t="shared" si="13"/>
        <v>42.19</v>
      </c>
      <c r="H116" s="17">
        <f t="shared" si="14"/>
        <v>0</v>
      </c>
      <c r="I116" s="17">
        <f t="shared" si="15"/>
        <v>0</v>
      </c>
      <c r="J116" s="18">
        <f t="shared" si="16"/>
        <v>0</v>
      </c>
      <c r="K116" s="18">
        <f t="shared" si="17"/>
        <v>0</v>
      </c>
      <c r="L116" s="18">
        <f t="shared" si="11"/>
        <v>42.19</v>
      </c>
      <c r="M116" s="18">
        <f t="shared" si="19"/>
        <v>0</v>
      </c>
      <c r="N116" s="18">
        <f t="shared" si="12"/>
        <v>42.19</v>
      </c>
      <c r="O116" s="8"/>
    </row>
    <row r="117" spans="1:15">
      <c r="A117" s="1" t="s">
        <v>107</v>
      </c>
      <c r="B117" s="11"/>
      <c r="C117" s="11">
        <v>336000</v>
      </c>
      <c r="D117" s="11">
        <v>338000</v>
      </c>
      <c r="E117" s="11">
        <v>0</v>
      </c>
      <c r="F117" s="11">
        <f t="shared" si="10"/>
        <v>2000</v>
      </c>
      <c r="G117" s="17">
        <f t="shared" si="13"/>
        <v>42.19</v>
      </c>
      <c r="H117" s="17">
        <f t="shared" si="14"/>
        <v>0</v>
      </c>
      <c r="I117" s="17">
        <f t="shared" si="15"/>
        <v>0</v>
      </c>
      <c r="J117" s="18">
        <f t="shared" si="16"/>
        <v>0</v>
      </c>
      <c r="K117" s="18">
        <f t="shared" si="17"/>
        <v>0</v>
      </c>
      <c r="L117" s="18">
        <f t="shared" si="11"/>
        <v>42.19</v>
      </c>
      <c r="M117" s="18">
        <f t="shared" si="19"/>
        <v>0</v>
      </c>
      <c r="N117" s="18">
        <f t="shared" si="12"/>
        <v>42.19</v>
      </c>
      <c r="O117" s="8"/>
    </row>
    <row r="118" spans="1:15">
      <c r="A118" s="1" t="s">
        <v>108</v>
      </c>
      <c r="B118" s="11"/>
      <c r="C118" s="11">
        <v>2705000</v>
      </c>
      <c r="D118" s="11">
        <v>2732000</v>
      </c>
      <c r="E118" s="11">
        <v>0</v>
      </c>
      <c r="F118" s="11">
        <f t="shared" si="10"/>
        <v>27000</v>
      </c>
      <c r="G118" s="17">
        <f t="shared" si="13"/>
        <v>42.19</v>
      </c>
      <c r="H118" s="17">
        <f t="shared" si="14"/>
        <v>23</v>
      </c>
      <c r="I118" s="17">
        <f t="shared" si="15"/>
        <v>18.689999999999998</v>
      </c>
      <c r="J118" s="18">
        <f t="shared" si="16"/>
        <v>0</v>
      </c>
      <c r="K118" s="18">
        <f t="shared" si="17"/>
        <v>0</v>
      </c>
      <c r="L118" s="18">
        <f t="shared" si="11"/>
        <v>83.88</v>
      </c>
      <c r="M118" s="18">
        <f t="shared" si="19"/>
        <v>0</v>
      </c>
      <c r="N118" s="18">
        <f t="shared" si="12"/>
        <v>83.88</v>
      </c>
      <c r="O118" s="8"/>
    </row>
    <row r="119" spans="1:15">
      <c r="A119" s="1" t="s">
        <v>109</v>
      </c>
      <c r="B119" s="11" t="s">
        <v>138</v>
      </c>
      <c r="C119" s="11">
        <v>0</v>
      </c>
      <c r="D119" s="11">
        <v>0</v>
      </c>
      <c r="E119" s="11">
        <v>0</v>
      </c>
      <c r="F119" s="11">
        <f t="shared" si="10"/>
        <v>0</v>
      </c>
      <c r="G119" s="17">
        <f t="shared" si="13"/>
        <v>12.41</v>
      </c>
      <c r="H119" s="17">
        <f t="shared" si="14"/>
        <v>0</v>
      </c>
      <c r="I119" s="17">
        <f t="shared" si="15"/>
        <v>0</v>
      </c>
      <c r="J119" s="18">
        <f t="shared" si="16"/>
        <v>0</v>
      </c>
      <c r="K119" s="18">
        <f t="shared" si="17"/>
        <v>0</v>
      </c>
      <c r="L119" s="18">
        <f t="shared" si="11"/>
        <v>12.41</v>
      </c>
      <c r="M119" s="18">
        <f t="shared" si="19"/>
        <v>0</v>
      </c>
      <c r="N119" s="18">
        <f t="shared" si="12"/>
        <v>12.41</v>
      </c>
      <c r="O119" s="8"/>
    </row>
    <row r="120" spans="1:15">
      <c r="A120" s="1" t="s">
        <v>110</v>
      </c>
      <c r="B120" s="11"/>
      <c r="C120" s="11">
        <v>3871000</v>
      </c>
      <c r="D120" s="11">
        <v>3881000</v>
      </c>
      <c r="E120" s="11">
        <v>0</v>
      </c>
      <c r="F120" s="11">
        <f t="shared" si="10"/>
        <v>10000</v>
      </c>
      <c r="G120" s="17">
        <f t="shared" si="13"/>
        <v>42.19</v>
      </c>
      <c r="H120" s="17">
        <f t="shared" si="14"/>
        <v>0</v>
      </c>
      <c r="I120" s="17">
        <f t="shared" si="15"/>
        <v>0</v>
      </c>
      <c r="J120" s="18">
        <f t="shared" si="16"/>
        <v>0</v>
      </c>
      <c r="K120" s="18">
        <f t="shared" si="17"/>
        <v>0</v>
      </c>
      <c r="L120" s="18">
        <f t="shared" si="11"/>
        <v>42.19</v>
      </c>
      <c r="M120" s="18">
        <f t="shared" si="19"/>
        <v>0</v>
      </c>
      <c r="N120" s="18">
        <f t="shared" si="12"/>
        <v>42.19</v>
      </c>
      <c r="O120" s="8"/>
    </row>
    <row r="121" spans="1:15">
      <c r="A121" s="1" t="s">
        <v>111</v>
      </c>
      <c r="B121" s="11"/>
      <c r="C121" s="11">
        <v>3646000</v>
      </c>
      <c r="D121" s="11">
        <v>3696000</v>
      </c>
      <c r="E121" s="11">
        <v>0</v>
      </c>
      <c r="F121" s="11">
        <f t="shared" si="10"/>
        <v>50000</v>
      </c>
      <c r="G121" s="17">
        <f t="shared" si="13"/>
        <v>42.19</v>
      </c>
      <c r="H121" s="17">
        <f t="shared" si="14"/>
        <v>23</v>
      </c>
      <c r="I121" s="17">
        <f t="shared" si="15"/>
        <v>26.7</v>
      </c>
      <c r="J121" s="18">
        <f t="shared" si="16"/>
        <v>31</v>
      </c>
      <c r="K121" s="18">
        <f t="shared" si="17"/>
        <v>36</v>
      </c>
      <c r="L121" s="18">
        <f t="shared" si="11"/>
        <v>158.88999999999999</v>
      </c>
      <c r="M121" s="18">
        <f t="shared" si="19"/>
        <v>3.663964285714286</v>
      </c>
      <c r="N121" s="18">
        <f t="shared" si="12"/>
        <v>162.55396428571427</v>
      </c>
      <c r="O121" s="8"/>
    </row>
    <row r="122" spans="1:15">
      <c r="A122" s="1" t="s">
        <v>112</v>
      </c>
      <c r="B122" s="11"/>
      <c r="C122" s="11">
        <v>359000</v>
      </c>
      <c r="D122" s="11">
        <v>362000</v>
      </c>
      <c r="E122" s="11">
        <v>0</v>
      </c>
      <c r="F122" s="11">
        <f t="shared" si="10"/>
        <v>3000</v>
      </c>
      <c r="G122" s="17">
        <f t="shared" si="13"/>
        <v>42.19</v>
      </c>
      <c r="H122" s="17">
        <f t="shared" si="14"/>
        <v>0</v>
      </c>
      <c r="I122" s="17">
        <f t="shared" si="15"/>
        <v>0</v>
      </c>
      <c r="J122" s="18">
        <f t="shared" si="16"/>
        <v>0</v>
      </c>
      <c r="K122" s="18">
        <f t="shared" si="17"/>
        <v>0</v>
      </c>
      <c r="L122" s="18">
        <f t="shared" si="11"/>
        <v>42.19</v>
      </c>
      <c r="M122" s="18">
        <f t="shared" si="19"/>
        <v>0</v>
      </c>
      <c r="N122" s="18">
        <f t="shared" si="12"/>
        <v>42.19</v>
      </c>
      <c r="O122" s="8"/>
    </row>
    <row r="123" spans="1:15">
      <c r="A123" s="1" t="s">
        <v>113</v>
      </c>
      <c r="B123" s="11"/>
      <c r="C123" s="11">
        <v>1552000</v>
      </c>
      <c r="D123" s="11">
        <v>1582000</v>
      </c>
      <c r="E123" s="11">
        <v>0</v>
      </c>
      <c r="F123" s="11">
        <f t="shared" si="10"/>
        <v>30000</v>
      </c>
      <c r="G123" s="17">
        <f t="shared" si="13"/>
        <v>42.19</v>
      </c>
      <c r="H123" s="17">
        <f t="shared" si="14"/>
        <v>23</v>
      </c>
      <c r="I123" s="17">
        <f t="shared" si="15"/>
        <v>26.7</v>
      </c>
      <c r="J123" s="18">
        <f t="shared" si="16"/>
        <v>0</v>
      </c>
      <c r="K123" s="18">
        <f t="shared" si="17"/>
        <v>0</v>
      </c>
      <c r="L123" s="18">
        <f t="shared" si="11"/>
        <v>91.89</v>
      </c>
      <c r="M123" s="18">
        <f t="shared" si="19"/>
        <v>0</v>
      </c>
      <c r="N123" s="18">
        <f t="shared" si="12"/>
        <v>91.89</v>
      </c>
      <c r="O123" s="8"/>
    </row>
    <row r="124" spans="1:15">
      <c r="A124" s="1" t="s">
        <v>114</v>
      </c>
      <c r="B124" s="11"/>
      <c r="C124" s="11">
        <v>2638000</v>
      </c>
      <c r="D124" s="11">
        <v>2655000</v>
      </c>
      <c r="E124" s="11">
        <v>0</v>
      </c>
      <c r="F124" s="11">
        <f t="shared" si="10"/>
        <v>17000</v>
      </c>
      <c r="G124" s="17">
        <f t="shared" si="13"/>
        <v>42.19</v>
      </c>
      <c r="H124" s="17">
        <f t="shared" si="14"/>
        <v>16.099999999999998</v>
      </c>
      <c r="I124" s="17">
        <f t="shared" si="15"/>
        <v>0</v>
      </c>
      <c r="J124" s="18">
        <f t="shared" si="16"/>
        <v>0</v>
      </c>
      <c r="K124" s="18">
        <f t="shared" si="17"/>
        <v>0</v>
      </c>
      <c r="L124" s="18">
        <f t="shared" si="11"/>
        <v>58.289999999999992</v>
      </c>
      <c r="M124" s="18">
        <f t="shared" si="19"/>
        <v>0</v>
      </c>
      <c r="N124" s="18">
        <f t="shared" si="12"/>
        <v>58.289999999999992</v>
      </c>
      <c r="O124" s="8"/>
    </row>
    <row r="125" spans="1:15">
      <c r="A125" s="1" t="s">
        <v>115</v>
      </c>
      <c r="B125" s="11"/>
      <c r="C125" s="11">
        <v>2583000</v>
      </c>
      <c r="D125" s="11">
        <v>2606000</v>
      </c>
      <c r="E125" s="11">
        <v>0</v>
      </c>
      <c r="F125" s="11">
        <f t="shared" si="10"/>
        <v>23000</v>
      </c>
      <c r="G125" s="17">
        <f t="shared" si="13"/>
        <v>42.19</v>
      </c>
      <c r="H125" s="17">
        <f t="shared" si="14"/>
        <v>23</v>
      </c>
      <c r="I125" s="17">
        <f t="shared" si="15"/>
        <v>8.01</v>
      </c>
      <c r="J125" s="18">
        <f t="shared" si="16"/>
        <v>0</v>
      </c>
      <c r="K125" s="18">
        <f t="shared" si="17"/>
        <v>0</v>
      </c>
      <c r="L125" s="18">
        <f t="shared" si="11"/>
        <v>73.2</v>
      </c>
      <c r="M125" s="18">
        <f t="shared" si="19"/>
        <v>0</v>
      </c>
      <c r="N125" s="18">
        <f t="shared" si="12"/>
        <v>73.2</v>
      </c>
      <c r="O125" s="8"/>
    </row>
    <row r="126" spans="1:15">
      <c r="A126" s="1" t="s">
        <v>116</v>
      </c>
      <c r="B126" s="11"/>
      <c r="C126" s="11">
        <v>4274000</v>
      </c>
      <c r="D126" s="11">
        <v>4279000</v>
      </c>
      <c r="E126" s="11">
        <v>0</v>
      </c>
      <c r="F126" s="11">
        <f t="shared" si="10"/>
        <v>5000</v>
      </c>
      <c r="G126" s="17">
        <f t="shared" si="13"/>
        <v>42.19</v>
      </c>
      <c r="H126" s="17">
        <f t="shared" si="14"/>
        <v>0</v>
      </c>
      <c r="I126" s="17">
        <f t="shared" si="15"/>
        <v>0</v>
      </c>
      <c r="J126" s="18">
        <f t="shared" si="16"/>
        <v>0</v>
      </c>
      <c r="K126" s="18">
        <f t="shared" si="17"/>
        <v>0</v>
      </c>
      <c r="L126" s="18">
        <f t="shared" si="11"/>
        <v>42.19</v>
      </c>
      <c r="M126" s="18">
        <f t="shared" si="19"/>
        <v>0</v>
      </c>
      <c r="N126" s="18">
        <f t="shared" si="12"/>
        <v>42.19</v>
      </c>
      <c r="O126" s="8"/>
    </row>
    <row r="127" spans="1:15">
      <c r="A127" s="1" t="s">
        <v>117</v>
      </c>
      <c r="B127" s="11"/>
      <c r="C127" s="11">
        <v>1927000</v>
      </c>
      <c r="D127" s="11">
        <v>1931000</v>
      </c>
      <c r="E127" s="11">
        <v>0</v>
      </c>
      <c r="F127" s="11">
        <f t="shared" si="10"/>
        <v>4000</v>
      </c>
      <c r="G127" s="17">
        <f t="shared" si="13"/>
        <v>42.19</v>
      </c>
      <c r="H127" s="17">
        <f t="shared" si="14"/>
        <v>0</v>
      </c>
      <c r="I127" s="17">
        <f t="shared" si="15"/>
        <v>0</v>
      </c>
      <c r="J127" s="18">
        <f t="shared" si="16"/>
        <v>0</v>
      </c>
      <c r="K127" s="18">
        <f t="shared" si="17"/>
        <v>0</v>
      </c>
      <c r="L127" s="18">
        <f t="shared" si="11"/>
        <v>42.19</v>
      </c>
      <c r="M127" s="18">
        <f t="shared" si="19"/>
        <v>0</v>
      </c>
      <c r="N127" s="18">
        <f t="shared" si="12"/>
        <v>42.19</v>
      </c>
      <c r="O127" s="8"/>
    </row>
    <row r="128" spans="1:15">
      <c r="A128" s="1" t="s">
        <v>118</v>
      </c>
      <c r="B128" s="11"/>
      <c r="C128" s="11">
        <v>51000</v>
      </c>
      <c r="D128" s="11">
        <v>58000</v>
      </c>
      <c r="E128" s="11">
        <v>0</v>
      </c>
      <c r="F128" s="11">
        <f t="shared" si="10"/>
        <v>7000</v>
      </c>
      <c r="G128" s="17">
        <f t="shared" si="13"/>
        <v>42.19</v>
      </c>
      <c r="H128" s="17">
        <f t="shared" si="14"/>
        <v>0</v>
      </c>
      <c r="I128" s="17">
        <f t="shared" si="15"/>
        <v>0</v>
      </c>
      <c r="J128" s="18">
        <f t="shared" si="16"/>
        <v>0</v>
      </c>
      <c r="K128" s="18">
        <f t="shared" si="17"/>
        <v>0</v>
      </c>
      <c r="L128" s="18">
        <f t="shared" si="11"/>
        <v>42.19</v>
      </c>
      <c r="M128" s="18">
        <f t="shared" si="19"/>
        <v>0</v>
      </c>
      <c r="N128" s="18">
        <f t="shared" si="12"/>
        <v>42.19</v>
      </c>
      <c r="O128" s="8" t="s">
        <v>174</v>
      </c>
    </row>
    <row r="129" spans="1:15">
      <c r="A129" s="1" t="s">
        <v>119</v>
      </c>
      <c r="B129" s="11"/>
      <c r="C129" s="11">
        <v>7228000</v>
      </c>
      <c r="D129" s="11">
        <v>7441000</v>
      </c>
      <c r="E129" s="11">
        <v>0</v>
      </c>
      <c r="F129" s="11">
        <f t="shared" si="10"/>
        <v>213000</v>
      </c>
      <c r="G129" s="17">
        <f t="shared" si="13"/>
        <v>42.19</v>
      </c>
      <c r="H129" s="17">
        <f t="shared" si="14"/>
        <v>23</v>
      </c>
      <c r="I129" s="17">
        <f t="shared" si="15"/>
        <v>26.7</v>
      </c>
      <c r="J129" s="18">
        <f t="shared" si="16"/>
        <v>31</v>
      </c>
      <c r="K129" s="18">
        <f t="shared" si="17"/>
        <v>622.80000000000007</v>
      </c>
      <c r="L129" s="18">
        <f t="shared" si="11"/>
        <v>745.69</v>
      </c>
      <c r="M129" s="18">
        <f t="shared" si="19"/>
        <v>43.479042857142858</v>
      </c>
      <c r="N129" s="18">
        <f t="shared" si="12"/>
        <v>789.16904285714293</v>
      </c>
      <c r="O129" s="8"/>
    </row>
    <row r="130" spans="1:15">
      <c r="A130" s="1" t="s">
        <v>120</v>
      </c>
      <c r="B130" s="11"/>
      <c r="C130" s="11">
        <v>3749000</v>
      </c>
      <c r="D130" s="11">
        <v>3763000</v>
      </c>
      <c r="E130" s="11">
        <v>0</v>
      </c>
      <c r="F130" s="11">
        <f t="shared" si="10"/>
        <v>14000</v>
      </c>
      <c r="G130" s="17">
        <f t="shared" si="13"/>
        <v>42.19</v>
      </c>
      <c r="H130" s="17">
        <f t="shared" si="14"/>
        <v>9.1999999999999993</v>
      </c>
      <c r="I130" s="17">
        <f t="shared" si="15"/>
        <v>0</v>
      </c>
      <c r="J130" s="18">
        <f t="shared" si="16"/>
        <v>0</v>
      </c>
      <c r="K130" s="18">
        <f t="shared" si="17"/>
        <v>0</v>
      </c>
      <c r="L130" s="18">
        <f t="shared" si="11"/>
        <v>51.39</v>
      </c>
      <c r="M130" s="18">
        <f t="shared" si="19"/>
        <v>0</v>
      </c>
      <c r="N130" s="18">
        <f t="shared" si="12"/>
        <v>51.39</v>
      </c>
      <c r="O130" s="8"/>
    </row>
    <row r="131" spans="1:15">
      <c r="A131" s="1" t="s">
        <v>121</v>
      </c>
      <c r="B131" s="11" t="s">
        <v>138</v>
      </c>
      <c r="C131" s="11">
        <v>0</v>
      </c>
      <c r="D131" s="11">
        <v>0</v>
      </c>
      <c r="E131" s="11">
        <v>0</v>
      </c>
      <c r="F131" s="11">
        <f t="shared" si="10"/>
        <v>0</v>
      </c>
      <c r="G131" s="17">
        <f t="shared" si="13"/>
        <v>12.41</v>
      </c>
      <c r="H131" s="17">
        <f t="shared" si="14"/>
        <v>0</v>
      </c>
      <c r="I131" s="17">
        <f t="shared" si="15"/>
        <v>0</v>
      </c>
      <c r="J131" s="18">
        <f t="shared" si="16"/>
        <v>0</v>
      </c>
      <c r="K131" s="18">
        <f t="shared" si="17"/>
        <v>0</v>
      </c>
      <c r="L131" s="18">
        <f t="shared" si="11"/>
        <v>12.41</v>
      </c>
      <c r="M131" s="18">
        <f t="shared" si="19"/>
        <v>0</v>
      </c>
      <c r="N131" s="18">
        <f t="shared" si="12"/>
        <v>12.41</v>
      </c>
      <c r="O131" s="8"/>
    </row>
    <row r="132" spans="1:15">
      <c r="A132" s="1" t="s">
        <v>122</v>
      </c>
      <c r="B132" s="11"/>
      <c r="C132" s="11">
        <v>1394000</v>
      </c>
      <c r="D132" s="11">
        <v>1409000</v>
      </c>
      <c r="E132" s="11">
        <v>0</v>
      </c>
      <c r="F132" s="11">
        <f t="shared" si="10"/>
        <v>15000</v>
      </c>
      <c r="G132" s="17">
        <f t="shared" si="13"/>
        <v>42.19</v>
      </c>
      <c r="H132" s="17">
        <f t="shared" si="14"/>
        <v>11.5</v>
      </c>
      <c r="I132" s="17">
        <f t="shared" si="15"/>
        <v>0</v>
      </c>
      <c r="J132" s="18">
        <f t="shared" si="16"/>
        <v>0</v>
      </c>
      <c r="K132" s="18">
        <f t="shared" si="17"/>
        <v>0</v>
      </c>
      <c r="L132" s="18">
        <f t="shared" si="11"/>
        <v>53.69</v>
      </c>
      <c r="M132" s="18">
        <f t="shared" si="19"/>
        <v>0</v>
      </c>
      <c r="N132" s="18">
        <f t="shared" si="12"/>
        <v>53.69</v>
      </c>
      <c r="O132" s="8"/>
    </row>
    <row r="133" spans="1:15">
      <c r="A133" s="1" t="s">
        <v>123</v>
      </c>
      <c r="B133" s="11" t="s">
        <v>138</v>
      </c>
      <c r="C133" s="11">
        <v>0</v>
      </c>
      <c r="D133" s="11">
        <v>0</v>
      </c>
      <c r="E133" s="11">
        <v>0</v>
      </c>
      <c r="F133" s="11">
        <f t="shared" si="10"/>
        <v>0</v>
      </c>
      <c r="G133" s="17">
        <f t="shared" si="13"/>
        <v>12.41</v>
      </c>
      <c r="H133" s="17">
        <f t="shared" si="14"/>
        <v>0</v>
      </c>
      <c r="I133" s="17">
        <f t="shared" si="15"/>
        <v>0</v>
      </c>
      <c r="J133" s="18">
        <f t="shared" si="16"/>
        <v>0</v>
      </c>
      <c r="K133" s="18">
        <f t="shared" si="17"/>
        <v>0</v>
      </c>
      <c r="L133" s="18">
        <f t="shared" si="11"/>
        <v>12.41</v>
      </c>
      <c r="M133" s="18">
        <f t="shared" si="19"/>
        <v>0</v>
      </c>
      <c r="N133" s="18">
        <f t="shared" si="12"/>
        <v>12.41</v>
      </c>
      <c r="O133" s="8"/>
    </row>
    <row r="134" spans="1:15">
      <c r="A134" s="1" t="s">
        <v>124</v>
      </c>
      <c r="B134" s="11" t="s">
        <v>138</v>
      </c>
      <c r="C134" s="11">
        <v>0</v>
      </c>
      <c r="D134" s="11">
        <v>0</v>
      </c>
      <c r="E134" s="11">
        <v>0</v>
      </c>
      <c r="F134" s="11">
        <f t="shared" si="10"/>
        <v>0</v>
      </c>
      <c r="G134" s="17">
        <f t="shared" si="13"/>
        <v>12.41</v>
      </c>
      <c r="H134" s="17">
        <f t="shared" si="14"/>
        <v>0</v>
      </c>
      <c r="I134" s="17">
        <f t="shared" si="15"/>
        <v>0</v>
      </c>
      <c r="J134" s="18">
        <f t="shared" si="16"/>
        <v>0</v>
      </c>
      <c r="K134" s="18">
        <f t="shared" si="17"/>
        <v>0</v>
      </c>
      <c r="L134" s="18">
        <f t="shared" si="11"/>
        <v>12.41</v>
      </c>
      <c r="M134" s="18">
        <f t="shared" si="19"/>
        <v>0</v>
      </c>
      <c r="N134" s="18">
        <f t="shared" si="12"/>
        <v>12.41</v>
      </c>
      <c r="O134" s="8"/>
    </row>
    <row r="135" spans="1:15">
      <c r="A135" s="1" t="s">
        <v>125</v>
      </c>
      <c r="B135" s="11" t="s">
        <v>138</v>
      </c>
      <c r="C135" s="11">
        <v>0</v>
      </c>
      <c r="D135" s="11">
        <v>0</v>
      </c>
      <c r="E135" s="11">
        <v>0</v>
      </c>
      <c r="F135" s="11">
        <f t="shared" si="10"/>
        <v>0</v>
      </c>
      <c r="G135" s="17">
        <f t="shared" si="13"/>
        <v>12.41</v>
      </c>
      <c r="H135" s="17">
        <f t="shared" si="14"/>
        <v>0</v>
      </c>
      <c r="I135" s="17">
        <f t="shared" si="15"/>
        <v>0</v>
      </c>
      <c r="J135" s="18">
        <f t="shared" si="16"/>
        <v>0</v>
      </c>
      <c r="K135" s="18">
        <f t="shared" si="17"/>
        <v>0</v>
      </c>
      <c r="L135" s="18">
        <f t="shared" si="11"/>
        <v>12.41</v>
      </c>
      <c r="M135" s="18">
        <f t="shared" si="19"/>
        <v>0</v>
      </c>
      <c r="N135" s="18">
        <f t="shared" si="12"/>
        <v>12.41</v>
      </c>
      <c r="O135" s="8"/>
    </row>
    <row r="136" spans="1:15">
      <c r="A136" s="1" t="s">
        <v>126</v>
      </c>
      <c r="B136" s="11"/>
      <c r="C136" s="11">
        <v>1282000</v>
      </c>
      <c r="D136" s="11">
        <v>1334000</v>
      </c>
      <c r="E136" s="11">
        <v>0</v>
      </c>
      <c r="F136" s="11">
        <f t="shared" si="10"/>
        <v>52000</v>
      </c>
      <c r="G136" s="17">
        <f t="shared" si="13"/>
        <v>42.19</v>
      </c>
      <c r="H136" s="17">
        <f t="shared" si="14"/>
        <v>23</v>
      </c>
      <c r="I136" s="17">
        <f t="shared" si="15"/>
        <v>26.7</v>
      </c>
      <c r="J136" s="18">
        <f t="shared" si="16"/>
        <v>31</v>
      </c>
      <c r="K136" s="18">
        <f t="shared" si="17"/>
        <v>43.2</v>
      </c>
      <c r="L136" s="18">
        <f t="shared" si="11"/>
        <v>166.09</v>
      </c>
      <c r="M136" s="18">
        <f t="shared" si="19"/>
        <v>4.1524928571428577</v>
      </c>
      <c r="N136" s="18">
        <f t="shared" si="12"/>
        <v>170.24249285714285</v>
      </c>
      <c r="O136" s="8"/>
    </row>
    <row r="137" spans="1:15">
      <c r="B137" s="11"/>
      <c r="C137" s="11"/>
      <c r="D137" s="11"/>
      <c r="E137" s="11"/>
      <c r="F137" s="11"/>
      <c r="G137" s="17"/>
      <c r="H137" s="17"/>
      <c r="I137" s="17"/>
      <c r="J137" s="18"/>
      <c r="K137" s="18"/>
      <c r="L137" s="18"/>
      <c r="M137" s="18"/>
      <c r="N137" s="18"/>
      <c r="O137" s="8"/>
    </row>
    <row r="138" spans="1:15">
      <c r="J138" s="1" t="s">
        <v>136</v>
      </c>
      <c r="M138" s="27">
        <f>SUM(M11:M136)</f>
        <v>341.97</v>
      </c>
      <c r="N138" s="5">
        <f>SUM(N11:N136)</f>
        <v>12621.509999999998</v>
      </c>
    </row>
    <row r="139" spans="1:15" customFormat="1" ht="6.75" customHeight="1">
      <c r="A139" s="44"/>
      <c r="B139" s="44"/>
      <c r="C139" s="44"/>
      <c r="D139" s="44"/>
      <c r="E139" s="44"/>
      <c r="F139" s="44"/>
      <c r="G139" s="44"/>
      <c r="H139" s="44"/>
      <c r="I139" s="44"/>
      <c r="J139" s="44"/>
      <c r="K139" s="44"/>
      <c r="L139" s="44"/>
      <c r="M139" s="44"/>
      <c r="N139" s="44"/>
      <c r="O139" s="44"/>
    </row>
    <row r="140" spans="1:15" customFormat="1">
      <c r="A140" t="s">
        <v>249</v>
      </c>
      <c r="D140" s="76" t="s">
        <v>256</v>
      </c>
      <c r="E140" s="76"/>
      <c r="F140" s="81">
        <f t="shared" ref="F140:L140" si="20">SUM(F11:F136)</f>
        <v>3367000</v>
      </c>
      <c r="G140" s="75">
        <f t="shared" si="20"/>
        <v>4416.4499999999989</v>
      </c>
      <c r="H140" s="75">
        <f t="shared" si="20"/>
        <v>1221.3</v>
      </c>
      <c r="I140" s="75">
        <f t="shared" si="20"/>
        <v>1140.0900000000006</v>
      </c>
      <c r="J140" s="75">
        <f t="shared" si="20"/>
        <v>976.49999999999989</v>
      </c>
      <c r="K140" s="75">
        <f t="shared" si="20"/>
        <v>4525.2000000000007</v>
      </c>
      <c r="L140" s="75">
        <f t="shared" si="20"/>
        <v>12279.54</v>
      </c>
    </row>
    <row r="141" spans="1:15" customFormat="1">
      <c r="A141" t="s">
        <v>250</v>
      </c>
    </row>
    <row r="142" spans="1:15" customFormat="1">
      <c r="D142" t="s">
        <v>248</v>
      </c>
      <c r="E142" t="s">
        <v>148</v>
      </c>
      <c r="G142" t="s">
        <v>258</v>
      </c>
      <c r="H142" t="s">
        <v>166</v>
      </c>
      <c r="I142" t="s">
        <v>167</v>
      </c>
      <c r="J142" t="s">
        <v>169</v>
      </c>
      <c r="K142" t="s">
        <v>252</v>
      </c>
      <c r="L142" t="s">
        <v>251</v>
      </c>
      <c r="M142" s="1"/>
    </row>
    <row r="143" spans="1:15" customFormat="1">
      <c r="A143" t="s">
        <v>254</v>
      </c>
      <c r="D143">
        <v>82</v>
      </c>
      <c r="E143" s="25">
        <f>SUM(M18:M130)</f>
        <v>250.12662857142857</v>
      </c>
      <c r="G143" s="25">
        <f>SUM(G18:G130)-G145</f>
        <v>3459.5800000000027</v>
      </c>
      <c r="H143" s="80">
        <f>SUM(H18:H130)-H145</f>
        <v>1133.8999999999999</v>
      </c>
      <c r="I143" s="25">
        <f>SUM(I18:I130)-I145</f>
        <v>1059.9900000000005</v>
      </c>
      <c r="J143" s="25">
        <f>SUM(J18:J130)-J145</f>
        <v>883.49999999999989</v>
      </c>
      <c r="K143" s="25">
        <f>SUM(K18:K130)-K145</f>
        <v>3225.6</v>
      </c>
      <c r="L143" s="25">
        <f>SUM(F143:K143)</f>
        <v>9762.5700000000033</v>
      </c>
      <c r="M143" s="1"/>
    </row>
    <row r="144" spans="1:15" customFormat="1">
      <c r="A144" t="s">
        <v>255</v>
      </c>
      <c r="D144">
        <v>8</v>
      </c>
      <c r="E144" s="25">
        <f>SUM(M11:M15)+M17+SUM(M131:M136)</f>
        <v>91.84337142857143</v>
      </c>
      <c r="G144" s="34">
        <f>SUM(G11:G15)+G17+G132+G136</f>
        <v>337.52</v>
      </c>
      <c r="H144" s="34">
        <f>SUM(H11:H15)+H17+H132+H136</f>
        <v>87.4</v>
      </c>
      <c r="I144" s="34">
        <f>SUM(I11:I15)+I17+I132+I136</f>
        <v>80.099999999999994</v>
      </c>
      <c r="J144" s="34">
        <f>SUM(J11:J15)+J17+J132+J136</f>
        <v>93</v>
      </c>
      <c r="K144" s="34">
        <f>SUM(K11:K15)+K17+K132+K136</f>
        <v>1299.6000000000001</v>
      </c>
      <c r="L144" s="25">
        <f t="shared" ref="L144:L147" si="21">SUM(F144:K144)</f>
        <v>1897.6200000000001</v>
      </c>
      <c r="M144" s="1"/>
    </row>
    <row r="145" spans="1:13" customFormat="1">
      <c r="A145" t="s">
        <v>260</v>
      </c>
      <c r="D145">
        <v>31</v>
      </c>
      <c r="E145" s="25">
        <v>0</v>
      </c>
      <c r="G145" s="25">
        <f>G119+G114+G112+G108+G107+G105+G104+G103+G97+G91+G84+G81+G77+G73+G70+G69+G68+G65+G61+G57+G56+G55+G51+G50+G49+G40+G39+G34+G33+G31+G23</f>
        <v>384.71000000000021</v>
      </c>
      <c r="H145" s="25">
        <f>H119+H114+H112+H108+H107+H105+H104+H103+H97+H91+H84+H81+H77+H73+H70+H69+H68+H65+H61+H57+H56+H55+H51+H50+H49+H40+H39+H34+H33+H31+H23</f>
        <v>0</v>
      </c>
      <c r="I145" s="25">
        <f>I119+I114+I112+I108+I107+I105+I104+I103+I97+I91+I84+I81+I77+I73+I70+I69+I68+I65+I61+I57+I56+I55+I51+I50+I49+I40+I39+I34+I33+I31+I23</f>
        <v>0</v>
      </c>
      <c r="J145" s="25">
        <f>J119+J114+J112+J108+J107+J105+J104+J103+J97+J91+J84+J81+J77+J73+J70+J69+J68+J65+J61+J57+J56+J55+J51+J50+J49+J40+J39+J34+J33+J31+J23</f>
        <v>0</v>
      </c>
      <c r="K145" s="25">
        <f>K119+K114+K112+K108+K107+K105+K104+K103+K97+K91+K84+K81+K77+K73+K70+K69+K68+K65+K61+K57+K56+K55+K51+K50+K49+K40+K39+K34+K33+K31+K23</f>
        <v>0</v>
      </c>
      <c r="L145" s="25">
        <f t="shared" si="21"/>
        <v>384.71000000000021</v>
      </c>
      <c r="M145" s="1"/>
    </row>
    <row r="146" spans="1:13" customFormat="1">
      <c r="A146" t="s">
        <v>261</v>
      </c>
      <c r="D146">
        <v>4</v>
      </c>
      <c r="E146" s="25">
        <v>0</v>
      </c>
      <c r="G146" s="25">
        <f>G135+G134+G133+G131</f>
        <v>49.64</v>
      </c>
      <c r="H146" s="25">
        <f>H135+H134+H133+H131</f>
        <v>0</v>
      </c>
      <c r="I146" s="25">
        <f>I135+I134+I133+I131</f>
        <v>0</v>
      </c>
      <c r="J146" s="25">
        <f>J135+J134+J133+J131</f>
        <v>0</v>
      </c>
      <c r="K146" s="25">
        <f>K135+K134+K133+K131</f>
        <v>0</v>
      </c>
      <c r="L146" s="25">
        <f t="shared" si="21"/>
        <v>49.64</v>
      </c>
      <c r="M146" s="1"/>
    </row>
    <row r="147" spans="1:13" customFormat="1">
      <c r="A147" t="s">
        <v>253</v>
      </c>
      <c r="D147">
        <v>1</v>
      </c>
      <c r="E147" s="25">
        <f>M16</f>
        <v>0</v>
      </c>
      <c r="G147" s="25">
        <f>G16</f>
        <v>185</v>
      </c>
      <c r="H147" s="25">
        <f>H16</f>
        <v>0</v>
      </c>
      <c r="I147" s="25">
        <f>I16</f>
        <v>0</v>
      </c>
      <c r="J147" s="25">
        <f>J16</f>
        <v>0</v>
      </c>
      <c r="K147" s="25">
        <f>K16</f>
        <v>0</v>
      </c>
      <c r="L147" s="25">
        <f t="shared" si="21"/>
        <v>185</v>
      </c>
      <c r="M147" s="1"/>
    </row>
    <row r="148" spans="1:13" customFormat="1" ht="15.75" thickBot="1">
      <c r="B148" t="s">
        <v>257</v>
      </c>
      <c r="D148" s="73">
        <f>SUM(D143:D147)</f>
        <v>126</v>
      </c>
      <c r="E148" s="74">
        <f>SUM(E143:E147)</f>
        <v>341.97</v>
      </c>
      <c r="F148" s="73"/>
      <c r="G148" s="74">
        <f t="shared" ref="G148:L148" si="22">SUM(G143:G147)</f>
        <v>4416.4500000000035</v>
      </c>
      <c r="H148" s="74">
        <f t="shared" si="22"/>
        <v>1221.3</v>
      </c>
      <c r="I148" s="74">
        <f t="shared" si="22"/>
        <v>1140.0900000000004</v>
      </c>
      <c r="J148" s="74">
        <f t="shared" si="22"/>
        <v>976.49999999999989</v>
      </c>
      <c r="K148" s="74">
        <f t="shared" si="22"/>
        <v>4525.2</v>
      </c>
      <c r="L148" s="74">
        <f t="shared" si="22"/>
        <v>12279.540000000005</v>
      </c>
      <c r="M148" s="1"/>
    </row>
    <row r="149" spans="1:13" customFormat="1" ht="16.5" thickTop="1" thickBot="1">
      <c r="D149" s="78"/>
      <c r="E149" s="78"/>
      <c r="F149" s="78"/>
      <c r="G149" s="79"/>
      <c r="H149" s="79"/>
      <c r="I149" s="79"/>
      <c r="J149" s="79"/>
      <c r="K149" s="79"/>
      <c r="L149" s="79"/>
      <c r="M149" s="1"/>
    </row>
    <row r="150" spans="1:13" customFormat="1">
      <c r="D150" s="188" t="s">
        <v>376</v>
      </c>
      <c r="E150" s="78"/>
      <c r="F150" s="78"/>
      <c r="G150" s="79"/>
      <c r="H150" s="79"/>
      <c r="I150" s="79"/>
      <c r="J150" s="79"/>
      <c r="K150" s="79"/>
      <c r="L150" s="79"/>
      <c r="M150" s="1"/>
    </row>
    <row r="151" spans="1:13" customFormat="1" ht="15.75" thickBot="1">
      <c r="D151" s="189" t="s">
        <v>375</v>
      </c>
      <c r="E151" s="78"/>
      <c r="F151" s="78"/>
      <c r="G151" s="79"/>
      <c r="H151" s="79"/>
      <c r="I151" s="79"/>
      <c r="J151" s="79"/>
      <c r="K151" s="79"/>
      <c r="L151" s="79"/>
      <c r="M151" s="1"/>
    </row>
    <row r="152" spans="1:13" customFormat="1">
      <c r="A152" t="s">
        <v>262</v>
      </c>
      <c r="D152" s="81">
        <f>COUNTIF(M18:M130,"&gt;0")</f>
        <v>27</v>
      </c>
      <c r="E152" s="81">
        <f>E143/E148*P7</f>
        <v>1023999.9999999999</v>
      </c>
      <c r="F152" s="75"/>
      <c r="G152" s="81">
        <f>F140-G153-G154-(SUM(H155:K155))</f>
        <v>677000</v>
      </c>
      <c r="H152" s="81">
        <f>H143/2.3*1000</f>
        <v>493000</v>
      </c>
      <c r="I152" s="81">
        <f>I143/2.67*1000</f>
        <v>397000.00000000017</v>
      </c>
      <c r="J152" s="81">
        <f>J143/3.1*1000</f>
        <v>284999.99999999994</v>
      </c>
      <c r="K152" s="81">
        <f>K143/3.6*1000</f>
        <v>896000</v>
      </c>
      <c r="L152" s="81">
        <f>SUM(G152:K152)</f>
        <v>2748000</v>
      </c>
      <c r="M152" s="1"/>
    </row>
    <row r="153" spans="1:13" customFormat="1">
      <c r="A153" t="s">
        <v>263</v>
      </c>
      <c r="D153" s="81">
        <v>4</v>
      </c>
      <c r="E153" s="81">
        <f>E144/E148*P7</f>
        <v>376000</v>
      </c>
      <c r="F153" s="75"/>
      <c r="G153" s="81">
        <f>(SUM(F11:F15)+F17+SUM(F131:F136)-H153-I153-J153-K153)</f>
        <v>59999.999999999942</v>
      </c>
      <c r="H153" s="81">
        <f>H144/2.3*1000</f>
        <v>38000.000000000007</v>
      </c>
      <c r="I153" s="81">
        <f>I144/2.67*1000</f>
        <v>30000</v>
      </c>
      <c r="J153" s="81">
        <f>J144/3.1*1000</f>
        <v>30000</v>
      </c>
      <c r="K153" s="81">
        <f>K144/3.6*1000</f>
        <v>361000.00000000006</v>
      </c>
      <c r="L153" s="81">
        <f>SUM(G153:K153)</f>
        <v>519000</v>
      </c>
      <c r="M153" s="1"/>
    </row>
    <row r="154" spans="1:13" customFormat="1">
      <c r="A154" t="s">
        <v>264</v>
      </c>
      <c r="D154" s="81">
        <v>0</v>
      </c>
      <c r="E154" s="81">
        <f>E147/E148*P7</f>
        <v>0</v>
      </c>
      <c r="F154" s="75"/>
      <c r="G154" s="81">
        <f>IF(F16&gt;100000,100000,F16)</f>
        <v>100000</v>
      </c>
      <c r="H154" s="81">
        <f>H147/1.99*1000</f>
        <v>0</v>
      </c>
      <c r="I154" s="81" t="s">
        <v>259</v>
      </c>
      <c r="J154" s="81" t="s">
        <v>259</v>
      </c>
      <c r="K154" s="81" t="s">
        <v>259</v>
      </c>
      <c r="L154" s="81">
        <f>SUM(G154:K154)</f>
        <v>100000</v>
      </c>
      <c r="M154" s="1"/>
    </row>
    <row r="155" spans="1:13" customFormat="1" ht="15.75" thickBot="1">
      <c r="B155" t="s">
        <v>265</v>
      </c>
      <c r="D155" s="82"/>
      <c r="E155" s="82">
        <f>SUM(E152:E154)</f>
        <v>1400000</v>
      </c>
      <c r="F155" s="77"/>
      <c r="G155" s="82">
        <f>G152+G153+G154</f>
        <v>837000</v>
      </c>
      <c r="H155" s="82">
        <f>SUM(H152:H154)</f>
        <v>531000</v>
      </c>
      <c r="I155" s="82">
        <f>SUM(I152:I154)</f>
        <v>427000.00000000017</v>
      </c>
      <c r="J155" s="82">
        <f>SUM(J152:J154)</f>
        <v>314999.99999999994</v>
      </c>
      <c r="K155" s="82">
        <f>SUM(K152:K154)</f>
        <v>1257000</v>
      </c>
      <c r="L155" s="82">
        <f>SUM(L152:L154)</f>
        <v>3367000</v>
      </c>
      <c r="M155" s="1"/>
    </row>
    <row r="156" spans="1:13" ht="15.75" thickTop="1">
      <c r="E156" s="1" t="s">
        <v>274</v>
      </c>
    </row>
    <row r="157" spans="1:13">
      <c r="E157" s="75" t="s">
        <v>275</v>
      </c>
    </row>
    <row r="158" spans="1:13">
      <c r="E158" s="75" t="s">
        <v>273</v>
      </c>
    </row>
    <row r="159" spans="1:13">
      <c r="E159" s="75" t="s">
        <v>276</v>
      </c>
    </row>
  </sheetData>
  <pageMargins left="0.7" right="0.7" top="0.83" bottom="0.89" header="0.3" footer="0.2"/>
  <pageSetup paperSize="3" scale="47" orientation="portrait" r:id="rId1"/>
  <headerFooter>
    <oddHeader>&amp;LHi-Country
Customer Usage Summary</oddHeader>
    <oddFooter>&amp;L&amp;A
&amp;F&amp;Rpage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8</vt:i4>
      </vt:variant>
    </vt:vector>
  </HeadingPairs>
  <TitlesOfParts>
    <vt:vector size="40" baseType="lpstr">
      <vt:lpstr>Notes and Comparison</vt:lpstr>
      <vt:lpstr>Table 1 Avg. Customer Usage</vt:lpstr>
      <vt:lpstr>Table 2 Second Source</vt:lpstr>
      <vt:lpstr>Table 3 Summation of Detail</vt:lpstr>
      <vt:lpstr>Oct12 SS</vt:lpstr>
      <vt:lpstr>Oct12</vt:lpstr>
      <vt:lpstr>Sep12</vt:lpstr>
      <vt:lpstr>Aug12 SS</vt:lpstr>
      <vt:lpstr>Aug12</vt:lpstr>
      <vt:lpstr>Jul12</vt:lpstr>
      <vt:lpstr>Jun12</vt:lpstr>
      <vt:lpstr>May12</vt:lpstr>
      <vt:lpstr>Apr12</vt:lpstr>
      <vt:lpstr>Mar12recalc</vt:lpstr>
      <vt:lpstr>Mar12</vt:lpstr>
      <vt:lpstr>Feb12recalc</vt:lpstr>
      <vt:lpstr>Feb12</vt:lpstr>
      <vt:lpstr>Jan12recalc</vt:lpstr>
      <vt:lpstr>Jan12</vt:lpstr>
      <vt:lpstr>Dec11</vt:lpstr>
      <vt:lpstr>Nov11</vt:lpstr>
      <vt:lpstr>Oct11 SS</vt:lpstr>
      <vt:lpstr>Oct11</vt:lpstr>
      <vt:lpstr>Sep11 SS</vt:lpstr>
      <vt:lpstr>Sep11</vt:lpstr>
      <vt:lpstr>Aug11 SS</vt:lpstr>
      <vt:lpstr>Aug11</vt:lpstr>
      <vt:lpstr>Jul11</vt:lpstr>
      <vt:lpstr>Jun11</vt:lpstr>
      <vt:lpstr>May11</vt:lpstr>
      <vt:lpstr>Apr11</vt:lpstr>
      <vt:lpstr>Sheet23</vt:lpstr>
      <vt:lpstr>'Apr11'!Print_Area</vt:lpstr>
      <vt:lpstr>'Jun12'!Print_Area</vt:lpstr>
      <vt:lpstr>'Mar12'!Print_Area</vt:lpstr>
      <vt:lpstr>'May11'!Print_Area</vt:lpstr>
      <vt:lpstr>'Notes and Comparison'!Print_Area</vt:lpstr>
      <vt:lpstr>'Table 1 Avg. Customer Usage'!Print_Area</vt:lpstr>
      <vt:lpstr>'Table 1 Avg. Customer Usage'!Print_Titles</vt:lpstr>
      <vt:lpstr>'Table 3 Summation of Detail'!Print_Titles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C. Murdock</dc:creator>
  <cp:lastModifiedBy>laurieharris</cp:lastModifiedBy>
  <cp:lastPrinted>2013-09-09T20:53:16Z</cp:lastPrinted>
  <dcterms:created xsi:type="dcterms:W3CDTF">2011-05-04T15:58:26Z</dcterms:created>
  <dcterms:modified xsi:type="dcterms:W3CDTF">2013-09-11T22:19:07Z</dcterms:modified>
</cp:coreProperties>
</file>