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50" windowWidth="17235" windowHeight="7485"/>
  </bookViews>
  <sheets>
    <sheet name="Sheet1" sheetId="1" r:id="rId1"/>
    <sheet name="Sheet2" sheetId="2" r:id="rId2"/>
    <sheet name="Sheet3" sheetId="3" r:id="rId3"/>
  </sheets>
  <externalReferences>
    <externalReference r:id="rId4"/>
    <externalReference r:id="rId5"/>
  </externalReferences>
  <definedNames>
    <definedName name="Rate_User_Fee">Sheet2!$F$10</definedName>
    <definedName name="Reserve">'[1]1.5 Reserve'!$C$9</definedName>
  </definedNames>
  <calcPr calcId="125725"/>
</workbook>
</file>

<file path=xl/calcChain.xml><?xml version="1.0" encoding="utf-8"?>
<calcChain xmlns="http://schemas.openxmlformats.org/spreadsheetml/2006/main">
  <c r="D33" i="3"/>
  <c r="D36" s="1"/>
  <c r="D38" s="1"/>
  <c r="K30"/>
  <c r="C30"/>
  <c r="J22"/>
  <c r="J23" s="1"/>
  <c r="J19"/>
  <c r="J18"/>
  <c r="J17"/>
  <c r="J20" s="1"/>
  <c r="H12"/>
  <c r="E6"/>
  <c r="E5"/>
  <c r="E12" s="1"/>
  <c r="M12" s="1"/>
  <c r="F23" i="2"/>
  <c r="F16"/>
  <c r="F18" s="1"/>
  <c r="N11"/>
  <c r="O11" s="1"/>
  <c r="J11"/>
  <c r="N10"/>
  <c r="J10"/>
  <c r="J9"/>
  <c r="H8"/>
  <c r="F19" l="1"/>
  <c r="F21" s="1"/>
  <c r="L74" i="1" l="1"/>
  <c r="N72"/>
  <c r="K65"/>
  <c r="F65"/>
  <c r="D65"/>
  <c r="J65" s="1"/>
  <c r="K64"/>
  <c r="F64"/>
  <c r="F66" s="1"/>
  <c r="H66" s="1"/>
  <c r="D64"/>
  <c r="D66" s="1"/>
  <c r="D60"/>
  <c r="F60" s="1"/>
  <c r="H60" s="1"/>
  <c r="K59"/>
  <c r="F59"/>
  <c r="D59"/>
  <c r="D55"/>
  <c r="F55" s="1"/>
  <c r="H55" s="1"/>
  <c r="D54"/>
  <c r="F54" s="1"/>
  <c r="K49"/>
  <c r="D49"/>
  <c r="F49" s="1"/>
  <c r="B49"/>
  <c r="K48"/>
  <c r="F48"/>
  <c r="D48"/>
  <c r="J48" s="1"/>
  <c r="B48"/>
  <c r="K47"/>
  <c r="D47"/>
  <c r="F47" s="1"/>
  <c r="B47"/>
  <c r="K46"/>
  <c r="F46"/>
  <c r="D46"/>
  <c r="J46" s="1"/>
  <c r="B46"/>
  <c r="B45"/>
  <c r="K44"/>
  <c r="F44"/>
  <c r="D44"/>
  <c r="J44" s="1"/>
  <c r="B44"/>
  <c r="K43"/>
  <c r="D43"/>
  <c r="F43" s="1"/>
  <c r="B43"/>
  <c r="K42"/>
  <c r="F42"/>
  <c r="D42"/>
  <c r="J42" s="1"/>
  <c r="B42"/>
  <c r="K41"/>
  <c r="D41"/>
  <c r="F41" s="1"/>
  <c r="B41"/>
  <c r="K40"/>
  <c r="F40"/>
  <c r="D40"/>
  <c r="J40" s="1"/>
  <c r="B40"/>
  <c r="K39"/>
  <c r="D39"/>
  <c r="F39" s="1"/>
  <c r="B39"/>
  <c r="K38"/>
  <c r="F38"/>
  <c r="D38"/>
  <c r="J38" s="1"/>
  <c r="B38"/>
  <c r="O37"/>
  <c r="K37"/>
  <c r="F37"/>
  <c r="D37"/>
  <c r="J37" s="1"/>
  <c r="B37"/>
  <c r="O36"/>
  <c r="K36"/>
  <c r="F36"/>
  <c r="D36"/>
  <c r="J36" s="1"/>
  <c r="B36"/>
  <c r="O35"/>
  <c r="K35"/>
  <c r="F35"/>
  <c r="D35"/>
  <c r="J35" s="1"/>
  <c r="B35"/>
  <c r="K34"/>
  <c r="D34"/>
  <c r="F34" s="1"/>
  <c r="B34"/>
  <c r="K33"/>
  <c r="F33"/>
  <c r="D33"/>
  <c r="J33" s="1"/>
  <c r="B33"/>
  <c r="K32"/>
  <c r="D32"/>
  <c r="F32" s="1"/>
  <c r="B32"/>
  <c r="K31"/>
  <c r="F31"/>
  <c r="D31"/>
  <c r="J31" s="1"/>
  <c r="B31"/>
  <c r="K30"/>
  <c r="D30"/>
  <c r="F30" s="1"/>
  <c r="B30"/>
  <c r="K29"/>
  <c r="F29"/>
  <c r="D29"/>
  <c r="J29" s="1"/>
  <c r="B29"/>
  <c r="K28"/>
  <c r="D28"/>
  <c r="F28" s="1"/>
  <c r="B28"/>
  <c r="O27"/>
  <c r="K27"/>
  <c r="D27"/>
  <c r="F27" s="1"/>
  <c r="B27"/>
  <c r="K26"/>
  <c r="F26"/>
  <c r="D26"/>
  <c r="J26" s="1"/>
  <c r="B26"/>
  <c r="O25"/>
  <c r="O50" s="1"/>
  <c r="N25"/>
  <c r="K25"/>
  <c r="D25"/>
  <c r="F25" s="1"/>
  <c r="B25"/>
  <c r="K24"/>
  <c r="F24"/>
  <c r="D24"/>
  <c r="J24" s="1"/>
  <c r="B24"/>
  <c r="K23"/>
  <c r="D23"/>
  <c r="F23" s="1"/>
  <c r="B23"/>
  <c r="K22"/>
  <c r="F22"/>
  <c r="D22"/>
  <c r="J22" s="1"/>
  <c r="B22"/>
  <c r="K21"/>
  <c r="D21"/>
  <c r="F21" s="1"/>
  <c r="F50" s="1"/>
  <c r="H50" s="1"/>
  <c r="H70" s="1"/>
  <c r="B21"/>
  <c r="F9" l="1"/>
  <c r="D9"/>
  <c r="D11" s="1"/>
  <c r="J21"/>
  <c r="J23"/>
  <c r="J27"/>
  <c r="J28"/>
  <c r="J32"/>
  <c r="J39"/>
  <c r="J41"/>
  <c r="J43"/>
  <c r="J47"/>
  <c r="J49"/>
  <c r="D50"/>
  <c r="J25"/>
  <c r="J30"/>
  <c r="J34"/>
  <c r="J64"/>
  <c r="J66" s="1"/>
  <c r="L66" s="1"/>
  <c r="J50" l="1"/>
  <c r="L50" s="1"/>
  <c r="L72" s="1"/>
  <c r="F10" s="1"/>
  <c r="F11" s="1"/>
</calcChain>
</file>

<file path=xl/sharedStrings.xml><?xml version="1.0" encoding="utf-8"?>
<sst xmlns="http://schemas.openxmlformats.org/spreadsheetml/2006/main" count="142" uniqueCount="119">
  <si>
    <t>Willow Creek Water Company</t>
  </si>
  <si>
    <t>Amended Exhibit 1.2 SR</t>
  </si>
  <si>
    <t>General Rate Case Increase</t>
  </si>
  <si>
    <t>Docket No. 13-2506-01</t>
  </si>
  <si>
    <t>Costs of Providing Water and Rate Calculations</t>
  </si>
  <si>
    <t>A</t>
  </si>
  <si>
    <t>B</t>
  </si>
  <si>
    <t>Rate Summary</t>
  </si>
  <si>
    <t>All Customers</t>
  </si>
  <si>
    <t xml:space="preserve">Including </t>
  </si>
  <si>
    <t>Connected</t>
  </si>
  <si>
    <t>Standby</t>
  </si>
  <si>
    <t>Customers</t>
  </si>
  <si>
    <t>System Fees (Standby)</t>
  </si>
  <si>
    <t xml:space="preserve"> a</t>
  </si>
  <si>
    <t>Usage Fees</t>
  </si>
  <si>
    <t xml:space="preserve"> b</t>
  </si>
  <si>
    <t>Total Rates</t>
  </si>
  <si>
    <t xml:space="preserve"> c</t>
  </si>
  <si>
    <t>Overage (Conservation) Rates</t>
  </si>
  <si>
    <r>
      <t xml:space="preserve"> d, </t>
    </r>
    <r>
      <rPr>
        <b/>
        <sz val="10"/>
        <color rgb="FFC05B08"/>
        <rFont val="Arial"/>
        <family val="2"/>
      </rPr>
      <t>d2</t>
    </r>
  </si>
  <si>
    <t>Adjusted</t>
  </si>
  <si>
    <t>System Expenses (Fixed)</t>
  </si>
  <si>
    <t>Usage Expenses (Variable)</t>
  </si>
  <si>
    <t>e</t>
  </si>
  <si>
    <t>Calculations of Natalie Erickson</t>
  </si>
  <si>
    <t xml:space="preserve">Total </t>
  </si>
  <si>
    <r>
      <t xml:space="preserve">(Paid by </t>
    </r>
    <r>
      <rPr>
        <b/>
        <i/>
        <sz val="11.5"/>
        <color rgb="FF006C31"/>
        <rFont val="Times New Roman"/>
        <family val="1"/>
      </rPr>
      <t xml:space="preserve">ALL </t>
    </r>
    <r>
      <rPr>
        <i/>
        <sz val="11.5"/>
        <color rgb="FF006C31"/>
        <rFont val="Times New Roman"/>
        <family val="1"/>
      </rPr>
      <t>Customers)</t>
    </r>
  </si>
  <si>
    <r>
      <t xml:space="preserve">(Paid by </t>
    </r>
    <r>
      <rPr>
        <b/>
        <i/>
        <sz val="11.5"/>
        <color theme="3"/>
        <rFont val="Times New Roman"/>
        <family val="1"/>
      </rPr>
      <t>CONNECTED Only)</t>
    </r>
  </si>
  <si>
    <t>Expenses</t>
  </si>
  <si>
    <t>Total Customers:</t>
  </si>
  <si>
    <t>Total CONNECTED:</t>
  </si>
  <si>
    <r>
      <t>f,</t>
    </r>
    <r>
      <rPr>
        <sz val="12"/>
        <color rgb="FF007635"/>
        <rFont val="Times New Roman"/>
        <family val="1"/>
      </rPr>
      <t xml:space="preserve"> </t>
    </r>
    <r>
      <rPr>
        <b/>
        <sz val="12"/>
        <color rgb="FFC05B08"/>
        <rFont val="Times New Roman"/>
        <family val="1"/>
      </rPr>
      <t>f2</t>
    </r>
  </si>
  <si>
    <t>[From Amended</t>
  </si>
  <si>
    <t>Expense Category</t>
  </si>
  <si>
    <t>NARUC #</t>
  </si>
  <si>
    <t>Exhibit 1.3 SR]</t>
  </si>
  <si>
    <t>Amount</t>
  </si>
  <si>
    <t>%</t>
  </si>
  <si>
    <t>Monthly Rates</t>
  </si>
  <si>
    <t>g</t>
  </si>
  <si>
    <t>Operation &amp; Maintenance Expenses</t>
  </si>
  <si>
    <t>Estimated water used in 2012</t>
  </si>
  <si>
    <t>$ electrical cost per1000  gallon, multiplied by 2 to run the new pump</t>
  </si>
  <si>
    <t>price of chemicals per thousand gallon</t>
  </si>
  <si>
    <t>5 gallon pail of chemicals costs $20</t>
  </si>
  <si>
    <t>635a</t>
  </si>
  <si>
    <t>635b</t>
  </si>
  <si>
    <t>maintenance per thousand gallons</t>
  </si>
  <si>
    <t>repairs per thousand gallons</t>
  </si>
  <si>
    <t>operator per thousand gallons</t>
  </si>
  <si>
    <t>675a</t>
  </si>
  <si>
    <t>675b</t>
  </si>
  <si>
    <t>675c</t>
  </si>
  <si>
    <t>675d</t>
  </si>
  <si>
    <t xml:space="preserve">  Total Operation &amp; Maintenance Expenses</t>
  </si>
  <si>
    <t>This is the price per thousand gallons</t>
  </si>
  <si>
    <t>Capital Reserve Account Funding</t>
  </si>
  <si>
    <t>Annual Depreciation Expense</t>
  </si>
  <si>
    <t xml:space="preserve">  Total Capital Reserve Account Funding</t>
  </si>
  <si>
    <t>Return on Investment (Profit)</t>
  </si>
  <si>
    <t>Return on Investment</t>
  </si>
  <si>
    <t xml:space="preserve">  Total Return on Investment (Profit)</t>
  </si>
  <si>
    <t>Taxes</t>
  </si>
  <si>
    <t xml:space="preserve">  Property Tax</t>
  </si>
  <si>
    <t xml:space="preserve">  Projected Federal and State Income Tax</t>
  </si>
  <si>
    <t xml:space="preserve">  Total Taxes</t>
  </si>
  <si>
    <t>Monthly Rates per Customer Category</t>
  </si>
  <si>
    <t>System Fees (Paid by ALL Customer Categories)</t>
  </si>
  <si>
    <t>Usage Fees (Paid by CONNECTED Customers Only and in addition)</t>
  </si>
  <si>
    <t xml:space="preserve">   to System Fees)</t>
  </si>
  <si>
    <t>-------------------------------------------------- end ------------------------------------------------------</t>
  </si>
  <si>
    <t>Usage Fees (Representing Variable Expenses) *</t>
  </si>
  <si>
    <t>questions:</t>
  </si>
  <si>
    <t>Gallons per customer per month causing the Usage Fees</t>
  </si>
  <si>
    <t>what is the electricity charge difference from peak vs non-peak?</t>
  </si>
  <si>
    <t>Variable cost per 1,000 gallons</t>
  </si>
  <si>
    <t>how much extra is for "conservation?"</t>
  </si>
  <si>
    <t>70% increase in variable costs to cover extra expenses in overage usage including peak-hours electricity use, additional demands on the system and to encourage conservation.</t>
  </si>
  <si>
    <t>what additional demands on sstem that aren't figured in variable costs already?</t>
  </si>
  <si>
    <t>how many gallons used last year to figure in ths 12K number?</t>
  </si>
  <si>
    <t>Most of the research I've done---to encourage conservation, usually the base rate is not there.</t>
  </si>
  <si>
    <t>Rounded down to $4.50</t>
  </si>
  <si>
    <t>take 71.80 / 12000.  Equals 5.98, and use that as the starting point and increase from there.    That's what the literature states.</t>
  </si>
  <si>
    <t xml:space="preserve">Can the state tell us to actually conserve?  </t>
  </si>
  <si>
    <t>*  Variable expenses are based on the best information available to/from the water company.  The company is relatively new and does not have a lot of historical data to analyze so the amounts are estimated using the best judgment and based on experience of water company personnel and the Division.</t>
  </si>
  <si>
    <t xml:space="preserve">Note:  All regulated water companies are required to file an Annual Report with the Public Service Commission.  This is public information unless the utility designates otherwise.  The customers have the opportunity to review the data in the annual report and bring up areas of concern to the water company and/or the Division.  If after a period of time it appears as though the rates need to be adjusted because a relatively significant number of customers are added or estimates of costs prove to be materially different than used in this analysis a rate case may be requested. </t>
  </si>
  <si>
    <t>Water 2013</t>
  </si>
  <si>
    <t>Electrical Costs</t>
  </si>
  <si>
    <t>adjusted for mar./february's on one bill</t>
  </si>
  <si>
    <t>Water Usage</t>
  </si>
  <si>
    <t>Jan.</t>
  </si>
  <si>
    <t>left out of equation</t>
  </si>
  <si>
    <t>Feb.</t>
  </si>
  <si>
    <t>Mar.</t>
  </si>
  <si>
    <t>Apr.</t>
  </si>
  <si>
    <t>May</t>
  </si>
  <si>
    <t>Jun.</t>
  </si>
  <si>
    <t>July</t>
  </si>
  <si>
    <t>Aug</t>
  </si>
  <si>
    <t xml:space="preserve">TOTAL (minus Jan):  </t>
  </si>
  <si>
    <t>TOTAL</t>
  </si>
  <si>
    <t>electrical price / gallon</t>
  </si>
  <si>
    <t xml:space="preserve">Water usage for 2012 determined by subtracting out water overage from Erickson's and Holden's homes:  </t>
  </si>
  <si>
    <t>Total</t>
  </si>
  <si>
    <t>gallons for January - July minus water used for Holdens and Erickson</t>
  </si>
  <si>
    <t>yards, used to give a guide for last year's water usage.</t>
  </si>
  <si>
    <t>average monthly water usage from system</t>
  </si>
  <si>
    <t>approximate water usage for 2012</t>
  </si>
  <si>
    <t>PipeLine</t>
  </si>
  <si>
    <t>inch pipe</t>
  </si>
  <si>
    <t>inches on the map at a 1 to 120 scale</t>
  </si>
  <si>
    <t>estimated inches of pipeline</t>
  </si>
  <si>
    <t>filled 4 times</t>
  </si>
  <si>
    <t>Volume</t>
  </si>
  <si>
    <t>pie * radius squared * length</t>
  </si>
  <si>
    <t>inches cubed</t>
  </si>
  <si>
    <t>cubic inches are in a gallon of water</t>
  </si>
  <si>
    <t>gallons</t>
  </si>
</sst>
</file>

<file path=xl/styles.xml><?xml version="1.0" encoding="utf-8"?>
<styleSheet xmlns="http://schemas.openxmlformats.org/spreadsheetml/2006/main">
  <numFmts count="7">
    <numFmt numFmtId="8" formatCode="&quot;$&quot;#,##0.00_);[Red]\(&quot;$&quot;#,##0.00\)"/>
    <numFmt numFmtId="44" formatCode="_(&quot;$&quot;* #,##0.00_);_(&quot;$&quot;* \(#,##0.00\);_(&quot;$&quot;* &quot;-&quot;??_);_(@_)"/>
    <numFmt numFmtId="43" formatCode="_(* #,##0.00_);_(* \(#,##0.00\);_(* &quot;-&quot;??_);_(@_)"/>
    <numFmt numFmtId="164" formatCode="@\ "/>
    <numFmt numFmtId="165" formatCode="&quot;$&quot;\ #,##0.00_);[Red]&quot;$&quot;\ \(#,##0.00\);_(* &quot;-&quot;??_)"/>
    <numFmt numFmtId="166" formatCode="#,##0.00_);[Red]\(#,##0.00\);_(* &quot;-&quot;??_)"/>
    <numFmt numFmtId="167" formatCode="0%_)"/>
  </numFmts>
  <fonts count="34">
    <font>
      <sz val="11"/>
      <color theme="1"/>
      <name val="Calibri"/>
      <family val="2"/>
      <scheme val="minor"/>
    </font>
    <font>
      <sz val="11"/>
      <color theme="1"/>
      <name val="Calibri"/>
      <family val="2"/>
      <scheme val="minor"/>
    </font>
    <font>
      <sz val="16"/>
      <name val="Times New Roman"/>
      <family val="1"/>
    </font>
    <font>
      <sz val="12"/>
      <name val="Times New Roman"/>
      <family val="1"/>
    </font>
    <font>
      <sz val="15"/>
      <name val="Times New Roman"/>
      <family val="1"/>
    </font>
    <font>
      <sz val="14"/>
      <name val="Times New Roman"/>
      <family val="1"/>
    </font>
    <font>
      <i/>
      <sz val="12"/>
      <color theme="1" tint="0.499984740745262"/>
      <name val="Arial"/>
      <family val="2"/>
    </font>
    <font>
      <b/>
      <sz val="12"/>
      <name val="Times New Roman"/>
      <family val="1"/>
    </font>
    <font>
      <sz val="10"/>
      <name val="Times New Roman"/>
      <family val="1"/>
    </font>
    <font>
      <i/>
      <sz val="10"/>
      <color theme="0" tint="-0.499984740745262"/>
      <name val="Times New Roman"/>
      <family val="1"/>
    </font>
    <font>
      <b/>
      <sz val="12"/>
      <color rgb="FF006C31"/>
      <name val="Times New Roman"/>
      <family val="1"/>
    </font>
    <font>
      <sz val="10"/>
      <name val="Arial"/>
      <family val="2"/>
    </font>
    <font>
      <sz val="11"/>
      <name val="Times New Roman"/>
      <family val="1"/>
    </font>
    <font>
      <b/>
      <sz val="12"/>
      <color theme="3"/>
      <name val="Times New Roman"/>
      <family val="1"/>
    </font>
    <font>
      <b/>
      <sz val="10"/>
      <color rgb="FFC05B08"/>
      <name val="Arial"/>
      <family val="2"/>
    </font>
    <font>
      <b/>
      <sz val="10"/>
      <name val="Times New Roman"/>
      <family val="1"/>
    </font>
    <font>
      <b/>
      <sz val="10"/>
      <name val="Arial"/>
      <family val="2"/>
    </font>
    <font>
      <i/>
      <sz val="11.5"/>
      <color rgb="FF006C31"/>
      <name val="Times New Roman"/>
      <family val="1"/>
    </font>
    <font>
      <b/>
      <i/>
      <sz val="11.5"/>
      <color rgb="FF006C31"/>
      <name val="Times New Roman"/>
      <family val="1"/>
    </font>
    <font>
      <i/>
      <sz val="11.5"/>
      <color theme="3"/>
      <name val="Times New Roman"/>
      <family val="1"/>
    </font>
    <font>
      <b/>
      <i/>
      <sz val="11.5"/>
      <color theme="3"/>
      <name val="Times New Roman"/>
      <family val="1"/>
    </font>
    <font>
      <b/>
      <sz val="11.5"/>
      <color rgb="FF006C31"/>
      <name val="Times New Roman"/>
      <family val="1"/>
    </font>
    <font>
      <sz val="11.5"/>
      <color rgb="FF006C31"/>
      <name val="Times New Roman"/>
      <family val="1"/>
    </font>
    <font>
      <b/>
      <sz val="11.5"/>
      <color theme="3"/>
      <name val="Times New Roman"/>
      <family val="1"/>
    </font>
    <font>
      <sz val="12"/>
      <color rgb="FF007635"/>
      <name val="Times New Roman"/>
      <family val="1"/>
    </font>
    <font>
      <b/>
      <sz val="12"/>
      <color rgb="FFC05B08"/>
      <name val="Times New Roman"/>
      <family val="1"/>
    </font>
    <font>
      <i/>
      <sz val="12"/>
      <name val="Times New Roman"/>
      <family val="1"/>
    </font>
    <font>
      <b/>
      <sz val="11"/>
      <name val="Times New Roman"/>
      <family val="1"/>
    </font>
    <font>
      <sz val="12"/>
      <color rgb="FF006C31"/>
      <name val="Times New Roman"/>
      <family val="1"/>
    </font>
    <font>
      <sz val="12"/>
      <color theme="3"/>
      <name val="Times New Roman"/>
      <family val="1"/>
    </font>
    <font>
      <sz val="12"/>
      <color rgb="FFC00000"/>
      <name val="Times New Roman"/>
      <family val="1"/>
    </font>
    <font>
      <sz val="10"/>
      <color rgb="FFC00000"/>
      <name val="Arial"/>
      <family val="2"/>
    </font>
    <font>
      <sz val="10"/>
      <name val="Comic Sans MS"/>
      <family val="4"/>
    </font>
    <font>
      <sz val="11"/>
      <color theme="1"/>
      <name val="Comic Sans MS"/>
      <family val="4"/>
    </font>
  </fonts>
  <fills count="15">
    <fill>
      <patternFill patternType="none"/>
    </fill>
    <fill>
      <patternFill patternType="gray125"/>
    </fill>
    <fill>
      <gradientFill degree="90">
        <stop position="0">
          <color theme="0"/>
        </stop>
        <stop position="1">
          <color rgb="FFFFFF00"/>
        </stop>
      </gradientFill>
    </fill>
    <fill>
      <patternFill patternType="solid">
        <fgColor theme="6" tint="0.79998168889431442"/>
        <bgColor indexed="64"/>
      </patternFill>
    </fill>
    <fill>
      <patternFill patternType="solid">
        <fgColor rgb="FFE5FEDE"/>
        <bgColor indexed="64"/>
      </patternFill>
    </fill>
    <fill>
      <patternFill patternType="solid">
        <fgColor rgb="FFEAF5FA"/>
        <bgColor indexed="64"/>
      </patternFill>
    </fill>
    <fill>
      <patternFill patternType="solid">
        <fgColor rgb="FFFFFF00"/>
        <bgColor indexed="64"/>
      </patternFill>
    </fill>
    <fill>
      <patternFill patternType="solid">
        <fgColor rgb="FFEDEAF2"/>
        <bgColor indexed="64"/>
      </patternFill>
    </fill>
    <fill>
      <gradientFill degree="90">
        <stop position="0">
          <color rgb="FFFAFBF7"/>
        </stop>
        <stop position="1">
          <color rgb="FFCEEBBB"/>
        </stop>
      </gradientFill>
    </fill>
    <fill>
      <patternFill patternType="gray0625">
        <bgColor rgb="FFE5FEDE"/>
      </patternFill>
    </fill>
    <fill>
      <patternFill patternType="gray0625">
        <bgColor rgb="FFEAF5FA"/>
      </patternFill>
    </fill>
    <fill>
      <patternFill patternType="solid">
        <fgColor theme="0"/>
        <bgColor indexed="64"/>
      </patternFill>
    </fill>
    <fill>
      <gradientFill degree="270">
        <stop position="0">
          <color rgb="FFFAFBF7"/>
        </stop>
        <stop position="1">
          <color rgb="FFFFFF00"/>
        </stop>
      </gradientFill>
    </fill>
    <fill>
      <patternFill patternType="solid">
        <fgColor indexed="8"/>
        <bgColor indexed="8"/>
      </patternFill>
    </fill>
    <fill>
      <patternFill patternType="solid">
        <fgColor rgb="FFFF0000"/>
        <bgColor indexed="64"/>
      </patternFill>
    </fill>
  </fills>
  <borders count="119">
    <border>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auto="1"/>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auto="1"/>
      </right>
      <top style="medium">
        <color indexed="64"/>
      </top>
      <bottom style="thin">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auto="1"/>
      </right>
      <top style="medium">
        <color indexed="64"/>
      </top>
      <bottom style="medium">
        <color indexed="64"/>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style="medium">
        <color rgb="FF006C31"/>
      </left>
      <right/>
      <top style="medium">
        <color rgb="FF006C31"/>
      </top>
      <bottom/>
      <diagonal/>
    </border>
    <border>
      <left/>
      <right/>
      <top style="medium">
        <color rgb="FF006C31"/>
      </top>
      <bottom/>
      <diagonal/>
    </border>
    <border>
      <left/>
      <right style="medium">
        <color rgb="FF006C31"/>
      </right>
      <top style="medium">
        <color rgb="FF006C31"/>
      </top>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1"/>
      </left>
      <right style="thin">
        <color theme="1"/>
      </right>
      <top/>
      <bottom/>
      <diagonal/>
    </border>
    <border>
      <left style="thin">
        <color theme="1"/>
      </left>
      <right style="thin">
        <color theme="1"/>
      </right>
      <top/>
      <bottom/>
      <diagonal/>
    </border>
    <border>
      <left style="thin">
        <color theme="1"/>
      </left>
      <right style="medium">
        <color theme="1"/>
      </right>
      <top/>
      <bottom/>
      <diagonal/>
    </border>
    <border>
      <left style="medium">
        <color rgb="FF006C31"/>
      </left>
      <right/>
      <top style="dashed">
        <color rgb="FF006C31"/>
      </top>
      <bottom style="dashed">
        <color rgb="FF006C31"/>
      </bottom>
      <diagonal/>
    </border>
    <border>
      <left/>
      <right/>
      <top style="dashed">
        <color rgb="FF006C31"/>
      </top>
      <bottom style="dashed">
        <color rgb="FF006C31"/>
      </bottom>
      <diagonal/>
    </border>
    <border>
      <left/>
      <right style="medium">
        <color rgb="FF006C31"/>
      </right>
      <top style="dashed">
        <color rgb="FF006C31"/>
      </top>
      <bottom style="dashed">
        <color rgb="FF006C31"/>
      </bottom>
      <diagonal/>
    </border>
    <border>
      <left style="medium">
        <color theme="4" tint="-0.24994659260841701"/>
      </left>
      <right/>
      <top style="dashed">
        <color theme="4" tint="-0.24994659260841701"/>
      </top>
      <bottom style="dashed">
        <color theme="4" tint="-0.24994659260841701"/>
      </bottom>
      <diagonal/>
    </border>
    <border>
      <left/>
      <right/>
      <top style="dashed">
        <color theme="4" tint="-0.24994659260841701"/>
      </top>
      <bottom style="dashed">
        <color theme="4" tint="-0.24994659260841701"/>
      </bottom>
      <diagonal/>
    </border>
    <border>
      <left/>
      <right style="medium">
        <color theme="4" tint="-0.24994659260841701"/>
      </right>
      <top style="dashed">
        <color theme="4" tint="-0.24994659260841701"/>
      </top>
      <bottom style="dashed">
        <color theme="4" tint="-0.24994659260841701"/>
      </bottom>
      <diagonal/>
    </border>
    <border>
      <left style="medium">
        <color rgb="FF006C31"/>
      </left>
      <right/>
      <top/>
      <bottom style="medium">
        <color theme="1"/>
      </bottom>
      <diagonal/>
    </border>
    <border>
      <left/>
      <right/>
      <top/>
      <bottom style="medium">
        <color theme="1"/>
      </bottom>
      <diagonal/>
    </border>
    <border>
      <left/>
      <right style="medium">
        <color rgb="FF006C31"/>
      </right>
      <top/>
      <bottom/>
      <diagonal/>
    </border>
    <border>
      <left style="medium">
        <color theme="4" tint="-0.24994659260841701"/>
      </left>
      <right/>
      <top/>
      <bottom style="medium">
        <color theme="1"/>
      </bottom>
      <diagonal/>
    </border>
    <border>
      <left/>
      <right style="medium">
        <color theme="4" tint="-0.24994659260841701"/>
      </right>
      <top/>
      <bottom/>
      <diagonal/>
    </border>
    <border>
      <left style="medium">
        <color rgb="FF006C31"/>
      </left>
      <right/>
      <top/>
      <bottom/>
      <diagonal/>
    </border>
    <border>
      <left style="medium">
        <color theme="4" tint="-0.24994659260841701"/>
      </left>
      <right/>
      <top/>
      <bottom/>
      <diagonal/>
    </border>
    <border>
      <left style="medium">
        <color rgb="FF006C31"/>
      </left>
      <right style="thin">
        <color rgb="FF006C31"/>
      </right>
      <top style="medium">
        <color theme="1"/>
      </top>
      <bottom/>
      <diagonal/>
    </border>
    <border>
      <left style="thin">
        <color rgb="FF006C31"/>
      </left>
      <right style="thin">
        <color rgb="FF006C31"/>
      </right>
      <top style="medium">
        <color theme="1"/>
      </top>
      <bottom/>
      <diagonal/>
    </border>
    <border>
      <left style="thin">
        <color rgb="FF006C31"/>
      </left>
      <right style="medium">
        <color rgb="FF006C31"/>
      </right>
      <top style="medium">
        <color theme="1"/>
      </top>
      <bottom/>
      <diagonal/>
    </border>
    <border>
      <left style="medium">
        <color theme="4" tint="-0.24994659260841701"/>
      </left>
      <right style="thin">
        <color theme="4"/>
      </right>
      <top style="medium">
        <color theme="1"/>
      </top>
      <bottom/>
      <diagonal/>
    </border>
    <border>
      <left style="thin">
        <color theme="4"/>
      </left>
      <right style="thin">
        <color theme="4"/>
      </right>
      <top style="medium">
        <color theme="1"/>
      </top>
      <bottom/>
      <diagonal/>
    </border>
    <border>
      <left/>
      <right style="medium">
        <color theme="4" tint="-0.24994659260841701"/>
      </right>
      <top style="medium">
        <color theme="1"/>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thin">
        <color theme="1"/>
      </bottom>
      <diagonal/>
    </border>
    <border>
      <left style="thin">
        <color indexed="64"/>
      </left>
      <right/>
      <top/>
      <bottom style="thin">
        <color theme="1"/>
      </bottom>
      <diagonal/>
    </border>
    <border>
      <left style="thin">
        <color theme="1"/>
      </left>
      <right style="medium">
        <color theme="1"/>
      </right>
      <top/>
      <bottom style="thin">
        <color theme="1"/>
      </bottom>
      <diagonal/>
    </border>
    <border>
      <left style="medium">
        <color rgb="FF006C31"/>
      </left>
      <right style="thin">
        <color rgb="FF006C31"/>
      </right>
      <top/>
      <bottom style="thin">
        <color rgb="FF006C31"/>
      </bottom>
      <diagonal/>
    </border>
    <border>
      <left style="thin">
        <color rgb="FF006C31"/>
      </left>
      <right style="thin">
        <color rgb="FF006C31"/>
      </right>
      <top/>
      <bottom style="thin">
        <color theme="1"/>
      </bottom>
      <diagonal/>
    </border>
    <border>
      <left style="thin">
        <color rgb="FF006C31"/>
      </left>
      <right style="medium">
        <color rgb="FF006C31"/>
      </right>
      <top/>
      <bottom/>
      <diagonal/>
    </border>
    <border>
      <left style="medium">
        <color theme="4" tint="-0.24994659260841701"/>
      </left>
      <right style="thin">
        <color theme="4"/>
      </right>
      <top/>
      <bottom style="thin">
        <color theme="1"/>
      </bottom>
      <diagonal/>
    </border>
    <border>
      <left style="thin">
        <color theme="4"/>
      </left>
      <right style="thin">
        <color theme="4"/>
      </right>
      <top/>
      <bottom style="thin">
        <color theme="1"/>
      </bottom>
      <diagonal/>
    </border>
    <border>
      <left style="thin">
        <color indexed="64"/>
      </left>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rgb="FF006C31"/>
      </left>
      <right style="thin">
        <color rgb="FF006C31"/>
      </right>
      <top style="thin">
        <color rgb="FF006C31"/>
      </top>
      <bottom style="thin">
        <color rgb="FF006C31"/>
      </bottom>
      <diagonal/>
    </border>
    <border>
      <left style="thin">
        <color rgb="FF006C31"/>
      </left>
      <right style="thin">
        <color rgb="FF006C31"/>
      </right>
      <top style="thin">
        <color theme="1"/>
      </top>
      <bottom style="thin">
        <color theme="1"/>
      </bottom>
      <diagonal/>
    </border>
    <border>
      <left style="medium">
        <color theme="4" tint="-0.24994659260841701"/>
      </left>
      <right style="thin">
        <color theme="4"/>
      </right>
      <top style="thin">
        <color theme="1"/>
      </top>
      <bottom style="thin">
        <color theme="1"/>
      </bottom>
      <diagonal/>
    </border>
    <border>
      <left style="thin">
        <color theme="4"/>
      </left>
      <right style="thin">
        <color theme="4"/>
      </right>
      <top style="thin">
        <color theme="1"/>
      </top>
      <bottom style="thin">
        <color theme="1"/>
      </bottom>
      <diagonal/>
    </border>
    <border>
      <left style="thin">
        <color rgb="FF006C31"/>
      </left>
      <right style="thin">
        <color rgb="FF006C31"/>
      </right>
      <top style="thin">
        <color theme="1"/>
      </top>
      <bottom style="thin">
        <color rgb="FF006C31"/>
      </bottom>
      <diagonal/>
    </border>
    <border>
      <left style="medium">
        <color theme="4" tint="-0.24994659260841701"/>
      </left>
      <right style="thin">
        <color theme="4"/>
      </right>
      <top style="thin">
        <color theme="1"/>
      </top>
      <bottom style="thin">
        <color theme="4" tint="-0.24994659260841701"/>
      </bottom>
      <diagonal/>
    </border>
    <border>
      <left style="thin">
        <color theme="4"/>
      </left>
      <right style="thin">
        <color theme="4"/>
      </right>
      <top style="thin">
        <color theme="1"/>
      </top>
      <bottom style="thin">
        <color theme="4" tint="-0.24994659260841701"/>
      </bottom>
      <diagonal/>
    </border>
    <border>
      <left style="thin">
        <color theme="4"/>
      </left>
      <right style="medium">
        <color theme="4" tint="-0.24994659260841701"/>
      </right>
      <top/>
      <bottom/>
      <diagonal/>
    </border>
    <border>
      <left style="thin">
        <color rgb="FF006C31"/>
      </left>
      <right style="medium">
        <color rgb="FF006C31"/>
      </right>
      <top/>
      <bottom style="thin">
        <color rgb="FF006C31"/>
      </bottom>
      <diagonal/>
    </border>
    <border>
      <left style="thin">
        <color theme="4"/>
      </left>
      <right style="medium">
        <color theme="4" tint="-0.24994659260841701"/>
      </right>
      <top/>
      <bottom style="thin">
        <color theme="4"/>
      </bottom>
      <diagonal/>
    </border>
    <border>
      <left/>
      <right/>
      <top style="thin">
        <color theme="1"/>
      </top>
      <bottom style="thin">
        <color theme="1"/>
      </bottom>
      <diagonal/>
    </border>
    <border>
      <left/>
      <right style="medium">
        <color theme="1"/>
      </right>
      <top style="thin">
        <color theme="1"/>
      </top>
      <bottom style="thin">
        <color theme="1"/>
      </bottom>
      <diagonal/>
    </border>
    <border>
      <left style="medium">
        <color rgb="FF006C31"/>
      </left>
      <right/>
      <top style="thin">
        <color rgb="FF006C31"/>
      </top>
      <bottom style="thin">
        <color rgb="FF006C31"/>
      </bottom>
      <diagonal/>
    </border>
    <border>
      <left/>
      <right style="thin">
        <color rgb="FF006C31"/>
      </right>
      <top style="thin">
        <color theme="1"/>
      </top>
      <bottom style="thin">
        <color theme="1"/>
      </bottom>
      <diagonal/>
    </border>
    <border>
      <left style="medium">
        <color theme="4" tint="-0.24994659260841701"/>
      </left>
      <right/>
      <top style="thin">
        <color theme="1"/>
      </top>
      <bottom style="thin">
        <color theme="1"/>
      </bottom>
      <diagonal/>
    </border>
    <border>
      <left/>
      <right style="thin">
        <color theme="4"/>
      </right>
      <top style="thin">
        <color theme="1"/>
      </top>
      <bottom style="thin">
        <color theme="1"/>
      </bottom>
      <diagonal/>
    </border>
    <border>
      <left style="medium">
        <color theme="1"/>
      </left>
      <right style="thin">
        <color theme="1"/>
      </right>
      <top style="thin">
        <color theme="1"/>
      </top>
      <bottom/>
      <diagonal/>
    </border>
    <border>
      <left style="thin">
        <color theme="1"/>
      </left>
      <right style="medium">
        <color theme="1"/>
      </right>
      <top style="thin">
        <color theme="1"/>
      </top>
      <bottom style="double">
        <color auto="1"/>
      </bottom>
      <diagonal/>
    </border>
    <border>
      <left style="medium">
        <color rgb="FF006C31"/>
      </left>
      <right style="thin">
        <color rgb="FF006C31"/>
      </right>
      <top style="thin">
        <color rgb="FF006C31"/>
      </top>
      <bottom style="double">
        <color theme="1"/>
      </bottom>
      <diagonal/>
    </border>
    <border>
      <left/>
      <right style="thin">
        <color rgb="FF006C31"/>
      </right>
      <top style="thin">
        <color theme="1"/>
      </top>
      <bottom/>
      <diagonal/>
    </border>
    <border>
      <left style="thin">
        <color rgb="FF006C31"/>
      </left>
      <right style="medium">
        <color rgb="FF006C31"/>
      </right>
      <top style="medium">
        <color rgb="FF006C31"/>
      </top>
      <bottom style="double">
        <color rgb="FF006C31"/>
      </bottom>
      <diagonal/>
    </border>
    <border>
      <left style="medium">
        <color theme="4" tint="-0.24994659260841701"/>
      </left>
      <right style="thin">
        <color theme="4"/>
      </right>
      <top style="thin">
        <color theme="1"/>
      </top>
      <bottom/>
      <diagonal/>
    </border>
    <border>
      <left style="thin">
        <color theme="4"/>
      </left>
      <right style="thin">
        <color theme="4" tint="-0.24994659260841701"/>
      </right>
      <top style="thin">
        <color theme="1"/>
      </top>
      <bottom/>
      <diagonal/>
    </border>
    <border>
      <left style="thin">
        <color theme="4" tint="-0.24994659260841701"/>
      </left>
      <right style="medium">
        <color theme="4" tint="-0.24994659260841701"/>
      </right>
      <top style="medium">
        <color theme="4" tint="-0.24994659260841701"/>
      </top>
      <bottom/>
      <diagonal/>
    </border>
    <border>
      <left style="medium">
        <color theme="1"/>
      </left>
      <right/>
      <top/>
      <bottom style="medium">
        <color theme="1"/>
      </bottom>
      <diagonal/>
    </border>
    <border>
      <left/>
      <right/>
      <top style="thin">
        <color theme="1"/>
      </top>
      <bottom style="medium">
        <color theme="1"/>
      </bottom>
      <diagonal/>
    </border>
    <border>
      <left/>
      <right/>
      <top style="double">
        <color auto="1"/>
      </top>
      <bottom style="medium">
        <color theme="1"/>
      </bottom>
      <diagonal/>
    </border>
    <border>
      <left/>
      <right/>
      <top style="thin">
        <color rgb="FF006C31"/>
      </top>
      <bottom style="medium">
        <color theme="1"/>
      </bottom>
      <diagonal/>
    </border>
    <border>
      <left/>
      <right/>
      <top style="medium">
        <color theme="4" tint="-0.24994659260841701"/>
      </top>
      <bottom style="medium">
        <color theme="1"/>
      </bottom>
      <diagonal/>
    </border>
    <border>
      <left/>
      <right style="medium">
        <color theme="4" tint="-0.24994659260841701"/>
      </right>
      <top style="medium">
        <color theme="4" tint="-0.24994659260841701"/>
      </top>
      <bottom style="medium">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rgb="FF006C31"/>
      </left>
      <right style="thin">
        <color rgb="FF006C31"/>
      </right>
      <top style="medium">
        <color theme="1"/>
      </top>
      <bottom style="thin">
        <color rgb="FF006C31"/>
      </bottom>
      <diagonal/>
    </border>
    <border>
      <left/>
      <right style="thin">
        <color rgb="FF006C31"/>
      </right>
      <top style="medium">
        <color theme="1"/>
      </top>
      <bottom/>
      <diagonal/>
    </border>
    <border>
      <left style="thin">
        <color rgb="FF006C31"/>
      </left>
      <right style="medium">
        <color rgb="FF006C31"/>
      </right>
      <top style="medium">
        <color theme="1"/>
      </top>
      <bottom style="thin">
        <color theme="1"/>
      </bottom>
      <diagonal/>
    </border>
    <border>
      <left/>
      <right style="medium">
        <color theme="1"/>
      </right>
      <top style="medium">
        <color theme="1"/>
      </top>
      <bottom style="thin">
        <color theme="1"/>
      </bottom>
      <diagonal/>
    </border>
    <border>
      <left style="medium">
        <color theme="1"/>
      </left>
      <right/>
      <top/>
      <bottom/>
      <diagonal/>
    </border>
    <border>
      <left style="medium">
        <color rgb="FF006C31"/>
      </left>
      <right style="thin">
        <color rgb="FF006C31"/>
      </right>
      <top/>
      <bottom style="double">
        <color theme="1"/>
      </bottom>
      <diagonal/>
    </border>
    <border>
      <left/>
      <right style="medium">
        <color theme="1"/>
      </right>
      <top/>
      <bottom/>
      <diagonal/>
    </border>
    <border>
      <left/>
      <right style="medium">
        <color theme="4" tint="-0.24994659260841701"/>
      </right>
      <top/>
      <bottom style="medium">
        <color theme="1"/>
      </bottom>
      <diagonal/>
    </border>
    <border>
      <left/>
      <right style="thin">
        <color rgb="FF006C31"/>
      </right>
      <top style="medium">
        <color theme="1"/>
      </top>
      <bottom style="thin">
        <color theme="1"/>
      </bottom>
      <diagonal/>
    </border>
    <border>
      <left/>
      <right style="medium">
        <color theme="1"/>
      </right>
      <top/>
      <bottom style="medium">
        <color theme="1"/>
      </bottom>
      <diagonal/>
    </border>
    <border>
      <left style="medium">
        <color theme="1"/>
      </left>
      <right style="thin">
        <color theme="1"/>
      </right>
      <top/>
      <bottom style="thin">
        <color auto="1"/>
      </bottom>
      <diagonal/>
    </border>
    <border>
      <left/>
      <right style="thin">
        <color rgb="FF006C31"/>
      </right>
      <top/>
      <bottom style="thin">
        <color theme="1"/>
      </bottom>
      <diagonal/>
    </border>
    <border>
      <left style="medium">
        <color theme="1"/>
      </left>
      <right style="thin">
        <color theme="1"/>
      </right>
      <top style="thin">
        <color auto="1"/>
      </top>
      <bottom style="thin">
        <color auto="1"/>
      </bottom>
      <diagonal/>
    </border>
    <border>
      <left style="medium">
        <color theme="4" tint="-0.24994659260841701"/>
      </left>
      <right style="thin">
        <color theme="4"/>
      </right>
      <top style="thin">
        <color theme="1"/>
      </top>
      <bottom style="double">
        <color theme="4" tint="-0.24994659260841701"/>
      </bottom>
      <diagonal/>
    </border>
    <border>
      <left style="thin">
        <color theme="4" tint="-0.24994659260841701"/>
      </left>
      <right style="medium">
        <color theme="4" tint="-0.24994659260841701"/>
      </right>
      <top style="thin">
        <color theme="1"/>
      </top>
      <bottom style="double">
        <color theme="4" tint="-0.24994659260841701"/>
      </bottom>
      <diagonal/>
    </border>
    <border>
      <left/>
      <right style="medium">
        <color theme="1"/>
      </right>
      <top style="double">
        <color theme="4" tint="-0.24994659260841701"/>
      </top>
      <bottom style="medium">
        <color theme="1"/>
      </bottom>
      <diagonal/>
    </border>
    <border>
      <left style="medium">
        <color theme="1"/>
      </left>
      <right/>
      <top style="medium">
        <color theme="1"/>
      </top>
      <bottom/>
      <diagonal/>
    </border>
    <border>
      <left style="thin">
        <color rgb="FF006C31"/>
      </left>
      <right style="medium">
        <color rgb="FF006C31"/>
      </right>
      <top/>
      <bottom style="medium">
        <color theme="1"/>
      </bottom>
      <diagonal/>
    </border>
    <border>
      <left/>
      <right style="medium">
        <color theme="1"/>
      </right>
      <top style="medium">
        <color theme="1"/>
      </top>
      <bottom/>
      <diagonal/>
    </border>
    <border>
      <left/>
      <right style="medium">
        <color rgb="FF006C31"/>
      </right>
      <top style="double">
        <color rgb="FF006C31"/>
      </top>
      <bottom/>
      <diagonal/>
    </border>
    <border>
      <left/>
      <right style="medium">
        <color theme="1"/>
      </right>
      <top/>
      <bottom style="thin">
        <color theme="1"/>
      </bottom>
      <diagonal/>
    </border>
    <border>
      <left style="medium">
        <color rgb="FF006C31"/>
      </left>
      <right/>
      <top/>
      <bottom style="medium">
        <color rgb="FF006C31"/>
      </bottom>
      <diagonal/>
    </border>
    <border>
      <left/>
      <right/>
      <top/>
      <bottom style="medium">
        <color rgb="FF006C31"/>
      </bottom>
      <diagonal/>
    </border>
    <border>
      <left/>
      <right style="medium">
        <color rgb="FF006C31"/>
      </right>
      <top/>
      <bottom style="medium">
        <color rgb="FF006C31"/>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xf numFmtId="0" fontId="1" fillId="0" borderId="0"/>
    <xf numFmtId="0" fontId="11" fillId="0" borderId="0"/>
    <xf numFmtId="0" fontId="11" fillId="0" borderId="0"/>
  </cellStyleXfs>
  <cellXfs count="312">
    <xf numFmtId="0" fontId="0" fillId="0" borderId="0" xfId="0"/>
    <xf numFmtId="0" fontId="0" fillId="0" borderId="0" xfId="0" applyAlignment="1">
      <alignment vertical="center"/>
    </xf>
    <xf numFmtId="0" fontId="2" fillId="0" borderId="0" xfId="0" applyFont="1"/>
    <xf numFmtId="0" fontId="0" fillId="0" borderId="0" xfId="0" applyAlignment="1">
      <alignment horizontal="right"/>
    </xf>
    <xf numFmtId="0" fontId="3" fillId="0" borderId="0" xfId="0" applyFont="1" applyAlignment="1">
      <alignment horizontal="center"/>
    </xf>
    <xf numFmtId="0" fontId="4" fillId="0" borderId="0" xfId="0" applyFont="1"/>
    <xf numFmtId="0" fontId="3" fillId="0" borderId="0" xfId="0" applyFont="1" applyAlignment="1">
      <alignment horizontal="right"/>
    </xf>
    <xf numFmtId="0" fontId="5" fillId="0" borderId="0" xfId="0" applyFont="1"/>
    <xf numFmtId="0" fontId="6" fillId="0" borderId="0" xfId="0" applyFont="1" applyAlignment="1">
      <alignment horizontal="center"/>
    </xf>
    <xf numFmtId="0" fontId="0" fillId="0" borderId="0" xfId="0" applyAlignment="1">
      <alignment horizontal="right" vertical="center"/>
    </xf>
    <xf numFmtId="0" fontId="3" fillId="0" borderId="0" xfId="0" applyFont="1" applyAlignment="1">
      <alignment horizontal="center" vertical="center"/>
    </xf>
    <xf numFmtId="0" fontId="7" fillId="3" borderId="4" xfId="0" applyFont="1" applyFill="1" applyBorder="1" applyAlignment="1">
      <alignment horizontal="right"/>
    </xf>
    <xf numFmtId="0" fontId="8" fillId="0" borderId="0" xfId="0" applyFont="1" applyBorder="1"/>
    <xf numFmtId="164" fontId="7" fillId="3" borderId="5" xfId="0" applyNumberFormat="1" applyFont="1" applyFill="1" applyBorder="1" applyAlignment="1">
      <alignment horizontal="right"/>
    </xf>
    <xf numFmtId="164" fontId="7" fillId="3" borderId="0" xfId="0" applyNumberFormat="1" applyFont="1" applyFill="1" applyBorder="1" applyAlignment="1">
      <alignment horizontal="right"/>
    </xf>
    <xf numFmtId="0" fontId="7" fillId="3" borderId="6" xfId="0" applyFont="1" applyFill="1" applyBorder="1" applyAlignment="1">
      <alignment horizontal="left"/>
    </xf>
    <xf numFmtId="0" fontId="8" fillId="0" borderId="7" xfId="0" applyFont="1" applyBorder="1"/>
    <xf numFmtId="164" fontId="7" fillId="3" borderId="8" xfId="0" applyNumberFormat="1" applyFont="1" applyFill="1" applyBorder="1" applyAlignment="1">
      <alignment horizontal="right"/>
    </xf>
    <xf numFmtId="164" fontId="7" fillId="3" borderId="7" xfId="0" applyNumberFormat="1" applyFont="1" applyFill="1" applyBorder="1" applyAlignment="1">
      <alignment horizontal="right"/>
    </xf>
    <xf numFmtId="0" fontId="9" fillId="0" borderId="0" xfId="0" applyFont="1" applyAlignment="1">
      <alignment horizontal="center" vertical="center"/>
    </xf>
    <xf numFmtId="0" fontId="3" fillId="0" borderId="9" xfId="0" applyFont="1" applyBorder="1" applyAlignment="1">
      <alignment vertical="center"/>
    </xf>
    <xf numFmtId="0" fontId="8" fillId="0" borderId="10" xfId="0" applyFont="1" applyBorder="1"/>
    <xf numFmtId="165" fontId="10" fillId="4" borderId="11" xfId="0" applyNumberFormat="1" applyFont="1" applyFill="1" applyBorder="1" applyAlignment="1">
      <alignment horizontal="right"/>
    </xf>
    <xf numFmtId="165" fontId="3" fillId="0" borderId="10" xfId="0" applyNumberFormat="1" applyFont="1" applyBorder="1" applyAlignment="1">
      <alignment horizontal="right"/>
    </xf>
    <xf numFmtId="0" fontId="11" fillId="0" borderId="0" xfId="0" quotePrefix="1" applyFont="1" applyAlignment="1">
      <alignment horizontal="left"/>
    </xf>
    <xf numFmtId="0" fontId="12" fillId="0" borderId="12" xfId="0" applyFont="1" applyBorder="1" applyAlignment="1">
      <alignment vertical="center" wrapText="1"/>
    </xf>
    <xf numFmtId="0" fontId="8" fillId="0" borderId="13" xfId="0" applyFont="1" applyBorder="1"/>
    <xf numFmtId="43" fontId="3" fillId="0" borderId="14" xfId="0" applyNumberFormat="1" applyFont="1" applyBorder="1" applyAlignment="1">
      <alignment horizontal="right"/>
    </xf>
    <xf numFmtId="0" fontId="3" fillId="0" borderId="13" xfId="0" applyFont="1" applyBorder="1" applyAlignment="1">
      <alignment horizontal="right"/>
    </xf>
    <xf numFmtId="166" fontId="13" fillId="5" borderId="14" xfId="0" applyNumberFormat="1" applyFont="1" applyFill="1" applyBorder="1" applyAlignment="1">
      <alignment horizontal="right"/>
    </xf>
    <xf numFmtId="0" fontId="7" fillId="6" borderId="6" xfId="0" applyFont="1" applyFill="1" applyBorder="1" applyAlignment="1">
      <alignment vertical="center"/>
    </xf>
    <xf numFmtId="0" fontId="8" fillId="6" borderId="7" xfId="0" applyFont="1" applyFill="1" applyBorder="1"/>
    <xf numFmtId="165" fontId="7" fillId="6" borderId="8" xfId="0" applyNumberFormat="1" applyFont="1" applyFill="1" applyBorder="1" applyAlignment="1">
      <alignment horizontal="right"/>
    </xf>
    <xf numFmtId="165" fontId="3" fillId="6" borderId="7" xfId="0" applyNumberFormat="1" applyFont="1" applyFill="1" applyBorder="1" applyAlignment="1">
      <alignment horizontal="right"/>
    </xf>
    <xf numFmtId="0" fontId="7" fillId="0" borderId="0" xfId="0" applyFont="1" applyBorder="1" applyAlignment="1">
      <alignment vertical="center"/>
    </xf>
    <xf numFmtId="165" fontId="7" fillId="0" borderId="0" xfId="0" applyNumberFormat="1" applyFont="1" applyBorder="1" applyAlignment="1">
      <alignment horizontal="right"/>
    </xf>
    <xf numFmtId="165" fontId="3" fillId="0" borderId="0" xfId="0" applyNumberFormat="1" applyFont="1" applyBorder="1" applyAlignment="1">
      <alignment horizontal="right"/>
    </xf>
    <xf numFmtId="0" fontId="0" fillId="0" borderId="0" xfId="0" applyAlignment="1">
      <alignment horizontal="left"/>
    </xf>
    <xf numFmtId="0" fontId="7" fillId="6" borderId="1" xfId="0" applyFont="1" applyFill="1" applyBorder="1" applyAlignment="1">
      <alignment vertical="center"/>
    </xf>
    <xf numFmtId="0" fontId="8" fillId="6" borderId="2" xfId="0" applyFont="1" applyFill="1" applyBorder="1"/>
    <xf numFmtId="165" fontId="7" fillId="6" borderId="2" xfId="0" applyNumberFormat="1" applyFont="1" applyFill="1" applyBorder="1" applyAlignment="1">
      <alignment horizontal="right"/>
    </xf>
    <xf numFmtId="165" fontId="3" fillId="6" borderId="2" xfId="0" applyNumberFormat="1" applyFont="1" applyFill="1" applyBorder="1" applyAlignment="1">
      <alignment horizontal="right"/>
    </xf>
    <xf numFmtId="165" fontId="7" fillId="6" borderId="15" xfId="0" applyNumberFormat="1" applyFont="1" applyFill="1" applyBorder="1" applyAlignment="1">
      <alignment horizontal="right"/>
    </xf>
    <xf numFmtId="0" fontId="0" fillId="0" borderId="0" xfId="0" applyBorder="1" applyAlignment="1">
      <alignment horizontal="right"/>
    </xf>
    <xf numFmtId="0" fontId="7" fillId="3" borderId="16" xfId="0" applyFont="1" applyFill="1" applyBorder="1"/>
    <xf numFmtId="0" fontId="8" fillId="3" borderId="17" xfId="0" applyFont="1" applyFill="1" applyBorder="1"/>
    <xf numFmtId="164" fontId="7" fillId="7" borderId="18" xfId="0" applyNumberFormat="1" applyFont="1" applyFill="1" applyBorder="1" applyAlignment="1">
      <alignment horizontal="right"/>
    </xf>
    <xf numFmtId="0" fontId="15" fillId="0" borderId="0" xfId="0" applyFont="1" applyBorder="1" applyAlignment="1">
      <alignment horizontal="right"/>
    </xf>
    <xf numFmtId="0" fontId="3" fillId="0" borderId="0" xfId="0" applyFont="1" applyBorder="1" applyAlignment="1">
      <alignment horizontal="right"/>
    </xf>
    <xf numFmtId="0" fontId="7" fillId="3" borderId="25" xfId="0" applyFont="1" applyFill="1" applyBorder="1"/>
    <xf numFmtId="0" fontId="8" fillId="3" borderId="26" xfId="0" applyFont="1" applyFill="1" applyBorder="1"/>
    <xf numFmtId="0" fontId="7" fillId="7" borderId="27" xfId="0" applyFont="1" applyFill="1" applyBorder="1" applyAlignment="1">
      <alignment horizontal="right"/>
    </xf>
    <xf numFmtId="164" fontId="7" fillId="7" borderId="27" xfId="0" applyNumberFormat="1" applyFont="1" applyFill="1" applyBorder="1" applyAlignment="1">
      <alignment horizontal="right"/>
    </xf>
    <xf numFmtId="0" fontId="10" fillId="3" borderId="36" xfId="0" applyFont="1" applyFill="1" applyBorder="1" applyAlignment="1">
      <alignment horizontal="center"/>
    </xf>
    <xf numFmtId="0" fontId="13" fillId="5" borderId="38" xfId="0" applyFont="1" applyFill="1" applyBorder="1" applyAlignment="1">
      <alignment horizontal="center"/>
    </xf>
    <xf numFmtId="164" fontId="26" fillId="7" borderId="27" xfId="0" applyNumberFormat="1" applyFont="1" applyFill="1" applyBorder="1" applyAlignment="1">
      <alignment horizontal="right"/>
    </xf>
    <xf numFmtId="0" fontId="21" fillId="3" borderId="39" xfId="0" applyFont="1" applyFill="1" applyBorder="1" applyAlignment="1">
      <alignment horizontal="right"/>
    </xf>
    <xf numFmtId="0" fontId="22" fillId="3" borderId="0" xfId="0" applyFont="1" applyFill="1" applyBorder="1" applyAlignment="1">
      <alignment horizontal="right"/>
    </xf>
    <xf numFmtId="0" fontId="23" fillId="5" borderId="40" xfId="0" applyFont="1" applyFill="1" applyBorder="1" applyAlignment="1">
      <alignment horizontal="right" wrapText="1"/>
    </xf>
    <xf numFmtId="0" fontId="23" fillId="5" borderId="0" xfId="0" applyFont="1" applyFill="1" applyBorder="1" applyAlignment="1">
      <alignment horizontal="right" wrapText="1"/>
    </xf>
    <xf numFmtId="0" fontId="15" fillId="3" borderId="26" xfId="0" applyFont="1" applyFill="1" applyBorder="1" applyAlignment="1">
      <alignment horizontal="center"/>
    </xf>
    <xf numFmtId="164" fontId="11" fillId="3" borderId="41" xfId="0" applyNumberFormat="1" applyFont="1" applyFill="1" applyBorder="1" applyAlignment="1">
      <alignment horizontal="right"/>
    </xf>
    <xf numFmtId="164" fontId="12" fillId="3" borderId="42" xfId="0" quotePrefix="1" applyNumberFormat="1" applyFont="1" applyFill="1" applyBorder="1" applyAlignment="1">
      <alignment horizontal="right"/>
    </xf>
    <xf numFmtId="164" fontId="12" fillId="3" borderId="43" xfId="0" applyNumberFormat="1" applyFont="1" applyFill="1" applyBorder="1" applyAlignment="1">
      <alignment horizontal="right"/>
    </xf>
    <xf numFmtId="0" fontId="27" fillId="0" borderId="0" xfId="0" applyFont="1" applyBorder="1" applyAlignment="1">
      <alignment horizontal="right"/>
    </xf>
    <xf numFmtId="164" fontId="11" fillId="5" borderId="44" xfId="0" applyNumberFormat="1" applyFont="1" applyFill="1" applyBorder="1" applyAlignment="1">
      <alignment horizontal="right"/>
    </xf>
    <xf numFmtId="164" fontId="12" fillId="5" borderId="45" xfId="0" quotePrefix="1" applyNumberFormat="1" applyFont="1" applyFill="1" applyBorder="1" applyAlignment="1">
      <alignment horizontal="right"/>
    </xf>
    <xf numFmtId="164" fontId="12" fillId="5" borderId="46" xfId="0" applyNumberFormat="1" applyFont="1" applyFill="1" applyBorder="1" applyAlignment="1">
      <alignment horizontal="right"/>
    </xf>
    <xf numFmtId="0" fontId="3" fillId="0" borderId="50" xfId="3" applyFont="1" applyFill="1" applyBorder="1" applyProtection="1"/>
    <xf numFmtId="0" fontId="3" fillId="0" borderId="51" xfId="0" applyFont="1" applyBorder="1" applyAlignment="1" applyProtection="1">
      <alignment horizontal="center"/>
    </xf>
    <xf numFmtId="165" fontId="3" fillId="7" borderId="52" xfId="0" applyNumberFormat="1" applyFont="1" applyFill="1" applyBorder="1" applyAlignment="1">
      <alignment horizontal="right"/>
    </xf>
    <xf numFmtId="165" fontId="3" fillId="0" borderId="0" xfId="0" applyNumberFormat="1" applyFont="1" applyFill="1" applyBorder="1" applyAlignment="1">
      <alignment horizontal="right"/>
    </xf>
    <xf numFmtId="165" fontId="28" fillId="0" borderId="53" xfId="0" applyNumberFormat="1" applyFont="1" applyBorder="1" applyAlignment="1">
      <alignment horizontal="right"/>
    </xf>
    <xf numFmtId="167" fontId="8" fillId="0" borderId="54" xfId="0" applyNumberFormat="1" applyFont="1" applyBorder="1" applyAlignment="1">
      <alignment horizontal="right"/>
    </xf>
    <xf numFmtId="43" fontId="8" fillId="9" borderId="55" xfId="0" applyNumberFormat="1" applyFont="1" applyFill="1" applyBorder="1" applyAlignment="1">
      <alignment horizontal="right"/>
    </xf>
    <xf numFmtId="9" fontId="8" fillId="0" borderId="0" xfId="0" applyNumberFormat="1" applyFont="1" applyBorder="1" applyAlignment="1">
      <alignment horizontal="right"/>
    </xf>
    <xf numFmtId="165" fontId="29" fillId="0" borderId="56" xfId="0" applyNumberFormat="1" applyFont="1" applyBorder="1" applyAlignment="1">
      <alignment horizontal="right"/>
    </xf>
    <xf numFmtId="167" fontId="8" fillId="0" borderId="57" xfId="0" applyNumberFormat="1" applyFont="1" applyBorder="1" applyAlignment="1">
      <alignment horizontal="right"/>
    </xf>
    <xf numFmtId="43" fontId="8" fillId="10" borderId="38" xfId="0" applyNumberFormat="1" applyFont="1" applyFill="1" applyBorder="1" applyAlignment="1">
      <alignment horizontal="right"/>
    </xf>
    <xf numFmtId="0" fontId="3" fillId="0" borderId="58" xfId="0" applyFont="1" applyBorder="1" applyAlignment="1" applyProtection="1">
      <alignment horizontal="center"/>
    </xf>
    <xf numFmtId="166" fontId="3" fillId="7" borderId="59" xfId="0" applyNumberFormat="1" applyFont="1" applyFill="1" applyBorder="1" applyAlignment="1">
      <alignment horizontal="right"/>
    </xf>
    <xf numFmtId="166" fontId="3" fillId="0" borderId="0" xfId="0" applyNumberFormat="1" applyFont="1" applyFill="1" applyBorder="1" applyAlignment="1">
      <alignment horizontal="right"/>
    </xf>
    <xf numFmtId="166" fontId="28" fillId="0" borderId="60" xfId="0" applyNumberFormat="1" applyFont="1" applyBorder="1" applyAlignment="1">
      <alignment horizontal="right"/>
    </xf>
    <xf numFmtId="167" fontId="8" fillId="0" borderId="61" xfId="0" applyNumberFormat="1" applyFont="1" applyBorder="1" applyAlignment="1">
      <alignment horizontal="right"/>
    </xf>
    <xf numFmtId="166" fontId="29" fillId="0" borderId="62" xfId="0" applyNumberFormat="1" applyFont="1" applyBorder="1" applyAlignment="1">
      <alignment horizontal="right"/>
    </xf>
    <xf numFmtId="167" fontId="8" fillId="0" borderId="63" xfId="0" applyNumberFormat="1" applyFont="1" applyBorder="1" applyAlignment="1">
      <alignment horizontal="right"/>
    </xf>
    <xf numFmtId="167" fontId="8" fillId="0" borderId="64" xfId="0" applyNumberFormat="1" applyFont="1" applyBorder="1" applyAlignment="1">
      <alignment horizontal="right"/>
    </xf>
    <xf numFmtId="166" fontId="29" fillId="0" borderId="65" xfId="0" applyNumberFormat="1" applyFont="1" applyBorder="1" applyAlignment="1">
      <alignment horizontal="right"/>
    </xf>
    <xf numFmtId="167" fontId="8" fillId="0" borderId="66" xfId="0" applyNumberFormat="1" applyFont="1" applyBorder="1" applyAlignment="1">
      <alignment horizontal="right"/>
    </xf>
    <xf numFmtId="43" fontId="8" fillId="10" borderId="67" xfId="0" applyNumberFormat="1" applyFont="1" applyFill="1" applyBorder="1" applyAlignment="1">
      <alignment horizontal="right"/>
    </xf>
    <xf numFmtId="166" fontId="28" fillId="0" borderId="53" xfId="0" applyNumberFormat="1" applyFont="1" applyBorder="1" applyAlignment="1">
      <alignment horizontal="right"/>
    </xf>
    <xf numFmtId="166" fontId="29" fillId="0" borderId="56" xfId="0" applyNumberFormat="1" applyFont="1" applyBorder="1" applyAlignment="1">
      <alignment horizontal="right"/>
    </xf>
    <xf numFmtId="43" fontId="8" fillId="9" borderId="68" xfId="0" applyNumberFormat="1" applyFont="1" applyFill="1" applyBorder="1" applyAlignment="1">
      <alignment horizontal="right"/>
    </xf>
    <xf numFmtId="43" fontId="8" fillId="10" borderId="69" xfId="0" applyNumberFormat="1" applyFont="1" applyFill="1" applyBorder="1" applyAlignment="1">
      <alignment horizontal="right"/>
    </xf>
    <xf numFmtId="0" fontId="3" fillId="0" borderId="70" xfId="0" applyFont="1" applyBorder="1" applyAlignment="1" applyProtection="1">
      <alignment horizontal="center"/>
    </xf>
    <xf numFmtId="166" fontId="3" fillId="0" borderId="71" xfId="0" applyNumberFormat="1" applyFont="1" applyFill="1" applyBorder="1" applyAlignment="1">
      <alignment horizontal="right"/>
    </xf>
    <xf numFmtId="166" fontId="28" fillId="0" borderId="72" xfId="0" applyNumberFormat="1" applyFont="1" applyBorder="1" applyAlignment="1">
      <alignment horizontal="right"/>
    </xf>
    <xf numFmtId="167" fontId="8" fillId="0" borderId="73" xfId="0" applyNumberFormat="1" applyFont="1" applyBorder="1" applyAlignment="1">
      <alignment horizontal="right"/>
    </xf>
    <xf numFmtId="166" fontId="29" fillId="0" borderId="74" xfId="0" applyNumberFormat="1" applyFont="1" applyBorder="1" applyAlignment="1">
      <alignment horizontal="right"/>
    </xf>
    <xf numFmtId="167" fontId="8" fillId="0" borderId="75" xfId="0" applyNumberFormat="1" applyFont="1" applyBorder="1" applyAlignment="1">
      <alignment horizontal="right"/>
    </xf>
    <xf numFmtId="0" fontId="3" fillId="0" borderId="58" xfId="0" applyFont="1" applyFill="1" applyBorder="1" applyAlignment="1">
      <alignment horizontal="center"/>
    </xf>
    <xf numFmtId="0" fontId="7" fillId="0" borderId="76" xfId="4" applyFont="1" applyFill="1" applyBorder="1" applyProtection="1"/>
    <xf numFmtId="165" fontId="3" fillId="7" borderId="77" xfId="0" applyNumberFormat="1" applyFont="1" applyFill="1" applyBorder="1" applyAlignment="1">
      <alignment horizontal="right"/>
    </xf>
    <xf numFmtId="165" fontId="28" fillId="0" borderId="78" xfId="0" applyNumberFormat="1" applyFont="1" applyBorder="1" applyAlignment="1">
      <alignment horizontal="right"/>
    </xf>
    <xf numFmtId="165" fontId="15" fillId="0" borderId="79" xfId="0" applyNumberFormat="1" applyFont="1" applyBorder="1" applyAlignment="1">
      <alignment horizontal="right"/>
    </xf>
    <xf numFmtId="165" fontId="10" fillId="4" borderId="80" xfId="0" applyNumberFormat="1" applyFont="1" applyFill="1" applyBorder="1" applyAlignment="1">
      <alignment horizontal="right"/>
    </xf>
    <xf numFmtId="165" fontId="8" fillId="0" borderId="0" xfId="0" applyNumberFormat="1" applyFont="1" applyBorder="1" applyAlignment="1">
      <alignment horizontal="right"/>
    </xf>
    <xf numFmtId="165" fontId="13" fillId="0" borderId="81" xfId="0" applyNumberFormat="1" applyFont="1" applyBorder="1" applyAlignment="1">
      <alignment horizontal="right"/>
    </xf>
    <xf numFmtId="167" fontId="15" fillId="0" borderId="82" xfId="0" applyNumberFormat="1" applyFont="1" applyBorder="1" applyAlignment="1">
      <alignment horizontal="right"/>
    </xf>
    <xf numFmtId="165" fontId="13" fillId="5" borderId="83" xfId="0" applyNumberFormat="1" applyFont="1" applyFill="1" applyBorder="1" applyAlignment="1">
      <alignment horizontal="right"/>
    </xf>
    <xf numFmtId="0" fontId="7" fillId="0" borderId="84" xfId="4" applyFont="1" applyFill="1" applyBorder="1" applyProtection="1"/>
    <xf numFmtId="0" fontId="3" fillId="0" borderId="85" xfId="0" applyFont="1" applyFill="1" applyBorder="1" applyAlignment="1">
      <alignment horizontal="center"/>
    </xf>
    <xf numFmtId="40" fontId="3" fillId="0" borderId="86" xfId="0" applyNumberFormat="1" applyFont="1" applyFill="1" applyBorder="1" applyAlignment="1">
      <alignment horizontal="right"/>
    </xf>
    <xf numFmtId="43" fontId="3" fillId="0" borderId="35" xfId="0" applyNumberFormat="1" applyFont="1" applyFill="1" applyBorder="1" applyAlignment="1">
      <alignment horizontal="right"/>
    </xf>
    <xf numFmtId="40" fontId="28" fillId="0" borderId="87" xfId="0" applyNumberFormat="1" applyFont="1" applyBorder="1" applyAlignment="1">
      <alignment horizontal="right"/>
    </xf>
    <xf numFmtId="9" fontId="8" fillId="0" borderId="35" xfId="0" applyNumberFormat="1" applyFont="1" applyBorder="1" applyAlignment="1">
      <alignment horizontal="right"/>
    </xf>
    <xf numFmtId="43" fontId="8" fillId="11" borderId="35" xfId="0" applyNumberFormat="1" applyFont="1" applyFill="1" applyBorder="1" applyAlignment="1">
      <alignment horizontal="right"/>
    </xf>
    <xf numFmtId="9" fontId="8" fillId="11" borderId="35" xfId="0" applyNumberFormat="1" applyFont="1" applyFill="1" applyBorder="1" applyAlignment="1">
      <alignment horizontal="right"/>
    </xf>
    <xf numFmtId="40" fontId="29" fillId="11" borderId="88" xfId="0" applyNumberFormat="1" applyFont="1" applyFill="1" applyBorder="1" applyAlignment="1">
      <alignment horizontal="right"/>
    </xf>
    <xf numFmtId="9" fontId="8" fillId="11" borderId="88" xfId="0" applyNumberFormat="1" applyFont="1" applyFill="1" applyBorder="1" applyAlignment="1">
      <alignment horizontal="right"/>
    </xf>
    <xf numFmtId="43" fontId="8" fillId="11" borderId="89" xfId="0" applyNumberFormat="1" applyFont="1" applyFill="1" applyBorder="1" applyAlignment="1">
      <alignment horizontal="right"/>
    </xf>
    <xf numFmtId="0" fontId="7" fillId="0" borderId="35" xfId="4" applyFont="1" applyFill="1" applyBorder="1" applyProtection="1"/>
    <xf numFmtId="0" fontId="3" fillId="0" borderId="35" xfId="0" applyFont="1" applyFill="1" applyBorder="1" applyAlignment="1">
      <alignment horizontal="center"/>
    </xf>
    <xf numFmtId="40" fontId="3" fillId="0" borderId="35" xfId="0" applyNumberFormat="1" applyFont="1" applyFill="1" applyBorder="1" applyAlignment="1">
      <alignment horizontal="right"/>
    </xf>
    <xf numFmtId="40" fontId="28" fillId="0" borderId="35" xfId="0" applyNumberFormat="1" applyFont="1" applyBorder="1" applyAlignment="1">
      <alignment horizontal="right"/>
    </xf>
    <xf numFmtId="40" fontId="29" fillId="11" borderId="35" xfId="0" applyNumberFormat="1" applyFont="1" applyFill="1" applyBorder="1" applyAlignment="1">
      <alignment horizontal="right"/>
    </xf>
    <xf numFmtId="8" fontId="0" fillId="0" borderId="0" xfId="0" applyNumberFormat="1" applyAlignment="1">
      <alignment vertical="center"/>
    </xf>
    <xf numFmtId="0" fontId="3" fillId="0" borderId="90" xfId="4" applyFont="1" applyFill="1" applyBorder="1" applyProtection="1"/>
    <xf numFmtId="0" fontId="3" fillId="0" borderId="91" xfId="0" applyFont="1" applyFill="1" applyBorder="1" applyAlignment="1">
      <alignment horizontal="center"/>
    </xf>
    <xf numFmtId="165" fontId="3" fillId="7" borderId="92" xfId="0" applyNumberFormat="1" applyFont="1" applyFill="1" applyBorder="1" applyAlignment="1">
      <alignment horizontal="right" vertical="center"/>
    </xf>
    <xf numFmtId="165" fontId="8" fillId="0" borderId="91" xfId="0" applyNumberFormat="1" applyFont="1" applyBorder="1" applyAlignment="1">
      <alignment horizontal="right" vertical="center" wrapText="1"/>
    </xf>
    <xf numFmtId="165" fontId="28" fillId="0" borderId="93" xfId="0" applyNumberFormat="1" applyFont="1" applyBorder="1" applyAlignment="1">
      <alignment horizontal="right"/>
    </xf>
    <xf numFmtId="167" fontId="8" fillId="0" borderId="94" xfId="0" applyNumberFormat="1" applyFont="1" applyBorder="1" applyAlignment="1">
      <alignment horizontal="right"/>
    </xf>
    <xf numFmtId="43" fontId="8" fillId="9" borderId="95" xfId="0" applyNumberFormat="1" applyFont="1" applyFill="1" applyBorder="1" applyAlignment="1">
      <alignment horizontal="right"/>
    </xf>
    <xf numFmtId="165" fontId="12" fillId="0" borderId="91" xfId="0" applyNumberFormat="1" applyFont="1" applyFill="1" applyBorder="1" applyAlignment="1">
      <alignment horizontal="right" vertical="center"/>
    </xf>
    <xf numFmtId="165" fontId="11" fillId="0" borderId="91" xfId="0" applyNumberFormat="1" applyFont="1" applyFill="1" applyBorder="1" applyAlignment="1">
      <alignment horizontal="right" vertical="center"/>
    </xf>
    <xf numFmtId="165" fontId="12" fillId="0" borderId="91" xfId="0" quotePrefix="1" applyNumberFormat="1" applyFont="1" applyFill="1" applyBorder="1" applyAlignment="1">
      <alignment horizontal="right" vertical="center"/>
    </xf>
    <xf numFmtId="165" fontId="12" fillId="0" borderId="96" xfId="0" applyNumberFormat="1" applyFont="1" applyFill="1" applyBorder="1" applyAlignment="1">
      <alignment horizontal="right" vertical="center" wrapText="1"/>
    </xf>
    <xf numFmtId="0" fontId="7" fillId="0" borderId="97" xfId="4" applyFont="1" applyFill="1" applyBorder="1" applyAlignment="1" applyProtection="1">
      <alignment vertical="center"/>
    </xf>
    <xf numFmtId="0" fontId="12" fillId="0" borderId="0" xfId="0" applyFont="1" applyFill="1" applyBorder="1" applyAlignment="1">
      <alignment vertical="center"/>
    </xf>
    <xf numFmtId="165" fontId="28" fillId="0" borderId="98" xfId="0" applyNumberFormat="1" applyFont="1" applyBorder="1" applyAlignment="1">
      <alignment horizontal="right"/>
    </xf>
    <xf numFmtId="165" fontId="12" fillId="0" borderId="0" xfId="0" applyNumberFormat="1" applyFont="1" applyFill="1" applyBorder="1" applyAlignment="1">
      <alignment horizontal="right" vertical="center"/>
    </xf>
    <xf numFmtId="165" fontId="11" fillId="0" borderId="0" xfId="0" applyNumberFormat="1" applyFont="1" applyFill="1" applyBorder="1" applyAlignment="1">
      <alignment horizontal="right" vertical="center"/>
    </xf>
    <xf numFmtId="165" fontId="12" fillId="0" borderId="0" xfId="0" quotePrefix="1" applyNumberFormat="1" applyFont="1" applyFill="1" applyBorder="1" applyAlignment="1">
      <alignment horizontal="right" vertical="center"/>
    </xf>
    <xf numFmtId="165" fontId="12" fillId="0" borderId="99" xfId="0" applyNumberFormat="1" applyFont="1" applyFill="1" applyBorder="1" applyAlignment="1">
      <alignment horizontal="right" vertical="center" wrapText="1"/>
    </xf>
    <xf numFmtId="43" fontId="8" fillId="11" borderId="100" xfId="0" applyNumberFormat="1" applyFont="1" applyFill="1" applyBorder="1" applyAlignment="1">
      <alignment horizontal="right"/>
    </xf>
    <xf numFmtId="0" fontId="7" fillId="0" borderId="48" xfId="4" applyFont="1" applyFill="1" applyBorder="1" applyProtection="1"/>
    <xf numFmtId="0" fontId="3" fillId="0" borderId="48" xfId="0" applyFont="1" applyFill="1" applyBorder="1" applyAlignment="1">
      <alignment horizontal="center"/>
    </xf>
    <xf numFmtId="40" fontId="3" fillId="0" borderId="48" xfId="0" applyNumberFormat="1" applyFont="1" applyFill="1" applyBorder="1" applyAlignment="1">
      <alignment horizontal="right"/>
    </xf>
    <xf numFmtId="43" fontId="3" fillId="0" borderId="48" xfId="0" applyNumberFormat="1" applyFont="1" applyFill="1" applyBorder="1" applyAlignment="1">
      <alignment horizontal="right"/>
    </xf>
    <xf numFmtId="40" fontId="28" fillId="0" borderId="48" xfId="0" applyNumberFormat="1" applyFont="1" applyBorder="1" applyAlignment="1">
      <alignment horizontal="right"/>
    </xf>
    <xf numFmtId="9" fontId="8" fillId="0" borderId="48" xfId="0" applyNumberFormat="1" applyFont="1" applyBorder="1" applyAlignment="1">
      <alignment horizontal="right"/>
    </xf>
    <xf numFmtId="43" fontId="8" fillId="11" borderId="48" xfId="0" applyNumberFormat="1" applyFont="1" applyFill="1" applyBorder="1" applyAlignment="1">
      <alignment horizontal="right"/>
    </xf>
    <xf numFmtId="9" fontId="8" fillId="11" borderId="48" xfId="0" applyNumberFormat="1" applyFont="1" applyFill="1" applyBorder="1" applyAlignment="1">
      <alignment horizontal="right"/>
    </xf>
    <xf numFmtId="40" fontId="29" fillId="11" borderId="48" xfId="0" applyNumberFormat="1" applyFont="1" applyFill="1" applyBorder="1" applyAlignment="1">
      <alignment horizontal="right"/>
    </xf>
    <xf numFmtId="167" fontId="8" fillId="0" borderId="101" xfId="0" applyNumberFormat="1" applyFont="1" applyBorder="1" applyAlignment="1">
      <alignment horizontal="right"/>
    </xf>
    <xf numFmtId="43" fontId="8" fillId="11" borderId="102" xfId="0" applyNumberFormat="1" applyFont="1" applyFill="1" applyBorder="1" applyAlignment="1">
      <alignment horizontal="right"/>
    </xf>
    <xf numFmtId="0" fontId="3" fillId="0" borderId="103" xfId="4" applyFont="1" applyFill="1" applyBorder="1" applyProtection="1"/>
    <xf numFmtId="0" fontId="3" fillId="0" borderId="51" xfId="0" applyFont="1" applyFill="1" applyBorder="1" applyAlignment="1">
      <alignment horizontal="center"/>
    </xf>
    <xf numFmtId="8" fontId="3" fillId="7" borderId="52" xfId="0" applyNumberFormat="1" applyFont="1" applyFill="1" applyBorder="1" applyAlignment="1">
      <alignment horizontal="right"/>
    </xf>
    <xf numFmtId="43" fontId="3" fillId="0" borderId="0" xfId="0" applyNumberFormat="1" applyFont="1" applyFill="1" applyBorder="1" applyAlignment="1">
      <alignment horizontal="right"/>
    </xf>
    <xf numFmtId="8" fontId="28" fillId="0" borderId="53" xfId="0" applyNumberFormat="1" applyFont="1" applyBorder="1" applyAlignment="1">
      <alignment horizontal="right"/>
    </xf>
    <xf numFmtId="167" fontId="8" fillId="0" borderId="104" xfId="0" applyNumberFormat="1" applyFont="1" applyBorder="1" applyAlignment="1">
      <alignment horizontal="right"/>
    </xf>
    <xf numFmtId="40" fontId="29" fillId="0" borderId="56" xfId="0" applyNumberFormat="1" applyFont="1" applyBorder="1" applyAlignment="1">
      <alignment horizontal="right"/>
    </xf>
    <xf numFmtId="0" fontId="3" fillId="0" borderId="105" xfId="4" applyFont="1" applyFill="1" applyBorder="1" applyProtection="1"/>
    <xf numFmtId="40" fontId="3" fillId="7" borderId="59" xfId="0" applyNumberFormat="1" applyFont="1" applyFill="1" applyBorder="1" applyAlignment="1">
      <alignment horizontal="right"/>
    </xf>
    <xf numFmtId="40" fontId="28" fillId="0" borderId="60" xfId="0" applyNumberFormat="1" applyFont="1" applyBorder="1" applyAlignment="1">
      <alignment horizontal="right"/>
    </xf>
    <xf numFmtId="40" fontId="29" fillId="0" borderId="62" xfId="0" applyNumberFormat="1" applyFont="1" applyBorder="1" applyAlignment="1">
      <alignment horizontal="right"/>
    </xf>
    <xf numFmtId="0" fontId="0" fillId="0" borderId="0" xfId="0" applyBorder="1"/>
    <xf numFmtId="167" fontId="16" fillId="0" borderId="0" xfId="0" applyNumberFormat="1" applyFont="1" applyBorder="1" applyAlignment="1">
      <alignment horizontal="right"/>
    </xf>
    <xf numFmtId="165" fontId="15" fillId="0" borderId="0" xfId="0" applyNumberFormat="1" applyFont="1" applyBorder="1" applyAlignment="1">
      <alignment horizontal="right"/>
    </xf>
    <xf numFmtId="165" fontId="13" fillId="0" borderId="106" xfId="0" applyNumberFormat="1" applyFont="1" applyBorder="1" applyAlignment="1">
      <alignment horizontal="right"/>
    </xf>
    <xf numFmtId="165" fontId="16" fillId="0" borderId="82" xfId="0" applyNumberFormat="1" applyFont="1" applyBorder="1" applyAlignment="1">
      <alignment horizontal="right"/>
    </xf>
    <xf numFmtId="165" fontId="13" fillId="5" borderId="107" xfId="0" applyNumberFormat="1" applyFont="1" applyFill="1" applyBorder="1" applyAlignment="1">
      <alignment horizontal="right"/>
    </xf>
    <xf numFmtId="8" fontId="0" fillId="0" borderId="0" xfId="0" applyNumberFormat="1"/>
    <xf numFmtId="43" fontId="8" fillId="11" borderId="108" xfId="0" applyNumberFormat="1" applyFont="1" applyFill="1" applyBorder="1" applyAlignment="1">
      <alignment horizontal="right"/>
    </xf>
    <xf numFmtId="0" fontId="3" fillId="0" borderId="109" xfId="4" applyFont="1" applyFill="1" applyBorder="1" applyProtection="1"/>
    <xf numFmtId="165" fontId="3" fillId="0" borderId="99" xfId="0" applyNumberFormat="1" applyFont="1" applyBorder="1" applyAlignment="1">
      <alignment horizontal="right"/>
    </xf>
    <xf numFmtId="165" fontId="3" fillId="0" borderId="0" xfId="0" applyNumberFormat="1" applyFont="1" applyAlignment="1">
      <alignment horizontal="right"/>
    </xf>
    <xf numFmtId="165" fontId="28" fillId="0" borderId="39" xfId="0" applyNumberFormat="1" applyFont="1" applyBorder="1" applyAlignment="1">
      <alignment horizontal="right"/>
    </xf>
    <xf numFmtId="165" fontId="10" fillId="4" borderId="110" xfId="0" applyNumberFormat="1" applyFont="1" applyFill="1" applyBorder="1" applyAlignment="1">
      <alignment horizontal="right" vertical="center"/>
    </xf>
    <xf numFmtId="165" fontId="29" fillId="0" borderId="40" xfId="0" applyNumberFormat="1" applyFont="1" applyBorder="1" applyAlignment="1">
      <alignment horizontal="right"/>
    </xf>
    <xf numFmtId="165" fontId="12" fillId="0" borderId="111" xfId="0" applyNumberFormat="1" applyFont="1" applyFill="1" applyBorder="1" applyAlignment="1">
      <alignment horizontal="right" vertical="center" wrapText="1"/>
    </xf>
    <xf numFmtId="0" fontId="0" fillId="0" borderId="0" xfId="0" applyFill="1"/>
    <xf numFmtId="0" fontId="0" fillId="0" borderId="0" xfId="0" applyFill="1" applyBorder="1"/>
    <xf numFmtId="0" fontId="3" fillId="0" borderId="97" xfId="4" applyFont="1" applyFill="1" applyBorder="1" applyProtection="1"/>
    <xf numFmtId="165" fontId="10" fillId="0" borderId="112" xfId="0" applyNumberFormat="1" applyFont="1" applyFill="1" applyBorder="1" applyAlignment="1">
      <alignment horizontal="right"/>
    </xf>
    <xf numFmtId="0" fontId="0" fillId="0" borderId="113" xfId="0" applyBorder="1"/>
    <xf numFmtId="0" fontId="3" fillId="0" borderId="84" xfId="4" applyFont="1" applyFill="1" applyBorder="1" applyProtection="1"/>
    <xf numFmtId="0" fontId="8" fillId="0" borderId="35" xfId="0" applyFont="1" applyBorder="1"/>
    <xf numFmtId="165" fontId="3" fillId="0" borderId="102" xfId="0" applyNumberFormat="1" applyFont="1" applyBorder="1" applyAlignment="1">
      <alignment horizontal="right"/>
    </xf>
    <xf numFmtId="165" fontId="28" fillId="0" borderId="114" xfId="0" applyNumberFormat="1" applyFont="1" applyBorder="1" applyAlignment="1">
      <alignment horizontal="right"/>
    </xf>
    <xf numFmtId="165" fontId="8" fillId="0" borderId="115" xfId="0" applyNumberFormat="1" applyFont="1" applyBorder="1" applyAlignment="1">
      <alignment horizontal="right"/>
    </xf>
    <xf numFmtId="165" fontId="3" fillId="0" borderId="116" xfId="0" applyNumberFormat="1" applyFont="1" applyFill="1" applyBorder="1" applyAlignment="1">
      <alignment horizontal="right"/>
    </xf>
    <xf numFmtId="165" fontId="29" fillId="0" borderId="117" xfId="0" applyNumberFormat="1" applyFont="1" applyBorder="1" applyAlignment="1">
      <alignment horizontal="right"/>
    </xf>
    <xf numFmtId="165" fontId="3" fillId="0" borderId="118" xfId="0" applyNumberFormat="1" applyFont="1" applyBorder="1" applyAlignment="1">
      <alignment horizontal="right"/>
    </xf>
    <xf numFmtId="0" fontId="8" fillId="0" borderId="0" xfId="0" applyFont="1" applyFill="1" applyBorder="1"/>
    <xf numFmtId="44" fontId="0" fillId="0" borderId="0" xfId="0" applyNumberFormat="1" applyFill="1"/>
    <xf numFmtId="0" fontId="8" fillId="0" borderId="0" xfId="0" applyFont="1"/>
    <xf numFmtId="43" fontId="3" fillId="0" borderId="0" xfId="0" applyNumberFormat="1" applyFont="1" applyAlignment="1">
      <alignment horizontal="right"/>
    </xf>
    <xf numFmtId="0" fontId="8" fillId="0" borderId="0" xfId="0" applyFont="1" applyAlignment="1">
      <alignment horizontal="right"/>
    </xf>
    <xf numFmtId="43" fontId="8" fillId="0" borderId="0" xfId="0" applyNumberFormat="1" applyFont="1" applyAlignment="1">
      <alignment horizontal="right"/>
    </xf>
    <xf numFmtId="43" fontId="0" fillId="0" borderId="0" xfId="0" applyNumberFormat="1" applyAlignment="1">
      <alignment horizontal="right"/>
    </xf>
    <xf numFmtId="0" fontId="0" fillId="14" borderId="0" xfId="0" applyFill="1"/>
    <xf numFmtId="0" fontId="0" fillId="14" borderId="0" xfId="0" applyFill="1" applyAlignment="1">
      <alignment vertical="center"/>
    </xf>
    <xf numFmtId="8" fontId="0" fillId="14" borderId="0" xfId="0" applyNumberFormat="1" applyFill="1"/>
    <xf numFmtId="166" fontId="0" fillId="14" borderId="0" xfId="0" applyNumberFormat="1" applyFill="1"/>
    <xf numFmtId="8" fontId="16" fillId="14" borderId="0" xfId="0" applyNumberFormat="1" applyFont="1" applyFill="1"/>
    <xf numFmtId="0" fontId="16" fillId="14" borderId="0" xfId="0" applyFont="1" applyFill="1"/>
    <xf numFmtId="0" fontId="11" fillId="0" borderId="0" xfId="6" applyAlignment="1">
      <alignment vertical="center"/>
    </xf>
    <xf numFmtId="0" fontId="2" fillId="0" borderId="0" xfId="6" applyFont="1"/>
    <xf numFmtId="0" fontId="11" fillId="0" borderId="0" xfId="6"/>
    <xf numFmtId="0" fontId="11" fillId="0" borderId="0" xfId="6" applyAlignment="1">
      <alignment horizontal="right"/>
    </xf>
    <xf numFmtId="0" fontId="3" fillId="0" borderId="0" xfId="6" applyFont="1" applyAlignment="1">
      <alignment horizontal="center"/>
    </xf>
    <xf numFmtId="0" fontId="4" fillId="0" borderId="0" xfId="6" applyFont="1"/>
    <xf numFmtId="0" fontId="3" fillId="0" borderId="0" xfId="6" applyFont="1" applyAlignment="1">
      <alignment horizontal="right"/>
    </xf>
    <xf numFmtId="0" fontId="5" fillId="0" borderId="0" xfId="6" applyFont="1"/>
    <xf numFmtId="0" fontId="6" fillId="0" borderId="0" xfId="6" applyFont="1" applyAlignment="1">
      <alignment horizontal="center"/>
    </xf>
    <xf numFmtId="0" fontId="11" fillId="0" borderId="0" xfId="6" applyAlignment="1">
      <alignment horizontal="right" vertical="center"/>
    </xf>
    <xf numFmtId="0" fontId="3" fillId="0" borderId="0" xfId="6" applyFont="1" applyAlignment="1">
      <alignment horizontal="center" vertical="center"/>
    </xf>
    <xf numFmtId="0" fontId="7" fillId="3" borderId="4" xfId="6" applyFont="1" applyFill="1" applyBorder="1" applyAlignment="1">
      <alignment horizontal="right"/>
    </xf>
    <xf numFmtId="0" fontId="8" fillId="0" borderId="0" xfId="6" applyFont="1" applyBorder="1"/>
    <xf numFmtId="164" fontId="7" fillId="3" borderId="5" xfId="6" applyNumberFormat="1" applyFont="1" applyFill="1" applyBorder="1" applyAlignment="1">
      <alignment horizontal="right"/>
    </xf>
    <xf numFmtId="164" fontId="7" fillId="3" borderId="0" xfId="6" applyNumberFormat="1" applyFont="1" applyFill="1" applyBorder="1" applyAlignment="1">
      <alignment horizontal="right"/>
    </xf>
    <xf numFmtId="0" fontId="11" fillId="14" borderId="0" xfId="6" applyFill="1" applyAlignment="1">
      <alignment horizontal="right"/>
    </xf>
    <xf numFmtId="0" fontId="3" fillId="14" borderId="0" xfId="6" applyFont="1" applyFill="1" applyAlignment="1">
      <alignment horizontal="center"/>
    </xf>
    <xf numFmtId="0" fontId="7" fillId="3" borderId="6" xfId="6" applyFont="1" applyFill="1" applyBorder="1" applyAlignment="1">
      <alignment horizontal="left"/>
    </xf>
    <xf numFmtId="0" fontId="8" fillId="0" borderId="7" xfId="6" applyFont="1" applyBorder="1"/>
    <xf numFmtId="164" fontId="7" fillId="3" borderId="8" xfId="6" applyNumberFormat="1" applyFont="1" applyFill="1" applyBorder="1" applyAlignment="1">
      <alignment horizontal="right"/>
    </xf>
    <xf numFmtId="164" fontId="7" fillId="3" borderId="7" xfId="6" applyNumberFormat="1" applyFont="1" applyFill="1" applyBorder="1" applyAlignment="1">
      <alignment horizontal="right"/>
    </xf>
    <xf numFmtId="0" fontId="9" fillId="0" borderId="0" xfId="6" applyFont="1" applyAlignment="1">
      <alignment horizontal="center" vertical="center"/>
    </xf>
    <xf numFmtId="0" fontId="3" fillId="0" borderId="9" xfId="6" applyFont="1" applyBorder="1" applyAlignment="1">
      <alignment vertical="center"/>
    </xf>
    <xf numFmtId="0" fontId="8" fillId="0" borderId="10" xfId="6" applyFont="1" applyBorder="1"/>
    <xf numFmtId="165" fontId="10" fillId="4" borderId="11" xfId="6" applyNumberFormat="1" applyFont="1" applyFill="1" applyBorder="1" applyAlignment="1">
      <alignment horizontal="right"/>
    </xf>
    <xf numFmtId="165" fontId="3" fillId="0" borderId="10" xfId="6" applyNumberFormat="1" applyFont="1" applyBorder="1" applyAlignment="1">
      <alignment horizontal="right"/>
    </xf>
    <xf numFmtId="0" fontId="11" fillId="0" borderId="0" xfId="6" quotePrefix="1" applyFont="1" applyAlignment="1">
      <alignment horizontal="left"/>
    </xf>
    <xf numFmtId="0" fontId="12" fillId="0" borderId="12" xfId="6" applyFont="1" applyBorder="1" applyAlignment="1">
      <alignment vertical="center" wrapText="1"/>
    </xf>
    <xf numFmtId="0" fontId="8" fillId="0" borderId="13" xfId="6" applyFont="1" applyBorder="1"/>
    <xf numFmtId="43" fontId="3" fillId="0" borderId="14" xfId="6" applyNumberFormat="1" applyFont="1" applyBorder="1" applyAlignment="1">
      <alignment horizontal="right"/>
    </xf>
    <xf numFmtId="0" fontId="3" fillId="0" borderId="13" xfId="6" applyFont="1" applyBorder="1" applyAlignment="1">
      <alignment horizontal="right"/>
    </xf>
    <xf numFmtId="166" fontId="13" fillId="5" borderId="14" xfId="6" applyNumberFormat="1" applyFont="1" applyFill="1" applyBorder="1" applyAlignment="1">
      <alignment horizontal="right"/>
    </xf>
    <xf numFmtId="0" fontId="7" fillId="6" borderId="6" xfId="6" applyFont="1" applyFill="1" applyBorder="1" applyAlignment="1">
      <alignment vertical="center"/>
    </xf>
    <xf numFmtId="0" fontId="8" fillId="6" borderId="7" xfId="6" applyFont="1" applyFill="1" applyBorder="1"/>
    <xf numFmtId="165" fontId="7" fillId="6" borderId="8" xfId="6" applyNumberFormat="1" applyFont="1" applyFill="1" applyBorder="1" applyAlignment="1">
      <alignment horizontal="right"/>
    </xf>
    <xf numFmtId="165" fontId="3" fillId="6" borderId="7" xfId="6" applyNumberFormat="1" applyFont="1" applyFill="1" applyBorder="1" applyAlignment="1">
      <alignment horizontal="right"/>
    </xf>
    <xf numFmtId="0" fontId="7" fillId="0" borderId="0" xfId="6" applyFont="1" applyBorder="1" applyAlignment="1">
      <alignment vertical="center"/>
    </xf>
    <xf numFmtId="165" fontId="7" fillId="0" borderId="0" xfId="6" applyNumberFormat="1" applyFont="1" applyBorder="1" applyAlignment="1">
      <alignment horizontal="right"/>
    </xf>
    <xf numFmtId="165" fontId="3" fillId="0" borderId="0" xfId="6" applyNumberFormat="1" applyFont="1" applyBorder="1" applyAlignment="1">
      <alignment horizontal="right"/>
    </xf>
    <xf numFmtId="0" fontId="11" fillId="0" borderId="0" xfId="6" applyAlignment="1">
      <alignment horizontal="left"/>
    </xf>
    <xf numFmtId="0" fontId="7" fillId="6" borderId="1" xfId="6" applyFont="1" applyFill="1" applyBorder="1" applyAlignment="1">
      <alignment vertical="center"/>
    </xf>
    <xf numFmtId="0" fontId="8" fillId="6" borderId="2" xfId="6" applyFont="1" applyFill="1" applyBorder="1"/>
    <xf numFmtId="165" fontId="7" fillId="6" borderId="2" xfId="6" applyNumberFormat="1" applyFont="1" applyFill="1" applyBorder="1" applyAlignment="1">
      <alignment horizontal="right"/>
    </xf>
    <xf numFmtId="165" fontId="3" fillId="6" borderId="2" xfId="6" applyNumberFormat="1" applyFont="1" applyFill="1" applyBorder="1" applyAlignment="1">
      <alignment horizontal="right"/>
    </xf>
    <xf numFmtId="165" fontId="7" fillId="6" borderId="15" xfId="6" applyNumberFormat="1" applyFont="1" applyFill="1" applyBorder="1" applyAlignment="1">
      <alignment horizontal="right"/>
    </xf>
    <xf numFmtId="0" fontId="11" fillId="0" borderId="0" xfId="6" applyBorder="1" applyAlignment="1">
      <alignment horizontal="right"/>
    </xf>
    <xf numFmtId="0" fontId="11" fillId="14" borderId="0" xfId="6" applyFill="1" applyBorder="1" applyAlignment="1">
      <alignment horizontal="right"/>
    </xf>
    <xf numFmtId="43" fontId="11" fillId="0" borderId="0" xfId="6" applyNumberFormat="1" applyAlignment="1">
      <alignment horizontal="right"/>
    </xf>
    <xf numFmtId="43" fontId="11" fillId="14" borderId="0" xfId="6" applyNumberFormat="1" applyFill="1" applyAlignment="1">
      <alignment horizontal="right"/>
    </xf>
    <xf numFmtId="0" fontId="32" fillId="0" borderId="0" xfId="6" applyFont="1"/>
    <xf numFmtId="43" fontId="32" fillId="0" borderId="0" xfId="6" applyNumberFormat="1" applyFont="1" applyAlignment="1">
      <alignment horizontal="right"/>
    </xf>
    <xf numFmtId="0" fontId="32" fillId="0" borderId="0" xfId="6" applyFont="1" applyAlignment="1">
      <alignment horizontal="right"/>
    </xf>
    <xf numFmtId="44" fontId="32" fillId="0" borderId="0" xfId="2" applyFont="1" applyAlignment="1">
      <alignment horizontal="right"/>
    </xf>
    <xf numFmtId="0" fontId="11" fillId="14" borderId="0" xfId="6" applyFill="1" applyAlignment="1">
      <alignment horizontal="left"/>
    </xf>
    <xf numFmtId="43" fontId="11" fillId="14" borderId="0" xfId="6" applyNumberFormat="1" applyFill="1" applyAlignment="1">
      <alignment horizontal="left"/>
    </xf>
    <xf numFmtId="0" fontId="3" fillId="14" borderId="0" xfId="6" applyFont="1" applyFill="1" applyAlignment="1">
      <alignment horizontal="left"/>
    </xf>
    <xf numFmtId="43" fontId="32" fillId="0" borderId="0" xfId="1" applyFont="1" applyAlignment="1">
      <alignment horizontal="right"/>
    </xf>
    <xf numFmtId="44" fontId="32" fillId="0" borderId="13" xfId="2" applyFont="1" applyBorder="1" applyAlignment="1">
      <alignment horizontal="right"/>
    </xf>
    <xf numFmtId="0" fontId="11" fillId="14" borderId="0" xfId="6" applyFont="1" applyFill="1" applyAlignment="1">
      <alignment horizontal="left"/>
    </xf>
    <xf numFmtId="43" fontId="11" fillId="0" borderId="0" xfId="1" applyFont="1" applyAlignment="1">
      <alignment horizontal="right"/>
    </xf>
    <xf numFmtId="0" fontId="0" fillId="6" borderId="0" xfId="0" applyFill="1"/>
    <xf numFmtId="0" fontId="7" fillId="8" borderId="47" xfId="0" applyFont="1" applyFill="1" applyBorder="1" applyAlignment="1">
      <alignment vertical="center"/>
    </xf>
    <xf numFmtId="0" fontId="0" fillId="8" borderId="48" xfId="0"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7" fillId="8" borderId="48" xfId="0" applyFont="1" applyFill="1" applyBorder="1" applyAlignment="1">
      <alignment vertical="center"/>
    </xf>
    <xf numFmtId="0" fontId="7" fillId="8" borderId="49" xfId="0" applyFont="1" applyFill="1" applyBorder="1" applyAlignment="1">
      <alignment vertical="center"/>
    </xf>
    <xf numFmtId="0" fontId="7" fillId="12" borderId="47" xfId="0" applyFont="1" applyFill="1" applyBorder="1" applyAlignment="1">
      <alignment vertical="center"/>
    </xf>
    <xf numFmtId="0" fontId="7" fillId="12" borderId="48" xfId="0" applyFont="1" applyFill="1" applyBorder="1" applyAlignment="1">
      <alignment vertical="center"/>
    </xf>
    <xf numFmtId="0" fontId="7" fillId="12" borderId="49" xfId="0" applyFont="1" applyFill="1" applyBorder="1" applyAlignment="1">
      <alignment vertical="center"/>
    </xf>
    <xf numFmtId="0" fontId="30" fillId="0" borderId="0" xfId="5" quotePrefix="1" applyFont="1" applyFill="1" applyAlignment="1">
      <alignment horizontal="center" vertical="center"/>
    </xf>
    <xf numFmtId="0" fontId="31" fillId="13" borderId="0" xfId="5" applyFont="1" applyFill="1" applyAlignment="1"/>
    <xf numFmtId="0" fontId="3" fillId="0" borderId="0" xfId="0" applyFont="1" applyAlignment="1">
      <alignment horizontal="right"/>
    </xf>
    <xf numFmtId="0" fontId="0" fillId="0" borderId="0" xfId="0" applyAlignment="1">
      <alignment horizontal="right"/>
    </xf>
    <xf numFmtId="0" fontId="7" fillId="2" borderId="1"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0" fillId="3" borderId="19" xfId="0" applyFont="1" applyFill="1" applyBorder="1" applyAlignment="1">
      <alignment horizontal="center"/>
    </xf>
    <xf numFmtId="0" fontId="10" fillId="3" borderId="20" xfId="0" applyFont="1" applyFill="1" applyBorder="1" applyAlignment="1">
      <alignment horizontal="center"/>
    </xf>
    <xf numFmtId="0" fontId="10" fillId="3" borderId="21" xfId="0" applyFont="1" applyFill="1" applyBorder="1" applyAlignment="1">
      <alignment horizontal="center"/>
    </xf>
    <xf numFmtId="0" fontId="13" fillId="5" borderId="22" xfId="0" applyFont="1" applyFill="1" applyBorder="1" applyAlignment="1">
      <alignment horizontal="center"/>
    </xf>
    <xf numFmtId="0" fontId="13" fillId="5" borderId="23" xfId="0" applyFont="1" applyFill="1" applyBorder="1" applyAlignment="1">
      <alignment horizontal="center"/>
    </xf>
    <xf numFmtId="0" fontId="13" fillId="5" borderId="24" xfId="0" applyFont="1" applyFill="1" applyBorder="1" applyAlignment="1">
      <alignment horizontal="center"/>
    </xf>
    <xf numFmtId="0" fontId="16" fillId="14" borderId="0" xfId="0" applyFont="1" applyFill="1" applyAlignment="1"/>
    <xf numFmtId="0" fontId="17" fillId="3" borderId="28" xfId="0" applyFont="1" applyFill="1" applyBorder="1" applyAlignment="1">
      <alignment horizontal="center" vertical="center"/>
    </xf>
    <xf numFmtId="0" fontId="17" fillId="3" borderId="29" xfId="0" applyFont="1" applyFill="1" applyBorder="1" applyAlignment="1">
      <alignment horizontal="center" vertical="center"/>
    </xf>
    <xf numFmtId="0" fontId="17" fillId="3" borderId="30" xfId="0" applyFont="1" applyFill="1" applyBorder="1" applyAlignment="1">
      <alignment horizontal="center" vertical="center"/>
    </xf>
    <xf numFmtId="0" fontId="19" fillId="5" borderId="31" xfId="0" applyFont="1" applyFill="1" applyBorder="1" applyAlignment="1">
      <alignment horizontal="center" vertical="center" wrapText="1"/>
    </xf>
    <xf numFmtId="0" fontId="19" fillId="5" borderId="32" xfId="0" applyFont="1" applyFill="1" applyBorder="1" applyAlignment="1">
      <alignment horizontal="center" vertical="center" wrapText="1"/>
    </xf>
    <xf numFmtId="0" fontId="19" fillId="5" borderId="33" xfId="0" applyFont="1" applyFill="1" applyBorder="1" applyAlignment="1">
      <alignment horizontal="center" vertical="center" wrapText="1"/>
    </xf>
    <xf numFmtId="0" fontId="21" fillId="3" borderId="34" xfId="0" applyFont="1" applyFill="1" applyBorder="1" applyAlignment="1">
      <alignment horizontal="right"/>
    </xf>
    <xf numFmtId="0" fontId="22" fillId="3" borderId="35" xfId="0" applyFont="1" applyFill="1" applyBorder="1" applyAlignment="1">
      <alignment horizontal="right"/>
    </xf>
    <xf numFmtId="0" fontId="23" fillId="5" borderId="37" xfId="0" applyFont="1" applyFill="1" applyBorder="1" applyAlignment="1">
      <alignment horizontal="right" wrapText="1"/>
    </xf>
    <xf numFmtId="0" fontId="23" fillId="5" borderId="35" xfId="0" applyFont="1" applyFill="1" applyBorder="1" applyAlignment="1">
      <alignment horizontal="right" wrapText="1"/>
    </xf>
    <xf numFmtId="0" fontId="3" fillId="0" borderId="0" xfId="6" applyFont="1" applyAlignment="1">
      <alignment horizontal="right"/>
    </xf>
    <xf numFmtId="0" fontId="11" fillId="0" borderId="0" xfId="6" applyAlignment="1">
      <alignment horizontal="right"/>
    </xf>
    <xf numFmtId="0" fontId="7" fillId="2" borderId="1" xfId="6" applyFont="1" applyFill="1" applyBorder="1" applyAlignment="1">
      <alignment horizontal="center" vertical="center"/>
    </xf>
    <xf numFmtId="0" fontId="11" fillId="2" borderId="2" xfId="6" applyFill="1" applyBorder="1" applyAlignment="1">
      <alignment horizontal="center" vertical="center"/>
    </xf>
    <xf numFmtId="0" fontId="11" fillId="2" borderId="3" xfId="6" applyFill="1" applyBorder="1" applyAlignment="1">
      <alignment horizontal="center" vertical="center"/>
    </xf>
    <xf numFmtId="0" fontId="32" fillId="0" borderId="0" xfId="6" applyFont="1" applyAlignment="1">
      <alignment wrapText="1"/>
    </xf>
    <xf numFmtId="0" fontId="33" fillId="0" borderId="0" xfId="0" applyFont="1" applyAlignment="1">
      <alignment wrapText="1"/>
    </xf>
    <xf numFmtId="0" fontId="11" fillId="0" borderId="0" xfId="6" applyFont="1" applyAlignment="1">
      <alignment wrapText="1"/>
    </xf>
    <xf numFmtId="0" fontId="0" fillId="0" borderId="0" xfId="0" applyAlignment="1">
      <alignment wrapText="1"/>
    </xf>
  </cellXfs>
  <cellStyles count="7">
    <cellStyle name="Comma" xfId="1" builtinId="3"/>
    <cellStyle name="Currency" xfId="2" builtinId="4"/>
    <cellStyle name="Normal" xfId="0" builtinId="0"/>
    <cellStyle name="Normal 11" xfId="5"/>
    <cellStyle name="Normal 16" xfId="4"/>
    <cellStyle name="Normal 2" xfId="6"/>
    <cellStyle name="Normal 6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563880</xdr:colOff>
      <xdr:row>6</xdr:row>
      <xdr:rowOff>15240</xdr:rowOff>
    </xdr:from>
    <xdr:to>
      <xdr:col>11</xdr:col>
      <xdr:colOff>259080</xdr:colOff>
      <xdr:row>10</xdr:row>
      <xdr:rowOff>152400</xdr:rowOff>
    </xdr:to>
    <xdr:sp macro="" textlink="">
      <xdr:nvSpPr>
        <xdr:cNvPr id="2" name="TextBox 1"/>
        <xdr:cNvSpPr txBox="1"/>
      </xdr:nvSpPr>
      <xdr:spPr>
        <a:xfrm>
          <a:off x="6612255" y="1434465"/>
          <a:ext cx="2162175" cy="946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a:latin typeface="Times New Roman" pitchFamily="18" charset="0"/>
              <a:cs typeface="Times New Roman" pitchFamily="18" charset="0"/>
            </a:rPr>
            <a:t>See below for</a:t>
          </a:r>
          <a:r>
            <a:rPr lang="en-US" sz="1200" baseline="0">
              <a:latin typeface="Times New Roman" pitchFamily="18" charset="0"/>
              <a:cs typeface="Times New Roman" pitchFamily="18" charset="0"/>
            </a:rPr>
            <a:t> details of the rate creation based on the fair and reasonable expenses of the Company.</a:t>
          </a:r>
        </a:p>
      </xdr:txBody>
    </xdr:sp>
    <xdr:clientData/>
  </xdr:twoCellAnchor>
  <xdr:twoCellAnchor>
    <xdr:from>
      <xdr:col>6</xdr:col>
      <xdr:colOff>99060</xdr:colOff>
      <xdr:row>3</xdr:row>
      <xdr:rowOff>190500</xdr:rowOff>
    </xdr:from>
    <xdr:to>
      <xdr:col>7</xdr:col>
      <xdr:colOff>525780</xdr:colOff>
      <xdr:row>13</xdr:row>
      <xdr:rowOff>45720</xdr:rowOff>
    </xdr:to>
    <xdr:sp macro="" textlink="">
      <xdr:nvSpPr>
        <xdr:cNvPr id="3" name="Right Brace 2"/>
        <xdr:cNvSpPr/>
      </xdr:nvSpPr>
      <xdr:spPr>
        <a:xfrm>
          <a:off x="5594985" y="933450"/>
          <a:ext cx="979170" cy="1969770"/>
        </a:xfrm>
        <a:prstGeom prst="rightBrace">
          <a:avLst>
            <a:gd name="adj1" fmla="val 8333"/>
            <a:gd name="adj2"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than\Documents\Home\Copy%20of%20245821Exhibit%20A%20to%20Surrebuttal%20of%20Long%207-19-2013,%20adjusted%20by%20natali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aurieharris\Downloads\Willow%20Creek\Recommendation\Amedned%20for%20Surrebuttal\Exhibits%201.1%20SR%20-%201.12%20SR%20for%20Surrebuttal%20Testimony%20of%20M%20Long%20for%20Willow%20Creek%2013-2506-01.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md 1.1 SR INDEX"/>
      <sheetName val="Amd 1.2 SR Rates"/>
      <sheetName val="Amd 1.2 SR Notes"/>
      <sheetName val="Amd 1.3 SR Expenses"/>
      <sheetName val="Amd 1.3 SR Notes"/>
      <sheetName val="Amd 1.4 SR Rev &amp; Exp"/>
      <sheetName val="1.5 Reserve"/>
      <sheetName val="1.6 Deprec"/>
      <sheetName val="1.7 CIAC"/>
      <sheetName val="Amd 1.8 SR RATE BASE"/>
      <sheetName val="Amd 1.9 SR Ret on Inv"/>
      <sheetName val="Amd 1.10 SR Taxes"/>
      <sheetName val="1.11 SR Mod to Expenses"/>
      <sheetName val="1.12 SR Mod to Customers #"/>
      <sheetName val="Macro"/>
    </sheetNames>
    <sheetDataSet>
      <sheetData sheetId="0"/>
      <sheetData sheetId="1"/>
      <sheetData sheetId="2"/>
      <sheetData sheetId="3">
        <row r="10">
          <cell r="B10" t="str">
            <v>Salaries &amp; Wages - Office Employees</v>
          </cell>
          <cell r="G10">
            <v>0</v>
          </cell>
        </row>
        <row r="11">
          <cell r="B11" t="str">
            <v>Salaries &amp; Wages - Officers &amp; Directors</v>
          </cell>
          <cell r="G11">
            <v>0</v>
          </cell>
        </row>
        <row r="12">
          <cell r="B12" t="str">
            <v>Employee Pensions &amp; Benefits</v>
          </cell>
          <cell r="G12">
            <v>0</v>
          </cell>
        </row>
        <row r="13">
          <cell r="B13" t="str">
            <v>Purchased Water</v>
          </cell>
          <cell r="G13">
            <v>0</v>
          </cell>
        </row>
        <row r="14">
          <cell r="B14" t="str">
            <v>Purchased Power (Electricity)</v>
          </cell>
          <cell r="G14">
            <v>2800</v>
          </cell>
        </row>
        <row r="15">
          <cell r="B15" t="str">
            <v>Purchased Power (Propane)</v>
          </cell>
          <cell r="G15">
            <v>0</v>
          </cell>
        </row>
        <row r="16">
          <cell r="B16" t="str">
            <v>Chemicals</v>
          </cell>
          <cell r="G16">
            <v>550</v>
          </cell>
        </row>
        <row r="17">
          <cell r="B17" t="str">
            <v>Materials and Supplies</v>
          </cell>
          <cell r="G17">
            <v>0</v>
          </cell>
        </row>
        <row r="18">
          <cell r="B18" t="str">
            <v>Contractual Services - Engineering</v>
          </cell>
          <cell r="G18">
            <v>0</v>
          </cell>
        </row>
        <row r="19">
          <cell r="B19" t="str">
            <v>Contractual Services - Accounting</v>
          </cell>
          <cell r="G19">
            <v>1400</v>
          </cell>
        </row>
        <row r="20">
          <cell r="B20" t="str">
            <v>Contractual Services - Legal</v>
          </cell>
          <cell r="G20">
            <v>500</v>
          </cell>
        </row>
        <row r="21">
          <cell r="B21" t="str">
            <v>Contractual Services - Management Fees</v>
          </cell>
          <cell r="G21">
            <v>0</v>
          </cell>
        </row>
        <row r="22">
          <cell r="B22" t="str">
            <v>Contractual Services - Testing &amp; Lab Fees</v>
          </cell>
          <cell r="G22">
            <v>1400</v>
          </cell>
        </row>
        <row r="23">
          <cell r="B23" t="str">
            <v>Contractual Services - Water Sampling</v>
          </cell>
          <cell r="G23">
            <v>0</v>
          </cell>
        </row>
        <row r="24">
          <cell r="B24" t="str">
            <v>Contractual Services - Water System Maintenance</v>
          </cell>
          <cell r="G24">
            <v>1800</v>
          </cell>
        </row>
        <row r="25">
          <cell r="B25" t="str">
            <v>Contractual Services - Water System Repairs</v>
          </cell>
          <cell r="G25">
            <v>1800</v>
          </cell>
        </row>
        <row r="26">
          <cell r="B26" t="str">
            <v>Contractual Services - Other (Equipment Operator)</v>
          </cell>
          <cell r="G26">
            <v>600</v>
          </cell>
        </row>
        <row r="27">
          <cell r="B27" t="str">
            <v>Contractual Services - Billing (Meter Reading)</v>
          </cell>
          <cell r="G27">
            <v>0</v>
          </cell>
        </row>
        <row r="28">
          <cell r="B28" t="str">
            <v>Interest-Free Loan Payments for Arsenic Project</v>
          </cell>
          <cell r="G28">
            <v>5520</v>
          </cell>
        </row>
        <row r="29">
          <cell r="B29" t="str">
            <v>Transportation Expense</v>
          </cell>
          <cell r="G29">
            <v>0</v>
          </cell>
        </row>
        <row r="30">
          <cell r="B30" t="str">
            <v>Insurance - General Liability</v>
          </cell>
          <cell r="G30">
            <v>1800</v>
          </cell>
        </row>
        <row r="31">
          <cell r="B31" t="str">
            <v>Insurance - Other</v>
          </cell>
          <cell r="G31">
            <v>0</v>
          </cell>
        </row>
        <row r="32">
          <cell r="B32" t="str">
            <v>Regulatory Commission Expense</v>
          </cell>
          <cell r="G32">
            <v>50</v>
          </cell>
        </row>
        <row r="33">
          <cell r="B33" t="str">
            <v>Bad Debt Expense</v>
          </cell>
          <cell r="G33">
            <v>0</v>
          </cell>
        </row>
        <row r="34">
          <cell r="B34" t="str">
            <v>Miscellaneous Expense</v>
          </cell>
        </row>
        <row r="35">
          <cell r="B35" t="str">
            <v xml:space="preserve">     Association/Membership Dues</v>
          </cell>
          <cell r="G35">
            <v>0</v>
          </cell>
        </row>
        <row r="36">
          <cell r="B36" t="str">
            <v xml:space="preserve">     Office Supplies and Postage</v>
          </cell>
          <cell r="G36">
            <v>425</v>
          </cell>
        </row>
        <row r="37">
          <cell r="B37" t="str">
            <v xml:space="preserve">     Bank Charges</v>
          </cell>
          <cell r="G37">
            <v>0</v>
          </cell>
        </row>
        <row r="38">
          <cell r="B38" t="str">
            <v xml:space="preserve">     Other Supplies</v>
          </cell>
          <cell r="G38">
            <v>0</v>
          </cell>
        </row>
        <row r="47">
          <cell r="G47">
            <v>0</v>
          </cell>
        </row>
        <row r="50">
          <cell r="G50">
            <v>11</v>
          </cell>
        </row>
        <row r="51">
          <cell r="G51">
            <v>0</v>
          </cell>
        </row>
      </sheetData>
      <sheetData sheetId="4"/>
      <sheetData sheetId="5"/>
      <sheetData sheetId="6">
        <row r="7">
          <cell r="C7">
            <v>20697</v>
          </cell>
        </row>
        <row r="9">
          <cell r="C9">
            <v>20697</v>
          </cell>
        </row>
      </sheetData>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md 1.1 SR INDEX"/>
      <sheetName val="Amd 1.2 SR Rates"/>
      <sheetName val="Amd 1.2 SR Notes"/>
      <sheetName val="Amd 1.3 SR Expenses"/>
      <sheetName val="Amd 1.3 SR Notes"/>
      <sheetName val="Amd 1.4 SR Rev &amp; Exp"/>
      <sheetName val="1.5 Reserve"/>
      <sheetName val="1.6 Deprec"/>
      <sheetName val="1.7 CIAC"/>
      <sheetName val="Amd 1.8 SR RATE BASE"/>
      <sheetName val="Amd 1.9 SR Ret on Inv"/>
      <sheetName val="Amd 1.10 SR Taxes"/>
      <sheetName val="1.11 SR Mod to Expenses"/>
      <sheetName val="1.12 SR Mod to Customers #"/>
      <sheetName val="Macro"/>
    </sheetNames>
    <sheetDataSet>
      <sheetData sheetId="0"/>
      <sheetData sheetId="1"/>
      <sheetData sheetId="2"/>
      <sheetData sheetId="3">
        <row r="13">
          <cell r="G13">
            <v>0</v>
          </cell>
        </row>
      </sheetData>
      <sheetData sheetId="4"/>
      <sheetData sheetId="5"/>
      <sheetData sheetId="6">
        <row r="9">
          <cell r="C9">
            <v>20697</v>
          </cell>
        </row>
      </sheetData>
      <sheetData sheetId="7">
        <row r="36">
          <cell r="X36">
            <v>677015</v>
          </cell>
        </row>
      </sheetData>
      <sheetData sheetId="8">
        <row r="36">
          <cell r="X36">
            <v>677015</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S175"/>
  <sheetViews>
    <sheetView tabSelected="1" workbookViewId="0">
      <selection activeCell="B2" sqref="B2"/>
    </sheetView>
  </sheetViews>
  <sheetFormatPr defaultRowHeight="15.75"/>
  <cols>
    <col min="1" max="1" width="4.7109375" style="1" customWidth="1"/>
    <col min="2" max="2" width="46" bestFit="1" customWidth="1"/>
    <col min="3" max="3" width="10.7109375" hidden="1" customWidth="1"/>
    <col min="4" max="4" width="16.7109375" style="3" customWidth="1"/>
    <col min="5" max="5" width="2.28515625" style="3" customWidth="1"/>
    <col min="6" max="6" width="12.7109375" style="3" customWidth="1"/>
    <col min="7" max="7" width="8.28515625" style="3" customWidth="1"/>
    <col min="8" max="8" width="13.7109375" style="3" customWidth="1"/>
    <col min="9" max="9" width="2.28515625" style="3" customWidth="1"/>
    <col min="10" max="10" width="12.7109375" style="3" customWidth="1"/>
    <col min="11" max="11" width="8.28515625" style="3" customWidth="1"/>
    <col min="12" max="12" width="13.7109375" style="3" customWidth="1"/>
    <col min="13" max="13" width="5.42578125" style="4" customWidth="1"/>
    <col min="14" max="14" width="12.5703125" customWidth="1"/>
    <col min="15" max="15" width="14.140625" bestFit="1" customWidth="1"/>
  </cols>
  <sheetData>
    <row r="1" spans="1:19" ht="20.25">
      <c r="B1" s="2" t="s">
        <v>0</v>
      </c>
      <c r="J1" s="281" t="s">
        <v>1</v>
      </c>
      <c r="K1" s="281"/>
      <c r="L1" s="281"/>
    </row>
    <row r="2" spans="1:19" ht="19.5">
      <c r="B2" s="5" t="s">
        <v>2</v>
      </c>
      <c r="J2" s="6"/>
      <c r="K2" s="6"/>
      <c r="L2" s="6" t="s">
        <v>3</v>
      </c>
    </row>
    <row r="3" spans="1:19" ht="18.75">
      <c r="B3" s="7" t="s">
        <v>4</v>
      </c>
      <c r="J3" s="282"/>
      <c r="K3" s="282"/>
      <c r="L3" s="282"/>
    </row>
    <row r="4" spans="1:19" ht="19.5" thickBot="1">
      <c r="B4" s="7"/>
      <c r="D4" s="8" t="s">
        <v>5</v>
      </c>
      <c r="E4" s="8"/>
      <c r="F4" s="8" t="s">
        <v>6</v>
      </c>
    </row>
    <row r="5" spans="1:19" s="1" customFormat="1" ht="18" customHeight="1" thickBot="1">
      <c r="B5" s="283" t="s">
        <v>7</v>
      </c>
      <c r="C5" s="284"/>
      <c r="D5" s="284"/>
      <c r="E5" s="284"/>
      <c r="F5" s="285"/>
      <c r="G5" s="9"/>
      <c r="H5" s="9"/>
      <c r="I5" s="9"/>
      <c r="J5" s="9"/>
      <c r="K5" s="9"/>
      <c r="L5" s="9"/>
      <c r="M5" s="10"/>
    </row>
    <row r="6" spans="1:19">
      <c r="B6" s="11"/>
      <c r="C6" s="12"/>
      <c r="D6" s="13" t="s">
        <v>8</v>
      </c>
      <c r="E6" s="14"/>
      <c r="F6" s="13"/>
    </row>
    <row r="7" spans="1:19">
      <c r="B7" s="11"/>
      <c r="C7" s="12"/>
      <c r="D7" s="13" t="s">
        <v>9</v>
      </c>
      <c r="E7" s="14"/>
      <c r="F7" s="13" t="s">
        <v>10</v>
      </c>
    </row>
    <row r="8" spans="1:19" ht="16.5" thickBot="1">
      <c r="B8" s="15"/>
      <c r="C8" s="16"/>
      <c r="D8" s="17" t="s">
        <v>11</v>
      </c>
      <c r="E8" s="18"/>
      <c r="F8" s="17" t="s">
        <v>12</v>
      </c>
    </row>
    <row r="9" spans="1:19">
      <c r="A9" s="19">
        <v>1</v>
      </c>
      <c r="B9" s="20" t="s">
        <v>13</v>
      </c>
      <c r="C9" s="21"/>
      <c r="D9" s="22">
        <f>H70</f>
        <v>39.85</v>
      </c>
      <c r="E9" s="23"/>
      <c r="F9" s="22">
        <f>H70</f>
        <v>39.85</v>
      </c>
      <c r="G9" s="24" t="s">
        <v>14</v>
      </c>
    </row>
    <row r="10" spans="1:19">
      <c r="A10" s="19">
        <v>2</v>
      </c>
      <c r="B10" s="25" t="s">
        <v>15</v>
      </c>
      <c r="C10" s="26"/>
      <c r="D10" s="27"/>
      <c r="E10" s="28"/>
      <c r="F10" s="29">
        <f>L72</f>
        <v>31.950000000000003</v>
      </c>
      <c r="G10" s="24" t="s">
        <v>16</v>
      </c>
    </row>
    <row r="11" spans="1:19" ht="16.5" thickBot="1">
      <c r="A11" s="19">
        <v>3</v>
      </c>
      <c r="B11" s="30" t="s">
        <v>17</v>
      </c>
      <c r="C11" s="31"/>
      <c r="D11" s="32">
        <f>SUM(D9:D10)</f>
        <v>39.85</v>
      </c>
      <c r="E11" s="33"/>
      <c r="F11" s="32">
        <f>SUM(F9:F10)</f>
        <v>71.800000000000011</v>
      </c>
      <c r="G11" s="24" t="s">
        <v>18</v>
      </c>
    </row>
    <row r="12" spans="1:19" ht="16.5" thickBot="1">
      <c r="A12" s="19">
        <v>4</v>
      </c>
      <c r="B12" s="34"/>
      <c r="C12" s="12"/>
      <c r="D12" s="35"/>
      <c r="E12" s="36"/>
      <c r="F12" s="35"/>
      <c r="G12" s="37"/>
    </row>
    <row r="13" spans="1:19" ht="16.5" thickBot="1">
      <c r="A13" s="19">
        <v>5</v>
      </c>
      <c r="B13" s="38" t="s">
        <v>19</v>
      </c>
      <c r="C13" s="39"/>
      <c r="D13" s="40"/>
      <c r="E13" s="41"/>
      <c r="F13" s="42">
        <v>4.5</v>
      </c>
      <c r="G13" s="24" t="s">
        <v>20</v>
      </c>
    </row>
    <row r="14" spans="1:19" ht="16.5" thickBot="1">
      <c r="A14" s="19">
        <v>6</v>
      </c>
      <c r="E14" s="43"/>
      <c r="I14" s="43"/>
    </row>
    <row r="15" spans="1:19">
      <c r="A15" s="19"/>
      <c r="B15" s="44"/>
      <c r="C15" s="45"/>
      <c r="D15" s="46" t="s">
        <v>21</v>
      </c>
      <c r="E15" s="47"/>
      <c r="F15" s="286" t="s">
        <v>22</v>
      </c>
      <c r="G15" s="287"/>
      <c r="H15" s="288"/>
      <c r="I15" s="48"/>
      <c r="J15" s="289" t="s">
        <v>23</v>
      </c>
      <c r="K15" s="290"/>
      <c r="L15" s="291"/>
      <c r="M15" s="4" t="s">
        <v>24</v>
      </c>
      <c r="N15" s="292" t="s">
        <v>25</v>
      </c>
      <c r="O15" s="292"/>
      <c r="P15" s="292"/>
      <c r="Q15" s="292"/>
      <c r="R15" s="292"/>
      <c r="S15" s="292"/>
    </row>
    <row r="16" spans="1:19">
      <c r="A16" s="19"/>
      <c r="B16" s="49"/>
      <c r="C16" s="50"/>
      <c r="D16" s="51" t="s">
        <v>26</v>
      </c>
      <c r="E16" s="47"/>
      <c r="F16" s="293" t="s">
        <v>27</v>
      </c>
      <c r="G16" s="294"/>
      <c r="H16" s="295"/>
      <c r="I16" s="48"/>
      <c r="J16" s="296" t="s">
        <v>28</v>
      </c>
      <c r="K16" s="297"/>
      <c r="L16" s="298"/>
      <c r="N16" s="292"/>
      <c r="O16" s="292"/>
      <c r="P16" s="292"/>
      <c r="Q16" s="292"/>
      <c r="R16" s="292"/>
      <c r="S16" s="292"/>
    </row>
    <row r="17" spans="1:19" ht="16.5" thickBot="1">
      <c r="A17" s="19"/>
      <c r="B17" s="49"/>
      <c r="C17" s="50"/>
      <c r="D17" s="52" t="s">
        <v>29</v>
      </c>
      <c r="E17" s="47"/>
      <c r="F17" s="299" t="s">
        <v>30</v>
      </c>
      <c r="G17" s="300"/>
      <c r="H17" s="53">
        <v>48</v>
      </c>
      <c r="I17" s="48"/>
      <c r="J17" s="301" t="s">
        <v>31</v>
      </c>
      <c r="K17" s="302"/>
      <c r="L17" s="54">
        <v>43</v>
      </c>
      <c r="M17" s="4" t="s">
        <v>32</v>
      </c>
      <c r="N17" s="292"/>
      <c r="O17" s="292"/>
      <c r="P17" s="292"/>
      <c r="Q17" s="292"/>
      <c r="R17" s="292"/>
      <c r="S17" s="292"/>
    </row>
    <row r="18" spans="1:19" ht="16.5" thickBot="1">
      <c r="A18" s="19"/>
      <c r="B18" s="49"/>
      <c r="C18" s="50"/>
      <c r="D18" s="55" t="s">
        <v>33</v>
      </c>
      <c r="E18" s="47"/>
      <c r="F18" s="56"/>
      <c r="G18" s="57"/>
      <c r="H18" s="53"/>
      <c r="I18" s="48"/>
      <c r="J18" s="58"/>
      <c r="K18" s="59"/>
      <c r="L18" s="54"/>
      <c r="N18" s="203"/>
      <c r="O18" s="203"/>
      <c r="P18" s="203"/>
      <c r="Q18" s="203"/>
      <c r="R18" s="203"/>
      <c r="S18" s="203"/>
    </row>
    <row r="19" spans="1:19" ht="16.149999999999999" customHeight="1" thickBot="1">
      <c r="A19" s="19"/>
      <c r="B19" s="49" t="s">
        <v>34</v>
      </c>
      <c r="C19" s="60" t="s">
        <v>35</v>
      </c>
      <c r="D19" s="55" t="s">
        <v>36</v>
      </c>
      <c r="E19" s="47"/>
      <c r="F19" s="61" t="s">
        <v>37</v>
      </c>
      <c r="G19" s="62" t="s">
        <v>38</v>
      </c>
      <c r="H19" s="63" t="s">
        <v>39</v>
      </c>
      <c r="I19" s="64"/>
      <c r="J19" s="65" t="s">
        <v>37</v>
      </c>
      <c r="K19" s="66" t="s">
        <v>38</v>
      </c>
      <c r="L19" s="67" t="s">
        <v>39</v>
      </c>
      <c r="M19" s="4" t="s">
        <v>40</v>
      </c>
      <c r="N19" s="203"/>
      <c r="O19" s="203"/>
      <c r="P19" s="203"/>
      <c r="Q19" s="203"/>
      <c r="R19" s="203"/>
      <c r="S19" s="203"/>
    </row>
    <row r="20" spans="1:19" s="1" customFormat="1" ht="18" customHeight="1" thickBot="1">
      <c r="A20" s="19">
        <v>7</v>
      </c>
      <c r="B20" s="270" t="s">
        <v>41</v>
      </c>
      <c r="C20" s="271"/>
      <c r="D20" s="271"/>
      <c r="E20" s="271"/>
      <c r="F20" s="271"/>
      <c r="G20" s="272"/>
      <c r="H20" s="272"/>
      <c r="I20" s="272"/>
      <c r="J20" s="272"/>
      <c r="K20" s="272"/>
      <c r="L20" s="273"/>
      <c r="M20" s="10"/>
      <c r="N20" s="204"/>
      <c r="O20" s="204"/>
      <c r="P20" s="204"/>
      <c r="Q20" s="204"/>
      <c r="R20" s="203"/>
      <c r="S20" s="204"/>
    </row>
    <row r="21" spans="1:19">
      <c r="A21" s="19">
        <v>8</v>
      </c>
      <c r="B21" s="68" t="str">
        <f>'[1]Amd 1.3 SR Expenses'!B10</f>
        <v>Salaries &amp; Wages - Office Employees</v>
      </c>
      <c r="C21" s="69">
        <v>601</v>
      </c>
      <c r="D21" s="70">
        <f>'[1]Amd 1.3 SR Expenses'!G10</f>
        <v>0</v>
      </c>
      <c r="E21" s="71"/>
      <c r="F21" s="72">
        <f t="shared" ref="F21:F44" si="0">D21*G21</f>
        <v>0</v>
      </c>
      <c r="G21" s="73">
        <v>0.2</v>
      </c>
      <c r="H21" s="74"/>
      <c r="I21" s="75"/>
      <c r="J21" s="76">
        <f t="shared" ref="J21:J49" si="1">D21*K21</f>
        <v>0</v>
      </c>
      <c r="K21" s="77">
        <f>1-G21</f>
        <v>0.8</v>
      </c>
      <c r="L21" s="78"/>
      <c r="N21" s="203"/>
      <c r="O21" s="203"/>
      <c r="P21" s="203"/>
      <c r="Q21" s="203"/>
      <c r="R21" s="203"/>
      <c r="S21" s="203"/>
    </row>
    <row r="22" spans="1:19">
      <c r="A22" s="19">
        <v>9</v>
      </c>
      <c r="B22" s="68" t="str">
        <f>'[1]Amd 1.3 SR Expenses'!B11</f>
        <v>Salaries &amp; Wages - Officers &amp; Directors</v>
      </c>
      <c r="C22" s="79">
        <v>603</v>
      </c>
      <c r="D22" s="80">
        <f>'[1]Amd 1.3 SR Expenses'!G11</f>
        <v>0</v>
      </c>
      <c r="E22" s="81"/>
      <c r="F22" s="82">
        <f t="shared" si="0"/>
        <v>0</v>
      </c>
      <c r="G22" s="83">
        <v>0.2</v>
      </c>
      <c r="H22" s="74"/>
      <c r="I22" s="75"/>
      <c r="J22" s="84">
        <f t="shared" si="1"/>
        <v>0</v>
      </c>
      <c r="K22" s="85">
        <f>1-G22</f>
        <v>0.8</v>
      </c>
      <c r="L22" s="78"/>
      <c r="N22" s="203"/>
      <c r="O22" s="203"/>
      <c r="P22" s="203"/>
      <c r="Q22" s="203"/>
      <c r="R22" s="203"/>
      <c r="S22" s="203"/>
    </row>
    <row r="23" spans="1:19">
      <c r="A23" s="19">
        <v>10</v>
      </c>
      <c r="B23" s="68" t="str">
        <f>'[1]Amd 1.3 SR Expenses'!B12</f>
        <v>Employee Pensions &amp; Benefits</v>
      </c>
      <c r="C23" s="79">
        <v>604</v>
      </c>
      <c r="D23" s="80">
        <f>'[1]Amd 1.3 SR Expenses'!G12</f>
        <v>0</v>
      </c>
      <c r="E23" s="81"/>
      <c r="F23" s="82">
        <f t="shared" si="0"/>
        <v>0</v>
      </c>
      <c r="G23" s="83">
        <v>0.2</v>
      </c>
      <c r="H23" s="74"/>
      <c r="I23" s="75"/>
      <c r="J23" s="84">
        <f t="shared" si="1"/>
        <v>0</v>
      </c>
      <c r="K23" s="85">
        <f t="shared" ref="K23:K44" si="2">1-G23</f>
        <v>0.8</v>
      </c>
      <c r="L23" s="78"/>
      <c r="N23" s="203"/>
      <c r="O23" s="203"/>
      <c r="P23" s="203"/>
      <c r="Q23" s="203"/>
      <c r="R23" s="203"/>
      <c r="S23" s="203"/>
    </row>
    <row r="24" spans="1:19">
      <c r="A24" s="19">
        <v>11</v>
      </c>
      <c r="B24" s="68" t="str">
        <f>'[1]Amd 1.3 SR Expenses'!B13</f>
        <v>Purchased Water</v>
      </c>
      <c r="C24" s="79"/>
      <c r="D24" s="80">
        <f>'[1]Amd 1.3 SR Expenses'!G13</f>
        <v>0</v>
      </c>
      <c r="E24" s="81"/>
      <c r="F24" s="82">
        <f t="shared" si="0"/>
        <v>0</v>
      </c>
      <c r="G24" s="83">
        <v>0</v>
      </c>
      <c r="H24" s="74"/>
      <c r="I24" s="75"/>
      <c r="J24" s="84">
        <f t="shared" si="1"/>
        <v>0</v>
      </c>
      <c r="K24" s="85">
        <f t="shared" si="2"/>
        <v>1</v>
      </c>
      <c r="L24" s="78"/>
      <c r="N24" s="203"/>
      <c r="O24" s="203">
        <v>4154229</v>
      </c>
      <c r="P24" s="203" t="s">
        <v>42</v>
      </c>
      <c r="Q24" s="203"/>
      <c r="R24" s="203"/>
      <c r="S24" s="203"/>
    </row>
    <row r="25" spans="1:19">
      <c r="A25" s="19">
        <v>12</v>
      </c>
      <c r="B25" s="68" t="str">
        <f>'[1]Amd 1.3 SR Expenses'!B14</f>
        <v>Purchased Power (Electricity)</v>
      </c>
      <c r="C25" s="79">
        <v>610</v>
      </c>
      <c r="D25" s="80">
        <f>'[1]Amd 1.3 SR Expenses'!G14</f>
        <v>2800</v>
      </c>
      <c r="E25" s="81"/>
      <c r="F25" s="82">
        <f t="shared" si="0"/>
        <v>0</v>
      </c>
      <c r="G25" s="83">
        <v>0</v>
      </c>
      <c r="H25" s="74"/>
      <c r="I25" s="75"/>
      <c r="J25" s="84">
        <f t="shared" si="1"/>
        <v>2800</v>
      </c>
      <c r="K25" s="85">
        <f t="shared" si="2"/>
        <v>1</v>
      </c>
      <c r="L25" s="78"/>
      <c r="N25" s="203">
        <f>2800*2</f>
        <v>5600</v>
      </c>
      <c r="O25" s="205">
        <f>0.000376*1000*2</f>
        <v>0.752</v>
      </c>
      <c r="P25" s="203" t="s">
        <v>43</v>
      </c>
      <c r="Q25" s="203"/>
      <c r="R25" s="203"/>
      <c r="S25" s="203"/>
    </row>
    <row r="26" spans="1:19">
      <c r="A26" s="19">
        <v>13</v>
      </c>
      <c r="B26" s="68" t="str">
        <f>'[1]Amd 1.3 SR Expenses'!B15</f>
        <v>Purchased Power (Propane)</v>
      </c>
      <c r="C26" s="79">
        <v>615</v>
      </c>
      <c r="D26" s="80">
        <f>'[1]Amd 1.3 SR Expenses'!G15</f>
        <v>0</v>
      </c>
      <c r="E26" s="81"/>
      <c r="F26" s="82">
        <f t="shared" si="0"/>
        <v>0</v>
      </c>
      <c r="G26" s="83">
        <v>0</v>
      </c>
      <c r="H26" s="74"/>
      <c r="I26" s="75"/>
      <c r="J26" s="84">
        <f t="shared" si="1"/>
        <v>0</v>
      </c>
      <c r="K26" s="85">
        <f t="shared" si="2"/>
        <v>1</v>
      </c>
      <c r="L26" s="78"/>
      <c r="N26" s="203"/>
      <c r="O26" s="203"/>
      <c r="P26" s="203"/>
      <c r="Q26" s="203"/>
      <c r="R26" s="203"/>
      <c r="S26" s="203"/>
    </row>
    <row r="27" spans="1:19">
      <c r="A27" s="19">
        <v>14</v>
      </c>
      <c r="B27" s="68" t="str">
        <f>'[1]Amd 1.3 SR Expenses'!B16</f>
        <v>Chemicals</v>
      </c>
      <c r="C27" s="79">
        <v>618</v>
      </c>
      <c r="D27" s="80">
        <f>'[1]Amd 1.3 SR Expenses'!G16</f>
        <v>550</v>
      </c>
      <c r="E27" s="81"/>
      <c r="F27" s="82">
        <f t="shared" si="0"/>
        <v>0</v>
      </c>
      <c r="G27" s="83">
        <v>0</v>
      </c>
      <c r="H27" s="74"/>
      <c r="I27" s="75"/>
      <c r="J27" s="84">
        <f t="shared" si="1"/>
        <v>550</v>
      </c>
      <c r="K27" s="85">
        <f t="shared" si="2"/>
        <v>1</v>
      </c>
      <c r="L27" s="78"/>
      <c r="N27" s="203">
        <v>550</v>
      </c>
      <c r="O27" s="203">
        <f>550/O24*1000</f>
        <v>0.13239520498268151</v>
      </c>
      <c r="P27" s="203" t="s">
        <v>44</v>
      </c>
      <c r="Q27" s="203"/>
      <c r="R27" s="203"/>
      <c r="S27" s="203"/>
    </row>
    <row r="28" spans="1:19">
      <c r="A28" s="19">
        <v>15</v>
      </c>
      <c r="B28" s="68" t="str">
        <f>'[1]Amd 1.3 SR Expenses'!B17</f>
        <v>Materials and Supplies</v>
      </c>
      <c r="C28" s="79">
        <v>620</v>
      </c>
      <c r="D28" s="80">
        <f>'[1]Amd 1.3 SR Expenses'!G17</f>
        <v>0</v>
      </c>
      <c r="E28" s="81"/>
      <c r="F28" s="82">
        <f t="shared" si="0"/>
        <v>0</v>
      </c>
      <c r="G28" s="83">
        <v>0.1</v>
      </c>
      <c r="H28" s="74"/>
      <c r="I28" s="75"/>
      <c r="J28" s="84">
        <f t="shared" si="1"/>
        <v>0</v>
      </c>
      <c r="K28" s="85">
        <f t="shared" si="2"/>
        <v>0.9</v>
      </c>
      <c r="L28" s="78"/>
      <c r="N28" s="203"/>
      <c r="O28" s="203"/>
      <c r="P28" s="203"/>
      <c r="Q28" s="203"/>
      <c r="R28" s="203"/>
      <c r="S28" s="203"/>
    </row>
    <row r="29" spans="1:19">
      <c r="A29" s="19">
        <v>16</v>
      </c>
      <c r="B29" s="68" t="str">
        <f>'[1]Amd 1.3 SR Expenses'!B18</f>
        <v>Contractual Services - Engineering</v>
      </c>
      <c r="C29" s="79">
        <v>631</v>
      </c>
      <c r="D29" s="80">
        <f>'[1]Amd 1.3 SR Expenses'!G18</f>
        <v>0</v>
      </c>
      <c r="E29" s="81"/>
      <c r="F29" s="82">
        <f t="shared" si="0"/>
        <v>0</v>
      </c>
      <c r="G29" s="83">
        <v>0.05</v>
      </c>
      <c r="H29" s="74"/>
      <c r="I29" s="75"/>
      <c r="J29" s="84">
        <f t="shared" si="1"/>
        <v>0</v>
      </c>
      <c r="K29" s="85">
        <f t="shared" si="2"/>
        <v>0.95</v>
      </c>
      <c r="L29" s="78"/>
      <c r="N29" s="203"/>
      <c r="O29" s="203"/>
      <c r="P29" s="203" t="s">
        <v>45</v>
      </c>
      <c r="Q29" s="203"/>
      <c r="R29" s="203"/>
      <c r="S29" s="203"/>
    </row>
    <row r="30" spans="1:19">
      <c r="A30" s="19">
        <v>17</v>
      </c>
      <c r="B30" s="68" t="str">
        <f>'[1]Amd 1.3 SR Expenses'!B19</f>
        <v>Contractual Services - Accounting</v>
      </c>
      <c r="C30" s="79">
        <v>632</v>
      </c>
      <c r="D30" s="80">
        <f>'[1]Amd 1.3 SR Expenses'!G19</f>
        <v>1400</v>
      </c>
      <c r="E30" s="81"/>
      <c r="F30" s="82">
        <f t="shared" si="0"/>
        <v>140</v>
      </c>
      <c r="G30" s="83">
        <v>0.1</v>
      </c>
      <c r="H30" s="74"/>
      <c r="I30" s="75"/>
      <c r="J30" s="84">
        <f t="shared" si="1"/>
        <v>1260</v>
      </c>
      <c r="K30" s="85">
        <f t="shared" si="2"/>
        <v>0.9</v>
      </c>
      <c r="L30" s="78"/>
      <c r="N30" s="203"/>
      <c r="O30" s="203"/>
      <c r="P30" s="203"/>
      <c r="Q30" s="203"/>
      <c r="R30" s="203"/>
      <c r="S30" s="203"/>
    </row>
    <row r="31" spans="1:19">
      <c r="A31" s="19">
        <v>18</v>
      </c>
      <c r="B31" s="68" t="str">
        <f>'[1]Amd 1.3 SR Expenses'!B20</f>
        <v>Contractual Services - Legal</v>
      </c>
      <c r="C31" s="79">
        <v>633</v>
      </c>
      <c r="D31" s="80">
        <f>'[1]Amd 1.3 SR Expenses'!G20</f>
        <v>500</v>
      </c>
      <c r="E31" s="81"/>
      <c r="F31" s="82">
        <f t="shared" si="0"/>
        <v>25</v>
      </c>
      <c r="G31" s="83">
        <v>0.05</v>
      </c>
      <c r="H31" s="74"/>
      <c r="I31" s="75"/>
      <c r="J31" s="84">
        <f t="shared" si="1"/>
        <v>475</v>
      </c>
      <c r="K31" s="85">
        <f t="shared" si="2"/>
        <v>0.95</v>
      </c>
      <c r="L31" s="78"/>
      <c r="N31" s="203"/>
      <c r="O31" s="203"/>
      <c r="P31" s="203"/>
      <c r="Q31" s="203"/>
      <c r="R31" s="203"/>
      <c r="S31" s="203"/>
    </row>
    <row r="32" spans="1:19">
      <c r="A32" s="19">
        <v>19</v>
      </c>
      <c r="B32" s="68" t="str">
        <f>'[1]Amd 1.3 SR Expenses'!B21</f>
        <v>Contractual Services - Management Fees</v>
      </c>
      <c r="C32" s="79">
        <v>634</v>
      </c>
      <c r="D32" s="80">
        <f>'[1]Amd 1.3 SR Expenses'!G21</f>
        <v>0</v>
      </c>
      <c r="E32" s="81"/>
      <c r="F32" s="82">
        <f t="shared" si="0"/>
        <v>0</v>
      </c>
      <c r="G32" s="83">
        <v>0.05</v>
      </c>
      <c r="H32" s="74"/>
      <c r="I32" s="75"/>
      <c r="J32" s="84">
        <f t="shared" si="1"/>
        <v>0</v>
      </c>
      <c r="K32" s="85">
        <f t="shared" si="2"/>
        <v>0.95</v>
      </c>
      <c r="L32" s="78"/>
      <c r="N32" s="203"/>
      <c r="O32" s="203"/>
      <c r="P32" s="203"/>
      <c r="Q32" s="203"/>
      <c r="R32" s="203"/>
      <c r="S32" s="203"/>
    </row>
    <row r="33" spans="1:19">
      <c r="A33" s="19">
        <v>20</v>
      </c>
      <c r="B33" s="68" t="str">
        <f>'[1]Amd 1.3 SR Expenses'!B22</f>
        <v>Contractual Services - Testing &amp; Lab Fees</v>
      </c>
      <c r="C33" s="79" t="s">
        <v>46</v>
      </c>
      <c r="D33" s="80">
        <f>'[1]Amd 1.3 SR Expenses'!G22</f>
        <v>1400</v>
      </c>
      <c r="E33" s="81"/>
      <c r="F33" s="82">
        <f t="shared" si="0"/>
        <v>70</v>
      </c>
      <c r="G33" s="83">
        <v>0.05</v>
      </c>
      <c r="H33" s="74"/>
      <c r="I33" s="75"/>
      <c r="J33" s="84">
        <f t="shared" si="1"/>
        <v>1330</v>
      </c>
      <c r="K33" s="85">
        <f t="shared" si="2"/>
        <v>0.95</v>
      </c>
      <c r="L33" s="78"/>
      <c r="N33" s="203"/>
      <c r="O33" s="203"/>
      <c r="P33" s="203"/>
      <c r="Q33" s="203"/>
      <c r="R33" s="203"/>
      <c r="S33" s="203"/>
    </row>
    <row r="34" spans="1:19">
      <c r="A34" s="19">
        <v>21</v>
      </c>
      <c r="B34" s="68" t="str">
        <f>'[1]Amd 1.3 SR Expenses'!B23</f>
        <v>Contractual Services - Water Sampling</v>
      </c>
      <c r="C34" s="79" t="s">
        <v>47</v>
      </c>
      <c r="D34" s="80">
        <f>'[1]Amd 1.3 SR Expenses'!G23</f>
        <v>0</v>
      </c>
      <c r="E34" s="81"/>
      <c r="F34" s="82">
        <f t="shared" si="0"/>
        <v>0</v>
      </c>
      <c r="G34" s="83">
        <v>0.05</v>
      </c>
      <c r="H34" s="74"/>
      <c r="I34" s="75"/>
      <c r="J34" s="84">
        <f t="shared" si="1"/>
        <v>0</v>
      </c>
      <c r="K34" s="85">
        <f t="shared" si="2"/>
        <v>0.95</v>
      </c>
      <c r="L34" s="78"/>
      <c r="N34" s="203"/>
      <c r="O34" s="203"/>
      <c r="P34" s="203"/>
      <c r="Q34" s="203"/>
      <c r="R34" s="203"/>
      <c r="S34" s="203"/>
    </row>
    <row r="35" spans="1:19">
      <c r="A35" s="19">
        <v>22</v>
      </c>
      <c r="B35" s="68" t="str">
        <f>'[1]Amd 1.3 SR Expenses'!B24</f>
        <v>Contractual Services - Water System Maintenance</v>
      </c>
      <c r="C35" s="79">
        <v>636</v>
      </c>
      <c r="D35" s="80">
        <f>'[1]Amd 1.3 SR Expenses'!G24</f>
        <v>1800</v>
      </c>
      <c r="E35" s="81"/>
      <c r="F35" s="82">
        <f t="shared" si="0"/>
        <v>90</v>
      </c>
      <c r="G35" s="83">
        <v>0.05</v>
      </c>
      <c r="H35" s="74"/>
      <c r="I35" s="75"/>
      <c r="J35" s="84">
        <f t="shared" si="1"/>
        <v>1710</v>
      </c>
      <c r="K35" s="85">
        <f t="shared" si="2"/>
        <v>0.95</v>
      </c>
      <c r="L35" s="78"/>
      <c r="N35" s="203">
        <v>1710</v>
      </c>
      <c r="O35" s="203">
        <f>N35/O24*1000</f>
        <v>0.41162872821888247</v>
      </c>
      <c r="P35" s="203" t="s">
        <v>48</v>
      </c>
      <c r="Q35" s="203"/>
      <c r="R35" s="203"/>
      <c r="S35" s="203"/>
    </row>
    <row r="36" spans="1:19">
      <c r="A36" s="19">
        <v>23</v>
      </c>
      <c r="B36" s="68" t="str">
        <f>'[1]Amd 1.3 SR Expenses'!B25</f>
        <v>Contractual Services - Water System Repairs</v>
      </c>
      <c r="C36" s="79">
        <v>637</v>
      </c>
      <c r="D36" s="80">
        <f>'[1]Amd 1.3 SR Expenses'!G25</f>
        <v>1800</v>
      </c>
      <c r="E36" s="81"/>
      <c r="F36" s="82">
        <f t="shared" si="0"/>
        <v>360</v>
      </c>
      <c r="G36" s="83">
        <v>0.2</v>
      </c>
      <c r="H36" s="74"/>
      <c r="I36" s="75"/>
      <c r="J36" s="84">
        <f t="shared" si="1"/>
        <v>1440</v>
      </c>
      <c r="K36" s="85">
        <f t="shared" si="2"/>
        <v>0.8</v>
      </c>
      <c r="L36" s="78"/>
      <c r="N36" s="203">
        <v>1440</v>
      </c>
      <c r="O36" s="203">
        <f>N36/O24*1000</f>
        <v>0.34663471850011157</v>
      </c>
      <c r="P36" s="203" t="s">
        <v>49</v>
      </c>
      <c r="Q36" s="203"/>
      <c r="R36" s="203"/>
      <c r="S36" s="203"/>
    </row>
    <row r="37" spans="1:19">
      <c r="A37" s="19">
        <v>24</v>
      </c>
      <c r="B37" s="68" t="str">
        <f>'[1]Amd 1.3 SR Expenses'!B26</f>
        <v>Contractual Services - Other (Equipment Operator)</v>
      </c>
      <c r="C37" s="79"/>
      <c r="D37" s="80">
        <f>'[1]Amd 1.3 SR Expenses'!G26</f>
        <v>600</v>
      </c>
      <c r="E37" s="81"/>
      <c r="F37" s="82">
        <f t="shared" si="0"/>
        <v>120</v>
      </c>
      <c r="G37" s="83">
        <v>0.2</v>
      </c>
      <c r="H37" s="74"/>
      <c r="I37" s="75"/>
      <c r="J37" s="84">
        <f t="shared" si="1"/>
        <v>480</v>
      </c>
      <c r="K37" s="85">
        <f t="shared" si="2"/>
        <v>0.8</v>
      </c>
      <c r="L37" s="78"/>
      <c r="N37" s="203">
        <v>480</v>
      </c>
      <c r="O37" s="203">
        <f>N37/O24*1000</f>
        <v>0.11554490616670385</v>
      </c>
      <c r="P37" s="203" t="s">
        <v>50</v>
      </c>
      <c r="Q37" s="203"/>
      <c r="R37" s="203"/>
      <c r="S37" s="203"/>
    </row>
    <row r="38" spans="1:19">
      <c r="A38" s="19">
        <v>25</v>
      </c>
      <c r="B38" s="68" t="str">
        <f>'[1]Amd 1.3 SR Expenses'!B27</f>
        <v>Contractual Services - Billing (Meter Reading)</v>
      </c>
      <c r="C38" s="79">
        <v>639</v>
      </c>
      <c r="D38" s="80">
        <f>'[1]Amd 1.3 SR Expenses'!G27</f>
        <v>0</v>
      </c>
      <c r="E38" s="81"/>
      <c r="F38" s="82">
        <f t="shared" si="0"/>
        <v>0</v>
      </c>
      <c r="G38" s="86">
        <v>0.2</v>
      </c>
      <c r="H38" s="74"/>
      <c r="I38" s="75"/>
      <c r="J38" s="87">
        <f t="shared" si="1"/>
        <v>0</v>
      </c>
      <c r="K38" s="88">
        <f t="shared" si="2"/>
        <v>0.8</v>
      </c>
      <c r="L38" s="89"/>
      <c r="N38" s="203"/>
      <c r="O38" s="203"/>
      <c r="P38" s="203"/>
      <c r="Q38" s="203"/>
      <c r="R38" s="203"/>
      <c r="S38" s="203"/>
    </row>
    <row r="39" spans="1:19">
      <c r="A39" s="19">
        <v>26</v>
      </c>
      <c r="B39" s="68" t="str">
        <f>'[1]Amd 1.3 SR Expenses'!B28</f>
        <v>Interest-Free Loan Payments for Arsenic Project</v>
      </c>
      <c r="C39" s="79">
        <v>642</v>
      </c>
      <c r="D39" s="80">
        <f>'[1]Amd 1.3 SR Expenses'!G28</f>
        <v>5520</v>
      </c>
      <c r="E39" s="81"/>
      <c r="F39" s="90">
        <f t="shared" si="0"/>
        <v>1104</v>
      </c>
      <c r="G39" s="73">
        <v>0.2</v>
      </c>
      <c r="H39" s="74"/>
      <c r="I39" s="75"/>
      <c r="J39" s="91">
        <f t="shared" si="1"/>
        <v>4416</v>
      </c>
      <c r="K39" s="77">
        <f t="shared" si="2"/>
        <v>0.8</v>
      </c>
      <c r="L39" s="89"/>
      <c r="N39" s="203"/>
      <c r="O39" s="203"/>
      <c r="P39" s="203"/>
      <c r="Q39" s="203"/>
      <c r="R39" s="203"/>
      <c r="S39" s="203"/>
    </row>
    <row r="40" spans="1:19">
      <c r="A40" s="19">
        <v>27</v>
      </c>
      <c r="B40" s="68" t="str">
        <f>'[1]Amd 1.3 SR Expenses'!B29</f>
        <v>Transportation Expense</v>
      </c>
      <c r="C40" s="79">
        <v>650</v>
      </c>
      <c r="D40" s="80">
        <f>'[1]Amd 1.3 SR Expenses'!G29</f>
        <v>0</v>
      </c>
      <c r="E40" s="81"/>
      <c r="F40" s="82">
        <f t="shared" si="0"/>
        <v>0</v>
      </c>
      <c r="G40" s="83">
        <v>0.05</v>
      </c>
      <c r="H40" s="92"/>
      <c r="I40" s="75"/>
      <c r="J40" s="84">
        <f t="shared" si="1"/>
        <v>0</v>
      </c>
      <c r="K40" s="85">
        <f t="shared" si="2"/>
        <v>0.95</v>
      </c>
      <c r="L40" s="93"/>
      <c r="N40" s="203"/>
      <c r="O40" s="203"/>
      <c r="P40" s="203"/>
      <c r="Q40" s="203"/>
      <c r="R40" s="203"/>
      <c r="S40" s="203"/>
    </row>
    <row r="41" spans="1:19">
      <c r="A41" s="19">
        <v>28</v>
      </c>
      <c r="B41" s="68" t="str">
        <f>'[1]Amd 1.3 SR Expenses'!B30</f>
        <v>Insurance - General Liability</v>
      </c>
      <c r="C41" s="79">
        <v>657</v>
      </c>
      <c r="D41" s="80">
        <f>'[1]Amd 1.3 SR Expenses'!G30</f>
        <v>1800</v>
      </c>
      <c r="E41" s="81"/>
      <c r="F41" s="82">
        <f t="shared" si="0"/>
        <v>180</v>
      </c>
      <c r="G41" s="83">
        <v>0.1</v>
      </c>
      <c r="H41" s="74"/>
      <c r="I41" s="75"/>
      <c r="J41" s="84">
        <f t="shared" si="1"/>
        <v>1620</v>
      </c>
      <c r="K41" s="85">
        <f t="shared" si="2"/>
        <v>0.9</v>
      </c>
      <c r="L41" s="78"/>
      <c r="N41" s="203"/>
      <c r="O41" s="203"/>
      <c r="P41" s="203"/>
      <c r="Q41" s="203"/>
      <c r="R41" s="203"/>
      <c r="S41" s="203"/>
    </row>
    <row r="42" spans="1:19">
      <c r="A42" s="19">
        <v>29</v>
      </c>
      <c r="B42" s="68" t="str">
        <f>'[1]Amd 1.3 SR Expenses'!B31</f>
        <v>Insurance - Other</v>
      </c>
      <c r="C42" s="79">
        <v>659</v>
      </c>
      <c r="D42" s="80">
        <f>'[1]Amd 1.3 SR Expenses'!G31</f>
        <v>0</v>
      </c>
      <c r="E42" s="81"/>
      <c r="F42" s="82">
        <f t="shared" si="0"/>
        <v>0</v>
      </c>
      <c r="G42" s="83">
        <v>0.05</v>
      </c>
      <c r="H42" s="74"/>
      <c r="I42" s="75"/>
      <c r="J42" s="84">
        <f t="shared" si="1"/>
        <v>0</v>
      </c>
      <c r="K42" s="85">
        <f t="shared" si="2"/>
        <v>0.95</v>
      </c>
      <c r="L42" s="78"/>
      <c r="N42" s="203"/>
      <c r="O42" s="203"/>
      <c r="P42" s="203"/>
      <c r="Q42" s="203"/>
      <c r="R42" s="203"/>
      <c r="S42" s="203"/>
    </row>
    <row r="43" spans="1:19">
      <c r="A43" s="19">
        <v>30</v>
      </c>
      <c r="B43" s="68" t="str">
        <f>'[1]Amd 1.3 SR Expenses'!B32</f>
        <v>Regulatory Commission Expense</v>
      </c>
      <c r="C43" s="79">
        <v>667</v>
      </c>
      <c r="D43" s="80">
        <f>'[1]Amd 1.3 SR Expenses'!G32</f>
        <v>50</v>
      </c>
      <c r="E43" s="81"/>
      <c r="F43" s="82">
        <f t="shared" si="0"/>
        <v>25</v>
      </c>
      <c r="G43" s="83">
        <v>0.5</v>
      </c>
      <c r="H43" s="74"/>
      <c r="I43" s="75"/>
      <c r="J43" s="84">
        <f t="shared" si="1"/>
        <v>25</v>
      </c>
      <c r="K43" s="85">
        <f t="shared" si="2"/>
        <v>0.5</v>
      </c>
      <c r="L43" s="78"/>
      <c r="N43" s="203"/>
      <c r="O43" s="203"/>
      <c r="P43" s="203"/>
      <c r="Q43" s="203"/>
      <c r="R43" s="203"/>
      <c r="S43" s="203"/>
    </row>
    <row r="44" spans="1:19">
      <c r="A44" s="19">
        <v>31</v>
      </c>
      <c r="B44" s="68" t="str">
        <f>'[1]Amd 1.3 SR Expenses'!B33</f>
        <v>Bad Debt Expense</v>
      </c>
      <c r="C44" s="79">
        <v>670</v>
      </c>
      <c r="D44" s="80">
        <f>'[1]Amd 1.3 SR Expenses'!G33</f>
        <v>0</v>
      </c>
      <c r="E44" s="81"/>
      <c r="F44" s="82">
        <f t="shared" si="0"/>
        <v>0</v>
      </c>
      <c r="G44" s="83">
        <v>0.2</v>
      </c>
      <c r="H44" s="74"/>
      <c r="I44" s="75"/>
      <c r="J44" s="84">
        <f t="shared" si="1"/>
        <v>0</v>
      </c>
      <c r="K44" s="85">
        <f t="shared" si="2"/>
        <v>0.8</v>
      </c>
      <c r="L44" s="78"/>
      <c r="N44" s="206"/>
      <c r="O44" s="203"/>
      <c r="P44" s="203"/>
      <c r="Q44" s="203"/>
      <c r="R44" s="203"/>
      <c r="S44" s="203"/>
    </row>
    <row r="45" spans="1:19">
      <c r="A45" s="19">
        <v>32</v>
      </c>
      <c r="B45" s="68" t="str">
        <f>'[1]Amd 1.3 SR Expenses'!B34</f>
        <v>Miscellaneous Expense</v>
      </c>
      <c r="C45" s="94">
        <v>675</v>
      </c>
      <c r="D45" s="95"/>
      <c r="E45" s="81"/>
      <c r="F45" s="96"/>
      <c r="G45" s="97"/>
      <c r="H45" s="74"/>
      <c r="I45" s="75"/>
      <c r="J45" s="98"/>
      <c r="K45" s="99"/>
      <c r="L45" s="78"/>
      <c r="N45" s="203"/>
      <c r="O45" s="203"/>
      <c r="P45" s="203"/>
      <c r="Q45" s="203"/>
      <c r="R45" s="203"/>
      <c r="S45" s="203"/>
    </row>
    <row r="46" spans="1:19">
      <c r="A46" s="19">
        <v>33</v>
      </c>
      <c r="B46" s="68" t="str">
        <f>'[1]Amd 1.3 SR Expenses'!B35</f>
        <v xml:space="preserve">     Association/Membership Dues</v>
      </c>
      <c r="C46" s="100" t="s">
        <v>51</v>
      </c>
      <c r="D46" s="80">
        <f>'[1]Amd 1.3 SR Expenses'!G35</f>
        <v>0</v>
      </c>
      <c r="E46" s="81"/>
      <c r="F46" s="82">
        <f>D46*G46</f>
        <v>0</v>
      </c>
      <c r="G46" s="83">
        <v>0.2</v>
      </c>
      <c r="H46" s="74"/>
      <c r="I46" s="75"/>
      <c r="J46" s="84">
        <f t="shared" si="1"/>
        <v>0</v>
      </c>
      <c r="K46" s="85">
        <f>1-G46</f>
        <v>0.8</v>
      </c>
      <c r="L46" s="78"/>
      <c r="N46" s="203"/>
      <c r="O46" s="203"/>
      <c r="P46" s="203"/>
      <c r="Q46" s="203"/>
      <c r="R46" s="203"/>
      <c r="S46" s="203"/>
    </row>
    <row r="47" spans="1:19">
      <c r="A47" s="19">
        <v>34</v>
      </c>
      <c r="B47" s="68" t="str">
        <f>'[1]Amd 1.3 SR Expenses'!B36</f>
        <v xml:space="preserve">     Office Supplies and Postage</v>
      </c>
      <c r="C47" s="100" t="s">
        <v>52</v>
      </c>
      <c r="D47" s="80">
        <f>'[1]Amd 1.3 SR Expenses'!G36</f>
        <v>425</v>
      </c>
      <c r="E47" s="81"/>
      <c r="F47" s="82">
        <f>D47*G47</f>
        <v>85</v>
      </c>
      <c r="G47" s="83">
        <v>0.2</v>
      </c>
      <c r="H47" s="74"/>
      <c r="I47" s="75"/>
      <c r="J47" s="84">
        <f t="shared" si="1"/>
        <v>340</v>
      </c>
      <c r="K47" s="85">
        <f>1-G47</f>
        <v>0.8</v>
      </c>
      <c r="L47" s="78"/>
      <c r="N47" s="203"/>
      <c r="O47" s="203"/>
      <c r="P47" s="203"/>
      <c r="Q47" s="203"/>
      <c r="R47" s="203"/>
      <c r="S47" s="203"/>
    </row>
    <row r="48" spans="1:19">
      <c r="A48" s="19">
        <v>35</v>
      </c>
      <c r="B48" s="68" t="str">
        <f>'[1]Amd 1.3 SR Expenses'!B37</f>
        <v xml:space="preserve">     Bank Charges</v>
      </c>
      <c r="C48" s="100" t="s">
        <v>53</v>
      </c>
      <c r="D48" s="80">
        <f>'[1]Amd 1.3 SR Expenses'!G37</f>
        <v>0</v>
      </c>
      <c r="E48" s="81"/>
      <c r="F48" s="82">
        <f>D48*G48</f>
        <v>0</v>
      </c>
      <c r="G48" s="83">
        <v>0.2</v>
      </c>
      <c r="H48" s="74"/>
      <c r="I48" s="75"/>
      <c r="J48" s="84">
        <f t="shared" si="1"/>
        <v>0</v>
      </c>
      <c r="K48" s="85">
        <f>1-G48</f>
        <v>0.8</v>
      </c>
      <c r="L48" s="78"/>
      <c r="N48" s="203"/>
      <c r="O48" s="203"/>
      <c r="P48" s="203"/>
      <c r="Q48" s="203"/>
      <c r="R48" s="203"/>
      <c r="S48" s="203"/>
    </row>
    <row r="49" spans="1:19" ht="16.149999999999999" customHeight="1" thickBot="1">
      <c r="A49" s="19">
        <v>36</v>
      </c>
      <c r="B49" s="68" t="str">
        <f>'[1]Amd 1.3 SR Expenses'!B38</f>
        <v xml:space="preserve">     Other Supplies</v>
      </c>
      <c r="C49" s="100" t="s">
        <v>54</v>
      </c>
      <c r="D49" s="80">
        <f>'[1]Amd 1.3 SR Expenses'!G38</f>
        <v>0</v>
      </c>
      <c r="E49" s="81"/>
      <c r="F49" s="82">
        <f>D49*G49</f>
        <v>0</v>
      </c>
      <c r="G49" s="83">
        <v>0.2</v>
      </c>
      <c r="H49" s="74"/>
      <c r="I49" s="75"/>
      <c r="J49" s="84">
        <f t="shared" si="1"/>
        <v>0</v>
      </c>
      <c r="K49" s="85">
        <f>1-G49</f>
        <v>0.8</v>
      </c>
      <c r="L49" s="78"/>
      <c r="N49" s="203"/>
      <c r="O49" s="203"/>
      <c r="P49" s="203"/>
      <c r="Q49" s="203"/>
      <c r="R49" s="203"/>
      <c r="S49" s="203"/>
    </row>
    <row r="50" spans="1:19" ht="16.5" thickBot="1">
      <c r="A50" s="19">
        <v>37</v>
      </c>
      <c r="B50" s="101" t="s">
        <v>55</v>
      </c>
      <c r="C50" s="100"/>
      <c r="D50" s="102">
        <f>SUM(D21:D49)</f>
        <v>18645</v>
      </c>
      <c r="E50" s="71"/>
      <c r="F50" s="103">
        <f>SUM(F21:F49)</f>
        <v>2199</v>
      </c>
      <c r="G50" s="104"/>
      <c r="H50" s="105">
        <f>CEILING((F50/$H$17/12),0.05)</f>
        <v>3.85</v>
      </c>
      <c r="I50" s="106"/>
      <c r="J50" s="107">
        <f>SUM(J21:J49)</f>
        <v>16446</v>
      </c>
      <c r="K50" s="108"/>
      <c r="L50" s="109">
        <f>CEILING((J50/$L$17/12),0.05)</f>
        <v>31.900000000000002</v>
      </c>
      <c r="N50" s="205"/>
      <c r="O50" s="207">
        <f>SUM(O25:O49)</f>
        <v>1.7582035578683792</v>
      </c>
      <c r="P50" s="208" t="s">
        <v>56</v>
      </c>
      <c r="Q50" s="203"/>
      <c r="R50" s="203"/>
      <c r="S50" s="203"/>
    </row>
    <row r="51" spans="1:19" ht="8.1" customHeight="1" thickTop="1" thickBot="1">
      <c r="A51" s="19"/>
      <c r="B51" s="110"/>
      <c r="C51" s="111"/>
      <c r="D51" s="112"/>
      <c r="E51" s="113"/>
      <c r="F51" s="114"/>
      <c r="G51" s="115"/>
      <c r="H51" s="116"/>
      <c r="I51" s="117"/>
      <c r="J51" s="118"/>
      <c r="K51" s="119"/>
      <c r="L51" s="120"/>
      <c r="N51" s="203"/>
      <c r="O51" s="203"/>
      <c r="P51" s="203"/>
      <c r="Q51" s="203"/>
      <c r="R51" s="203"/>
      <c r="S51" s="203"/>
    </row>
    <row r="52" spans="1:19" ht="8.1" customHeight="1" thickBot="1">
      <c r="A52" s="19"/>
      <c r="B52" s="121"/>
      <c r="C52" s="122"/>
      <c r="D52" s="123"/>
      <c r="E52" s="113"/>
      <c r="F52" s="124"/>
      <c r="G52" s="115"/>
      <c r="H52" s="116"/>
      <c r="I52" s="117"/>
      <c r="J52" s="125"/>
      <c r="K52" s="117"/>
      <c r="L52" s="116"/>
    </row>
    <row r="53" spans="1:19" s="1" customFormat="1" ht="18" customHeight="1" thickBot="1">
      <c r="A53" s="19">
        <v>38</v>
      </c>
      <c r="B53" s="270" t="s">
        <v>57</v>
      </c>
      <c r="C53" s="274"/>
      <c r="D53" s="274"/>
      <c r="E53" s="274"/>
      <c r="F53" s="274"/>
      <c r="G53" s="274"/>
      <c r="H53" s="274"/>
      <c r="I53" s="274"/>
      <c r="J53" s="274"/>
      <c r="K53" s="274"/>
      <c r="L53" s="275"/>
      <c r="M53" s="10"/>
      <c r="O53" s="126"/>
    </row>
    <row r="54" spans="1:19" ht="16.5" thickBot="1">
      <c r="A54" s="19">
        <v>39</v>
      </c>
      <c r="B54" s="127" t="s">
        <v>58</v>
      </c>
      <c r="C54" s="128"/>
      <c r="D54" s="129">
        <f>'[1]1.5 Reserve'!C7</f>
        <v>20697</v>
      </c>
      <c r="E54" s="130"/>
      <c r="F54" s="131">
        <f>D54*G54</f>
        <v>0</v>
      </c>
      <c r="G54" s="132"/>
      <c r="H54" s="133"/>
      <c r="I54" s="134"/>
      <c r="J54" s="135"/>
      <c r="K54" s="136"/>
      <c r="L54" s="137"/>
    </row>
    <row r="55" spans="1:19" s="1" customFormat="1" ht="16.5" thickBot="1">
      <c r="A55" s="19">
        <v>40</v>
      </c>
      <c r="B55" s="138" t="s">
        <v>59</v>
      </c>
      <c r="C55" s="139"/>
      <c r="D55" s="102">
        <f>Reserve</f>
        <v>20697</v>
      </c>
      <c r="E55" s="71"/>
      <c r="F55" s="140">
        <f>D55</f>
        <v>20697</v>
      </c>
      <c r="G55" s="104"/>
      <c r="H55" s="105">
        <f>CEILING((F55/$H$17/12),0.05)</f>
        <v>35.950000000000003</v>
      </c>
      <c r="I55" s="141"/>
      <c r="J55" s="142"/>
      <c r="K55" s="143"/>
      <c r="L55" s="144"/>
      <c r="M55" s="10"/>
    </row>
    <row r="56" spans="1:19" ht="8.1" customHeight="1" thickTop="1" thickBot="1">
      <c r="A56" s="19"/>
      <c r="B56" s="110"/>
      <c r="C56" s="122"/>
      <c r="D56" s="123"/>
      <c r="E56" s="113"/>
      <c r="F56" s="124"/>
      <c r="G56" s="115"/>
      <c r="H56" s="116"/>
      <c r="I56" s="117"/>
      <c r="J56" s="125"/>
      <c r="K56" s="117"/>
      <c r="L56" s="145"/>
    </row>
    <row r="57" spans="1:19" ht="8.1" customHeight="1" thickBot="1">
      <c r="A57" s="19"/>
      <c r="B57" s="146"/>
      <c r="C57" s="147"/>
      <c r="D57" s="148"/>
      <c r="E57" s="149"/>
      <c r="F57" s="150"/>
      <c r="G57" s="151"/>
      <c r="H57" s="152"/>
      <c r="I57" s="153"/>
      <c r="J57" s="154"/>
      <c r="K57" s="153"/>
      <c r="L57" s="152"/>
    </row>
    <row r="58" spans="1:19" s="1" customFormat="1" ht="18" customHeight="1" thickBot="1">
      <c r="A58" s="19">
        <v>41</v>
      </c>
      <c r="B58" s="270" t="s">
        <v>60</v>
      </c>
      <c r="C58" s="274"/>
      <c r="D58" s="274"/>
      <c r="E58" s="274"/>
      <c r="F58" s="274"/>
      <c r="G58" s="274"/>
      <c r="H58" s="274"/>
      <c r="I58" s="274"/>
      <c r="J58" s="274"/>
      <c r="K58" s="274"/>
      <c r="L58" s="275"/>
      <c r="M58" s="10"/>
    </row>
    <row r="59" spans="1:19" ht="16.5" thickBot="1">
      <c r="A59" s="19">
        <v>42</v>
      </c>
      <c r="B59" s="127" t="s">
        <v>61</v>
      </c>
      <c r="C59" s="128"/>
      <c r="D59" s="129">
        <f>'[1]Amd 1.3 SR Expenses'!G47</f>
        <v>0</v>
      </c>
      <c r="E59" s="130"/>
      <c r="F59" s="131">
        <f>D59*G59</f>
        <v>0</v>
      </c>
      <c r="G59" s="155">
        <v>0.2</v>
      </c>
      <c r="H59" s="133"/>
      <c r="I59" s="134"/>
      <c r="J59" s="135"/>
      <c r="K59" s="77">
        <f>1-G59</f>
        <v>0.8</v>
      </c>
      <c r="L59" s="137"/>
    </row>
    <row r="60" spans="1:19" s="1" customFormat="1" ht="16.5" thickBot="1">
      <c r="A60" s="19">
        <v>43</v>
      </c>
      <c r="B60" s="138" t="s">
        <v>62</v>
      </c>
      <c r="C60" s="139"/>
      <c r="D60" s="102">
        <f>D59</f>
        <v>0</v>
      </c>
      <c r="E60" s="71"/>
      <c r="F60" s="103">
        <f>D60</f>
        <v>0</v>
      </c>
      <c r="G60" s="104"/>
      <c r="H60" s="105">
        <f>CEILING((F60/$H$17/12),0.1)</f>
        <v>0</v>
      </c>
      <c r="I60" s="141"/>
      <c r="J60" s="142"/>
      <c r="K60" s="143"/>
      <c r="L60" s="144"/>
      <c r="M60" s="10"/>
    </row>
    <row r="61" spans="1:19" ht="8.1" customHeight="1" thickTop="1" thickBot="1">
      <c r="A61" s="19"/>
      <c r="B61" s="110"/>
      <c r="C61" s="122"/>
      <c r="D61" s="123"/>
      <c r="E61" s="113"/>
      <c r="F61" s="124"/>
      <c r="G61" s="115"/>
      <c r="H61" s="116"/>
      <c r="I61" s="117"/>
      <c r="J61" s="125"/>
      <c r="K61" s="117"/>
      <c r="L61" s="156"/>
    </row>
    <row r="62" spans="1:19" ht="8.1" customHeight="1" thickBot="1">
      <c r="A62" s="19"/>
      <c r="B62" s="146"/>
      <c r="C62" s="147"/>
      <c r="D62" s="148"/>
      <c r="E62" s="149"/>
      <c r="F62" s="150"/>
      <c r="G62" s="151"/>
      <c r="H62" s="152"/>
      <c r="I62" s="153"/>
      <c r="J62" s="154"/>
      <c r="K62" s="153"/>
      <c r="L62" s="152"/>
    </row>
    <row r="63" spans="1:19" s="1" customFormat="1" ht="18" customHeight="1" thickBot="1">
      <c r="A63" s="19">
        <v>44</v>
      </c>
      <c r="B63" s="270" t="s">
        <v>63</v>
      </c>
      <c r="C63" s="274"/>
      <c r="D63" s="274"/>
      <c r="E63" s="274"/>
      <c r="F63" s="274"/>
      <c r="G63" s="274"/>
      <c r="H63" s="274"/>
      <c r="I63" s="274"/>
      <c r="J63" s="274"/>
      <c r="K63" s="274"/>
      <c r="L63" s="275"/>
      <c r="M63" s="10"/>
    </row>
    <row r="64" spans="1:19">
      <c r="A64" s="19">
        <v>45</v>
      </c>
      <c r="B64" s="157" t="s">
        <v>64</v>
      </c>
      <c r="C64" s="158">
        <v>408</v>
      </c>
      <c r="D64" s="159">
        <f>'[1]Amd 1.3 SR Expenses'!G50</f>
        <v>11</v>
      </c>
      <c r="E64" s="160"/>
      <c r="F64" s="161">
        <f>D64*G64</f>
        <v>2.2000000000000002</v>
      </c>
      <c r="G64" s="162">
        <v>0.2</v>
      </c>
      <c r="H64" s="74"/>
      <c r="I64" s="75"/>
      <c r="J64" s="163">
        <f>D64*K64</f>
        <v>8.8000000000000007</v>
      </c>
      <c r="K64" s="77">
        <f>1-G64</f>
        <v>0.8</v>
      </c>
      <c r="L64" s="78"/>
    </row>
    <row r="65" spans="1:17" ht="16.5" thickBot="1">
      <c r="A65" s="19">
        <v>46</v>
      </c>
      <c r="B65" s="164" t="s">
        <v>65</v>
      </c>
      <c r="C65" s="100">
        <v>409</v>
      </c>
      <c r="D65" s="165">
        <f>'[1]Amd 1.3 SR Expenses'!G51</f>
        <v>0</v>
      </c>
      <c r="E65" s="160"/>
      <c r="F65" s="166">
        <f>D65*G65</f>
        <v>0</v>
      </c>
      <c r="G65" s="97">
        <v>0.2</v>
      </c>
      <c r="H65" s="74"/>
      <c r="I65" s="75"/>
      <c r="J65" s="167">
        <f>D65*K65</f>
        <v>0</v>
      </c>
      <c r="K65" s="85">
        <f>1-G65</f>
        <v>0.8</v>
      </c>
      <c r="L65" s="78"/>
    </row>
    <row r="66" spans="1:17" ht="16.5" thickBot="1">
      <c r="A66" s="19">
        <v>47</v>
      </c>
      <c r="B66" s="101" t="s">
        <v>66</v>
      </c>
      <c r="C66" s="168"/>
      <c r="D66" s="102">
        <f>SUM(D64:D65)</f>
        <v>11</v>
      </c>
      <c r="E66" s="71"/>
      <c r="F66" s="103">
        <f>SUM(F64:F65)</f>
        <v>2.2000000000000002</v>
      </c>
      <c r="G66" s="169"/>
      <c r="H66" s="105">
        <f>CEILING((F66/$H$17/12),0.05)</f>
        <v>0.05</v>
      </c>
      <c r="I66" s="170"/>
      <c r="J66" s="171">
        <f>SUM(J64:J65)</f>
        <v>8.8000000000000007</v>
      </c>
      <c r="K66" s="172"/>
      <c r="L66" s="173">
        <f>CEILING((J66/$L$17/12),0.05)</f>
        <v>0.05</v>
      </c>
      <c r="N66" s="174"/>
      <c r="O66" s="174"/>
    </row>
    <row r="67" spans="1:17" ht="17.25" thickTop="1" thickBot="1">
      <c r="A67" s="19"/>
      <c r="B67" s="110"/>
      <c r="C67" s="122"/>
      <c r="D67" s="123"/>
      <c r="E67" s="113"/>
      <c r="F67" s="124"/>
      <c r="G67" s="115"/>
      <c r="H67" s="116"/>
      <c r="I67" s="117"/>
      <c r="J67" s="125"/>
      <c r="K67" s="117"/>
      <c r="L67" s="175"/>
    </row>
    <row r="68" spans="1:17" ht="16.5" thickBot="1">
      <c r="A68" s="19"/>
      <c r="B68" s="146"/>
      <c r="C68" s="147"/>
      <c r="D68" s="148"/>
      <c r="E68" s="149"/>
      <c r="F68" s="150"/>
      <c r="G68" s="151"/>
      <c r="H68" s="152"/>
      <c r="I68" s="153"/>
      <c r="J68" s="154"/>
      <c r="K68" s="153"/>
      <c r="L68" s="152"/>
    </row>
    <row r="69" spans="1:17" s="1" customFormat="1" ht="16.5" thickBot="1">
      <c r="A69" s="19">
        <v>48</v>
      </c>
      <c r="B69" s="276" t="s">
        <v>67</v>
      </c>
      <c r="C69" s="277"/>
      <c r="D69" s="277"/>
      <c r="E69" s="277"/>
      <c r="F69" s="277"/>
      <c r="G69" s="277"/>
      <c r="H69" s="277"/>
      <c r="I69" s="277"/>
      <c r="J69" s="277"/>
      <c r="K69" s="277"/>
      <c r="L69" s="278"/>
      <c r="M69" s="10"/>
    </row>
    <row r="70" spans="1:17" ht="16.5" thickBot="1">
      <c r="A70" s="19">
        <v>49</v>
      </c>
      <c r="B70" s="176" t="s">
        <v>68</v>
      </c>
      <c r="C70" s="12"/>
      <c r="D70" s="177"/>
      <c r="E70" s="178"/>
      <c r="F70" s="179"/>
      <c r="G70" s="106"/>
      <c r="H70" s="180">
        <f>SUM(H50:H67)</f>
        <v>39.85</v>
      </c>
      <c r="I70" s="178"/>
      <c r="J70" s="181"/>
      <c r="K70" s="36"/>
      <c r="L70" s="182"/>
      <c r="N70" s="183"/>
      <c r="O70" s="184"/>
      <c r="P70" s="183"/>
      <c r="Q70" s="183"/>
    </row>
    <row r="71" spans="1:17" ht="16.5" thickTop="1">
      <c r="A71" s="19">
        <v>50</v>
      </c>
      <c r="B71" s="185" t="s">
        <v>69</v>
      </c>
      <c r="C71" s="12"/>
      <c r="D71" s="177"/>
      <c r="E71" s="178"/>
      <c r="F71" s="179"/>
      <c r="G71" s="106"/>
      <c r="H71" s="186"/>
      <c r="I71" s="178"/>
      <c r="J71" s="181"/>
      <c r="K71" s="36"/>
      <c r="L71" s="187"/>
      <c r="N71" s="183"/>
      <c r="O71" s="184"/>
      <c r="P71" s="183"/>
      <c r="Q71" s="183"/>
    </row>
    <row r="72" spans="1:17" ht="16.5" thickBot="1">
      <c r="A72" s="19">
        <v>51</v>
      </c>
      <c r="B72" s="188" t="s">
        <v>70</v>
      </c>
      <c r="C72" s="189"/>
      <c r="D72" s="190"/>
      <c r="E72" s="178"/>
      <c r="F72" s="191"/>
      <c r="G72" s="192"/>
      <c r="H72" s="193"/>
      <c r="I72" s="178"/>
      <c r="J72" s="194"/>
      <c r="K72" s="195"/>
      <c r="L72" s="173">
        <f>SUM(L50:L67)</f>
        <v>31.950000000000003</v>
      </c>
      <c r="N72" s="183">
        <f>31.95/12*1.7</f>
        <v>4.5262500000000001</v>
      </c>
      <c r="O72" s="196"/>
      <c r="P72" s="197"/>
      <c r="Q72" s="183"/>
    </row>
    <row r="73" spans="1:17">
      <c r="A73" s="19"/>
      <c r="B73" s="198"/>
      <c r="C73" s="198"/>
      <c r="D73" s="199"/>
      <c r="E73" s="6"/>
      <c r="F73" s="199"/>
      <c r="G73" s="200"/>
      <c r="H73" s="199"/>
      <c r="I73" s="6"/>
      <c r="J73" s="199"/>
      <c r="K73" s="6"/>
      <c r="L73" s="199"/>
      <c r="N73" s="183"/>
      <c r="O73" s="184"/>
      <c r="P73" s="183"/>
      <c r="Q73" s="183"/>
    </row>
    <row r="74" spans="1:17">
      <c r="A74" s="19"/>
      <c r="D74"/>
      <c r="E74"/>
      <c r="F74"/>
      <c r="G74" s="200"/>
      <c r="H74" s="199"/>
      <c r="I74" s="6"/>
      <c r="J74" s="199"/>
      <c r="K74" s="6"/>
      <c r="L74" s="199">
        <f>31.95/12</f>
        <v>2.6625000000000001</v>
      </c>
      <c r="N74" s="183"/>
      <c r="O74" s="184"/>
      <c r="P74" s="183"/>
      <c r="Q74" s="183"/>
    </row>
    <row r="75" spans="1:17">
      <c r="A75" s="19"/>
      <c r="D75"/>
      <c r="E75"/>
      <c r="F75"/>
      <c r="G75" s="200"/>
      <c r="H75" s="199"/>
      <c r="I75" s="6"/>
      <c r="J75" s="199"/>
      <c r="K75" s="6"/>
      <c r="L75" s="199"/>
      <c r="N75" s="183"/>
      <c r="O75" s="184"/>
      <c r="P75" s="183"/>
      <c r="Q75" s="183"/>
    </row>
    <row r="76" spans="1:17">
      <c r="A76" s="19"/>
      <c r="D76"/>
      <c r="E76"/>
      <c r="F76"/>
      <c r="G76" s="200"/>
      <c r="H76" s="199"/>
      <c r="I76" s="6"/>
      <c r="J76" s="199"/>
      <c r="K76" s="6"/>
      <c r="L76" s="199"/>
      <c r="N76" s="183"/>
      <c r="O76" s="184"/>
      <c r="P76" s="183"/>
      <c r="Q76" s="183"/>
    </row>
    <row r="77" spans="1:17">
      <c r="A77" s="19"/>
      <c r="D77"/>
      <c r="E77"/>
      <c r="F77"/>
      <c r="G77" s="200"/>
      <c r="H77" s="199"/>
      <c r="I77" s="6"/>
      <c r="J77" s="199"/>
      <c r="K77" s="6"/>
      <c r="L77" s="199"/>
      <c r="N77" s="183"/>
      <c r="O77" s="184"/>
      <c r="P77" s="183"/>
      <c r="Q77" s="183"/>
    </row>
    <row r="78" spans="1:17">
      <c r="A78" s="19"/>
      <c r="D78"/>
      <c r="E78"/>
      <c r="F78"/>
      <c r="G78" s="200"/>
      <c r="H78" s="199"/>
      <c r="I78" s="6"/>
      <c r="J78" s="199"/>
      <c r="K78" s="6"/>
      <c r="L78" s="199"/>
      <c r="N78" s="183"/>
      <c r="O78" s="184"/>
      <c r="P78" s="183"/>
      <c r="Q78" s="183"/>
    </row>
    <row r="79" spans="1:17">
      <c r="A79" s="19"/>
      <c r="D79"/>
      <c r="E79"/>
      <c r="F79"/>
      <c r="G79" s="200"/>
      <c r="H79" s="199"/>
      <c r="I79" s="6"/>
      <c r="J79" s="199"/>
      <c r="K79" s="6"/>
      <c r="L79" s="199"/>
      <c r="N79" s="183"/>
      <c r="O79" s="184"/>
      <c r="P79" s="183"/>
      <c r="Q79" s="183"/>
    </row>
    <row r="80" spans="1:17">
      <c r="A80" s="19"/>
      <c r="D80"/>
      <c r="E80"/>
      <c r="F80"/>
      <c r="G80" s="200"/>
      <c r="H80" s="199"/>
      <c r="I80" s="6"/>
      <c r="J80" s="199"/>
      <c r="K80" s="6"/>
      <c r="L80" s="199"/>
      <c r="N80" s="183"/>
      <c r="O80" s="184"/>
      <c r="P80" s="183"/>
      <c r="Q80" s="183"/>
    </row>
    <row r="81" spans="1:17">
      <c r="A81" s="19"/>
      <c r="D81"/>
      <c r="E81"/>
      <c r="F81"/>
      <c r="G81" s="200"/>
      <c r="H81" s="199"/>
      <c r="I81" s="6"/>
      <c r="J81" s="199"/>
      <c r="K81" s="6"/>
      <c r="L81" s="199"/>
      <c r="N81" s="183"/>
      <c r="O81" s="184"/>
      <c r="P81" s="183"/>
      <c r="Q81" s="183"/>
    </row>
    <row r="82" spans="1:17">
      <c r="A82" s="19"/>
      <c r="D82"/>
      <c r="E82"/>
      <c r="F82"/>
      <c r="G82" s="200"/>
      <c r="H82" s="199"/>
      <c r="I82" s="6"/>
      <c r="J82" s="199"/>
      <c r="K82" s="6"/>
      <c r="L82" s="199"/>
      <c r="N82" s="183"/>
      <c r="O82" s="184"/>
      <c r="P82" s="183"/>
      <c r="Q82" s="183"/>
    </row>
    <row r="83" spans="1:17">
      <c r="A83" s="19"/>
      <c r="D83"/>
      <c r="E83"/>
      <c r="F83"/>
      <c r="G83" s="200"/>
      <c r="H83" s="199"/>
      <c r="I83" s="6"/>
      <c r="J83" s="199"/>
      <c r="K83" s="6"/>
      <c r="L83" s="199"/>
      <c r="N83" s="183"/>
      <c r="O83" s="184"/>
      <c r="P83" s="183"/>
      <c r="Q83" s="183"/>
    </row>
    <row r="84" spans="1:17">
      <c r="A84" s="19"/>
      <c r="D84"/>
      <c r="E84"/>
      <c r="F84"/>
      <c r="G84" s="200"/>
      <c r="H84" s="199"/>
      <c r="I84" s="6"/>
      <c r="J84" s="199"/>
      <c r="K84" s="6"/>
      <c r="L84" s="199"/>
      <c r="N84" s="183"/>
      <c r="O84" s="184"/>
      <c r="P84" s="183"/>
      <c r="Q84" s="183"/>
    </row>
    <row r="85" spans="1:17">
      <c r="A85" s="19"/>
      <c r="D85"/>
      <c r="E85"/>
      <c r="F85"/>
      <c r="G85" s="200"/>
      <c r="H85" s="199"/>
      <c r="I85" s="6"/>
      <c r="J85" s="199"/>
      <c r="K85" s="6"/>
      <c r="L85" s="199"/>
      <c r="N85" s="183"/>
      <c r="O85" s="184"/>
      <c r="P85" s="183"/>
      <c r="Q85" s="183"/>
    </row>
    <row r="86" spans="1:17">
      <c r="A86" s="279" t="s">
        <v>71</v>
      </c>
      <c r="B86" s="280"/>
      <c r="C86" s="280"/>
      <c r="D86" s="280"/>
      <c r="E86"/>
      <c r="F86"/>
      <c r="G86" s="200"/>
      <c r="H86" s="199"/>
      <c r="I86" s="6"/>
      <c r="J86" s="199"/>
      <c r="K86" s="6"/>
      <c r="L86" s="199"/>
      <c r="N86" s="183"/>
      <c r="O86" s="184"/>
      <c r="P86" s="183"/>
      <c r="Q86" s="183"/>
    </row>
    <row r="87" spans="1:17">
      <c r="A87" s="19"/>
      <c r="D87"/>
      <c r="E87"/>
      <c r="F87"/>
      <c r="G87" s="200"/>
      <c r="H87" s="199"/>
      <c r="I87" s="6"/>
      <c r="J87" s="199"/>
      <c r="K87" s="6"/>
      <c r="L87" s="199"/>
      <c r="N87" s="183"/>
      <c r="O87" s="184"/>
      <c r="P87" s="183"/>
      <c r="Q87" s="183"/>
    </row>
    <row r="88" spans="1:17">
      <c r="A88" s="19"/>
      <c r="D88"/>
      <c r="E88"/>
      <c r="F88"/>
      <c r="G88" s="200"/>
      <c r="H88" s="199"/>
      <c r="I88" s="6"/>
      <c r="J88" s="199"/>
      <c r="K88" s="6"/>
      <c r="L88" s="199"/>
      <c r="N88" s="183"/>
      <c r="O88" s="184"/>
      <c r="P88" s="183"/>
      <c r="Q88" s="183"/>
    </row>
    <row r="89" spans="1:17">
      <c r="A89" s="19"/>
      <c r="D89"/>
      <c r="E89"/>
      <c r="F89"/>
      <c r="G89" s="200"/>
      <c r="H89" s="199"/>
      <c r="I89" s="6"/>
      <c r="J89" s="199"/>
      <c r="K89" s="6"/>
      <c r="L89" s="199"/>
      <c r="N89" s="183"/>
      <c r="O89" s="184"/>
      <c r="P89" s="183"/>
      <c r="Q89" s="183"/>
    </row>
    <row r="90" spans="1:17">
      <c r="A90" s="19"/>
      <c r="G90" s="200"/>
      <c r="H90" s="199"/>
      <c r="I90" s="6"/>
      <c r="J90" s="199"/>
      <c r="K90" s="6"/>
      <c r="L90" s="199"/>
    </row>
    <row r="91" spans="1:17">
      <c r="A91" s="19"/>
      <c r="G91" s="200"/>
      <c r="H91" s="199"/>
      <c r="I91" s="6"/>
      <c r="J91" s="199"/>
      <c r="K91" s="6"/>
      <c r="L91" s="199"/>
    </row>
    <row r="92" spans="1:17">
      <c r="A92" s="19"/>
      <c r="G92" s="200"/>
      <c r="H92" s="199"/>
      <c r="I92" s="6"/>
      <c r="J92" s="199"/>
      <c r="K92" s="6"/>
      <c r="L92" s="199"/>
    </row>
    <row r="93" spans="1:17">
      <c r="B93" s="198"/>
      <c r="C93" s="198"/>
      <c r="D93" s="199"/>
      <c r="E93" s="6"/>
      <c r="F93" s="199"/>
      <c r="G93" s="6"/>
      <c r="H93" s="199"/>
      <c r="I93" s="6"/>
      <c r="J93" s="199"/>
      <c r="K93" s="6"/>
      <c r="L93" s="199"/>
    </row>
    <row r="94" spans="1:17">
      <c r="B94" s="198"/>
      <c r="C94" s="198"/>
      <c r="D94" s="199"/>
      <c r="E94" s="6"/>
      <c r="F94" s="199"/>
      <c r="G94" s="6"/>
      <c r="H94" s="199"/>
      <c r="I94" s="6"/>
      <c r="J94" s="199"/>
      <c r="K94" s="6"/>
      <c r="L94" s="199"/>
    </row>
    <row r="95" spans="1:17">
      <c r="B95" s="198"/>
      <c r="C95" s="198"/>
      <c r="D95" s="199"/>
      <c r="E95" s="6"/>
      <c r="F95" s="199"/>
      <c r="G95" s="6"/>
      <c r="H95" s="199"/>
      <c r="I95" s="6"/>
      <c r="J95" s="199"/>
      <c r="K95" s="6"/>
      <c r="L95" s="199"/>
    </row>
    <row r="96" spans="1:17">
      <c r="B96" s="198"/>
      <c r="C96" s="198"/>
      <c r="D96" s="199"/>
      <c r="E96" s="6"/>
      <c r="F96" s="6"/>
      <c r="G96" s="6"/>
      <c r="H96" s="199"/>
      <c r="I96" s="6"/>
      <c r="J96" s="6"/>
      <c r="K96" s="6"/>
      <c r="L96" s="199"/>
    </row>
    <row r="97" spans="2:12" customFormat="1">
      <c r="B97" s="198"/>
      <c r="C97" s="198"/>
      <c r="D97" s="199"/>
      <c r="E97" s="6"/>
      <c r="F97" s="6"/>
      <c r="G97" s="6"/>
      <c r="H97" s="199"/>
      <c r="I97" s="6"/>
      <c r="J97" s="6"/>
      <c r="K97" s="6"/>
      <c r="L97" s="199"/>
    </row>
    <row r="98" spans="2:12" customFormat="1">
      <c r="B98" s="198"/>
      <c r="C98" s="198"/>
      <c r="D98" s="199"/>
      <c r="E98" s="6"/>
      <c r="F98" s="6"/>
      <c r="G98" s="6"/>
      <c r="H98" s="199"/>
      <c r="I98" s="6"/>
      <c r="J98" s="6"/>
      <c r="K98" s="6"/>
      <c r="L98" s="199"/>
    </row>
    <row r="99" spans="2:12" customFormat="1">
      <c r="B99" s="198"/>
      <c r="C99" s="198"/>
      <c r="D99" s="199"/>
      <c r="E99" s="6"/>
      <c r="F99" s="6"/>
      <c r="G99" s="6"/>
      <c r="H99" s="199"/>
      <c r="I99" s="6"/>
      <c r="J99" s="6"/>
      <c r="K99" s="6"/>
      <c r="L99" s="199"/>
    </row>
    <row r="100" spans="2:12" customFormat="1">
      <c r="B100" s="198"/>
      <c r="C100" s="198"/>
      <c r="D100" s="199"/>
      <c r="E100" s="6"/>
      <c r="F100" s="6"/>
      <c r="G100" s="6"/>
      <c r="H100" s="199"/>
      <c r="I100" s="6"/>
      <c r="J100" s="6"/>
      <c r="K100" s="6"/>
      <c r="L100" s="199"/>
    </row>
    <row r="101" spans="2:12" customFormat="1">
      <c r="B101" s="198"/>
      <c r="C101" s="198"/>
      <c r="D101" s="199"/>
      <c r="E101" s="6"/>
      <c r="F101" s="6"/>
      <c r="G101" s="6"/>
      <c r="H101" s="199"/>
      <c r="I101" s="6"/>
      <c r="J101" s="6"/>
      <c r="K101" s="6"/>
      <c r="L101" s="199"/>
    </row>
    <row r="102" spans="2:12" customFormat="1" ht="15">
      <c r="B102" s="198"/>
      <c r="C102" s="198"/>
      <c r="D102" s="201"/>
      <c r="E102" s="200"/>
      <c r="F102" s="200"/>
      <c r="G102" s="200"/>
      <c r="H102" s="201"/>
      <c r="I102" s="200"/>
      <c r="J102" s="200"/>
      <c r="K102" s="200"/>
      <c r="L102" s="201"/>
    </row>
    <row r="103" spans="2:12" customFormat="1" ht="15">
      <c r="B103" s="198"/>
      <c r="C103" s="198"/>
      <c r="D103" s="201"/>
      <c r="E103" s="200"/>
      <c r="F103" s="200"/>
      <c r="G103" s="200"/>
      <c r="H103" s="201"/>
      <c r="I103" s="200"/>
      <c r="J103" s="200"/>
      <c r="K103" s="200"/>
      <c r="L103" s="201"/>
    </row>
    <row r="104" spans="2:12" customFormat="1" ht="15">
      <c r="B104" s="198"/>
      <c r="C104" s="198"/>
      <c r="D104" s="201"/>
      <c r="E104" s="200"/>
      <c r="F104" s="200"/>
      <c r="G104" s="200"/>
      <c r="H104" s="201"/>
      <c r="I104" s="200"/>
      <c r="J104" s="200"/>
      <c r="K104" s="200"/>
      <c r="L104" s="201"/>
    </row>
    <row r="105" spans="2:12" customFormat="1" ht="15">
      <c r="B105" s="198"/>
      <c r="C105" s="198"/>
      <c r="D105" s="201"/>
      <c r="E105" s="200"/>
      <c r="F105" s="200"/>
      <c r="G105" s="200"/>
      <c r="H105" s="201"/>
      <c r="I105" s="200"/>
      <c r="J105" s="200"/>
      <c r="K105" s="200"/>
      <c r="L105" s="201"/>
    </row>
    <row r="106" spans="2:12" customFormat="1" ht="15">
      <c r="B106" s="198"/>
      <c r="C106" s="198"/>
      <c r="D106" s="201"/>
      <c r="E106" s="200"/>
      <c r="F106" s="200"/>
      <c r="G106" s="200"/>
      <c r="H106" s="201"/>
      <c r="I106" s="200"/>
      <c r="J106" s="200"/>
      <c r="K106" s="200"/>
      <c r="L106" s="201"/>
    </row>
    <row r="107" spans="2:12" customFormat="1" ht="15">
      <c r="B107" s="198"/>
      <c r="C107" s="198"/>
      <c r="D107" s="201"/>
      <c r="E107" s="200"/>
      <c r="F107" s="200"/>
      <c r="G107" s="200"/>
      <c r="H107" s="201"/>
      <c r="I107" s="200"/>
      <c r="J107" s="200"/>
      <c r="K107" s="200"/>
      <c r="L107" s="201"/>
    </row>
    <row r="108" spans="2:12" customFormat="1" ht="15">
      <c r="B108" s="198"/>
      <c r="C108" s="198"/>
      <c r="D108" s="201"/>
      <c r="E108" s="200"/>
      <c r="F108" s="200"/>
      <c r="G108" s="200"/>
      <c r="H108" s="201"/>
      <c r="I108" s="200"/>
      <c r="J108" s="200"/>
      <c r="K108" s="200"/>
      <c r="L108" s="201"/>
    </row>
    <row r="109" spans="2:12" customFormat="1" ht="15">
      <c r="B109" s="198"/>
      <c r="C109" s="198"/>
      <c r="D109" s="201"/>
      <c r="E109" s="200"/>
      <c r="F109" s="200"/>
      <c r="G109" s="200"/>
      <c r="H109" s="201"/>
      <c r="I109" s="200"/>
      <c r="J109" s="200"/>
      <c r="K109" s="200"/>
      <c r="L109" s="201"/>
    </row>
    <row r="110" spans="2:12" customFormat="1" ht="15">
      <c r="B110" s="198"/>
      <c r="C110" s="198"/>
      <c r="D110" s="201"/>
      <c r="E110" s="200"/>
      <c r="F110" s="200"/>
      <c r="G110" s="200"/>
      <c r="H110" s="201"/>
      <c r="I110" s="200"/>
      <c r="J110" s="200"/>
      <c r="K110" s="200"/>
      <c r="L110" s="201"/>
    </row>
    <row r="111" spans="2:12" customFormat="1" ht="15">
      <c r="B111" s="198"/>
      <c r="C111" s="198"/>
      <c r="D111" s="201"/>
      <c r="E111" s="200"/>
      <c r="F111" s="200"/>
      <c r="G111" s="200"/>
      <c r="H111" s="201"/>
      <c r="I111" s="200"/>
      <c r="J111" s="200"/>
      <c r="K111" s="200"/>
      <c r="L111" s="201"/>
    </row>
    <row r="112" spans="2:12" customFormat="1" ht="15">
      <c r="B112" s="198"/>
      <c r="C112" s="198"/>
      <c r="D112" s="201"/>
      <c r="E112" s="200"/>
      <c r="F112" s="200"/>
      <c r="G112" s="200"/>
      <c r="H112" s="201"/>
      <c r="I112" s="200"/>
      <c r="J112" s="200"/>
      <c r="K112" s="200"/>
      <c r="L112" s="201"/>
    </row>
    <row r="113" spans="2:12" customFormat="1" ht="15">
      <c r="B113" s="198"/>
      <c r="C113" s="198"/>
      <c r="D113" s="201"/>
      <c r="E113" s="200"/>
      <c r="F113" s="200"/>
      <c r="G113" s="200"/>
      <c r="H113" s="201"/>
      <c r="I113" s="200"/>
      <c r="J113" s="200"/>
      <c r="K113" s="200"/>
      <c r="L113" s="201"/>
    </row>
    <row r="114" spans="2:12" customFormat="1" ht="15">
      <c r="B114" s="198"/>
      <c r="C114" s="198"/>
      <c r="D114" s="201"/>
      <c r="E114" s="200"/>
      <c r="F114" s="200"/>
      <c r="G114" s="200"/>
      <c r="H114" s="201"/>
      <c r="I114" s="200"/>
      <c r="J114" s="200"/>
      <c r="K114" s="200"/>
      <c r="L114" s="201"/>
    </row>
    <row r="115" spans="2:12" customFormat="1" ht="15">
      <c r="B115" s="198"/>
      <c r="C115" s="198"/>
      <c r="D115" s="201"/>
      <c r="E115" s="200"/>
      <c r="F115" s="200"/>
      <c r="G115" s="200"/>
      <c r="H115" s="201"/>
      <c r="I115" s="200"/>
      <c r="J115" s="200"/>
      <c r="K115" s="200"/>
      <c r="L115" s="201"/>
    </row>
    <row r="116" spans="2:12" customFormat="1" ht="15">
      <c r="B116" s="198"/>
      <c r="C116" s="198"/>
      <c r="D116" s="201"/>
      <c r="E116" s="200"/>
      <c r="F116" s="200"/>
      <c r="G116" s="200"/>
      <c r="H116" s="201"/>
      <c r="I116" s="200"/>
      <c r="J116" s="200"/>
      <c r="K116" s="200"/>
      <c r="L116" s="201"/>
    </row>
    <row r="117" spans="2:12" customFormat="1" ht="15">
      <c r="B117" s="198"/>
      <c r="C117" s="198"/>
      <c r="D117" s="201"/>
      <c r="E117" s="200"/>
      <c r="F117" s="200"/>
      <c r="G117" s="200"/>
      <c r="H117" s="201"/>
      <c r="I117" s="200"/>
      <c r="J117" s="200"/>
      <c r="K117" s="200"/>
      <c r="L117" s="201"/>
    </row>
    <row r="118" spans="2:12" customFormat="1" ht="15">
      <c r="B118" s="198"/>
      <c r="C118" s="198"/>
      <c r="D118" s="201"/>
      <c r="E118" s="200"/>
      <c r="F118" s="200"/>
      <c r="G118" s="200"/>
      <c r="H118" s="201"/>
      <c r="I118" s="200"/>
      <c r="J118" s="200"/>
      <c r="K118" s="200"/>
      <c r="L118" s="201"/>
    </row>
    <row r="119" spans="2:12" customFormat="1" ht="15">
      <c r="B119" s="198"/>
      <c r="C119" s="198"/>
      <c r="D119" s="201"/>
      <c r="E119" s="200"/>
      <c r="F119" s="200"/>
      <c r="G119" s="200"/>
      <c r="H119" s="201"/>
      <c r="I119" s="200"/>
      <c r="J119" s="200"/>
      <c r="K119" s="200"/>
      <c r="L119" s="201"/>
    </row>
    <row r="120" spans="2:12" customFormat="1" ht="15">
      <c r="B120" s="198"/>
      <c r="C120" s="198"/>
      <c r="D120" s="201"/>
      <c r="E120" s="200"/>
      <c r="F120" s="200"/>
      <c r="G120" s="200"/>
      <c r="H120" s="201"/>
      <c r="I120" s="200"/>
      <c r="J120" s="200"/>
      <c r="K120" s="200"/>
      <c r="L120" s="201"/>
    </row>
    <row r="121" spans="2:12" customFormat="1" ht="15">
      <c r="B121" s="198"/>
      <c r="C121" s="198"/>
      <c r="D121" s="201"/>
      <c r="E121" s="200"/>
      <c r="F121" s="200"/>
      <c r="G121" s="200"/>
      <c r="H121" s="201"/>
      <c r="I121" s="200"/>
      <c r="J121" s="200"/>
      <c r="K121" s="200"/>
      <c r="L121" s="201"/>
    </row>
    <row r="122" spans="2:12" customFormat="1" ht="15">
      <c r="B122" s="198"/>
      <c r="C122" s="198"/>
      <c r="D122" s="201"/>
      <c r="E122" s="200"/>
      <c r="F122" s="200"/>
      <c r="G122" s="200"/>
      <c r="H122" s="201"/>
      <c r="I122" s="200"/>
      <c r="J122" s="200"/>
      <c r="K122" s="200"/>
      <c r="L122" s="201"/>
    </row>
    <row r="123" spans="2:12" customFormat="1" ht="15">
      <c r="D123" s="202"/>
      <c r="E123" s="3"/>
      <c r="F123" s="3"/>
      <c r="G123" s="3"/>
      <c r="H123" s="202"/>
      <c r="I123" s="3"/>
      <c r="J123" s="3"/>
      <c r="K123" s="3"/>
      <c r="L123" s="202"/>
    </row>
    <row r="124" spans="2:12" customFormat="1" ht="15">
      <c r="D124" s="202"/>
      <c r="E124" s="3"/>
      <c r="F124" s="3"/>
      <c r="G124" s="3"/>
      <c r="H124" s="202"/>
      <c r="I124" s="3"/>
      <c r="J124" s="3"/>
      <c r="K124" s="3"/>
      <c r="L124" s="202"/>
    </row>
    <row r="125" spans="2:12" customFormat="1" ht="15">
      <c r="D125" s="202"/>
      <c r="E125" s="3"/>
      <c r="F125" s="3"/>
      <c r="G125" s="3"/>
      <c r="H125" s="202"/>
      <c r="I125" s="3"/>
      <c r="J125" s="3"/>
      <c r="K125" s="3"/>
      <c r="L125" s="202"/>
    </row>
    <row r="126" spans="2:12" customFormat="1" ht="15">
      <c r="D126" s="202"/>
      <c r="E126" s="3"/>
      <c r="F126" s="3"/>
      <c r="G126" s="3"/>
      <c r="H126" s="202"/>
      <c r="I126" s="3"/>
      <c r="J126" s="3"/>
      <c r="K126" s="3"/>
      <c r="L126" s="202"/>
    </row>
    <row r="127" spans="2:12" customFormat="1" ht="15">
      <c r="D127" s="202"/>
      <c r="E127" s="3"/>
      <c r="F127" s="3"/>
      <c r="G127" s="3"/>
      <c r="H127" s="202"/>
      <c r="I127" s="3"/>
      <c r="J127" s="3"/>
      <c r="K127" s="3"/>
      <c r="L127" s="202"/>
    </row>
    <row r="128" spans="2:12" customFormat="1" ht="15">
      <c r="D128" s="202"/>
      <c r="E128" s="3"/>
      <c r="F128" s="3"/>
      <c r="G128" s="3"/>
      <c r="H128" s="202"/>
      <c r="I128" s="3"/>
      <c r="J128" s="3"/>
      <c r="K128" s="3"/>
      <c r="L128" s="202"/>
    </row>
    <row r="129" spans="4:12" customFormat="1" ht="15">
      <c r="D129" s="202"/>
      <c r="E129" s="3"/>
      <c r="F129" s="3"/>
      <c r="G129" s="3"/>
      <c r="H129" s="202"/>
      <c r="I129" s="3"/>
      <c r="J129" s="3"/>
      <c r="K129" s="3"/>
      <c r="L129" s="202"/>
    </row>
    <row r="130" spans="4:12" customFormat="1" ht="15">
      <c r="D130" s="202"/>
      <c r="E130" s="3"/>
      <c r="F130" s="3"/>
      <c r="G130" s="3"/>
      <c r="H130" s="202"/>
      <c r="I130" s="3"/>
      <c r="J130" s="3"/>
      <c r="K130" s="3"/>
      <c r="L130" s="202"/>
    </row>
    <row r="131" spans="4:12" customFormat="1" ht="15">
      <c r="D131" s="202"/>
      <c r="E131" s="3"/>
      <c r="F131" s="3"/>
      <c r="G131" s="3"/>
      <c r="H131" s="202"/>
      <c r="I131" s="3"/>
      <c r="J131" s="3"/>
      <c r="K131" s="3"/>
      <c r="L131" s="202"/>
    </row>
    <row r="132" spans="4:12" customFormat="1" ht="15">
      <c r="D132" s="202"/>
      <c r="E132" s="3"/>
      <c r="F132" s="3"/>
      <c r="G132" s="3"/>
      <c r="H132" s="202"/>
      <c r="I132" s="3"/>
      <c r="J132" s="3"/>
      <c r="K132" s="3"/>
      <c r="L132" s="202"/>
    </row>
    <row r="133" spans="4:12" customFormat="1" ht="15">
      <c r="D133" s="202"/>
      <c r="E133" s="3"/>
      <c r="F133" s="3"/>
      <c r="G133" s="3"/>
      <c r="H133" s="3"/>
      <c r="I133" s="3"/>
      <c r="J133" s="3"/>
      <c r="K133" s="3"/>
      <c r="L133" s="202"/>
    </row>
    <row r="134" spans="4:12" customFormat="1" ht="15">
      <c r="D134" s="202"/>
      <c r="E134" s="3"/>
      <c r="F134" s="3"/>
      <c r="G134" s="3"/>
      <c r="H134" s="3"/>
      <c r="I134" s="3"/>
      <c r="J134" s="3"/>
      <c r="K134" s="3"/>
      <c r="L134" s="202"/>
    </row>
    <row r="135" spans="4:12" customFormat="1" ht="15">
      <c r="D135" s="202"/>
      <c r="E135" s="3"/>
      <c r="F135" s="3"/>
      <c r="G135" s="3"/>
      <c r="H135" s="3"/>
      <c r="I135" s="3"/>
      <c r="J135" s="3"/>
      <c r="K135" s="3"/>
      <c r="L135" s="202"/>
    </row>
    <row r="136" spans="4:12" customFormat="1" ht="15">
      <c r="D136" s="202"/>
      <c r="E136" s="3"/>
      <c r="F136" s="3"/>
      <c r="G136" s="3"/>
      <c r="H136" s="3"/>
      <c r="I136" s="3"/>
      <c r="J136" s="3"/>
      <c r="K136" s="3"/>
      <c r="L136" s="202"/>
    </row>
    <row r="137" spans="4:12" customFormat="1" ht="15">
      <c r="D137" s="202"/>
      <c r="E137" s="3"/>
      <c r="F137" s="3"/>
      <c r="G137" s="3"/>
      <c r="H137" s="3"/>
      <c r="I137" s="3"/>
      <c r="J137" s="3"/>
      <c r="K137" s="3"/>
      <c r="L137" s="202"/>
    </row>
    <row r="138" spans="4:12" customFormat="1" ht="15">
      <c r="D138" s="202"/>
      <c r="E138" s="3"/>
      <c r="F138" s="3"/>
      <c r="G138" s="3"/>
      <c r="H138" s="3"/>
      <c r="I138" s="3"/>
      <c r="J138" s="3"/>
      <c r="K138" s="3"/>
      <c r="L138" s="202"/>
    </row>
    <row r="139" spans="4:12" customFormat="1" ht="15">
      <c r="D139" s="202"/>
      <c r="E139" s="3"/>
      <c r="F139" s="3"/>
      <c r="G139" s="3"/>
      <c r="H139" s="3"/>
      <c r="I139" s="3"/>
      <c r="J139" s="3"/>
      <c r="K139" s="3"/>
      <c r="L139" s="202"/>
    </row>
    <row r="140" spans="4:12" customFormat="1" ht="15">
      <c r="D140" s="202"/>
      <c r="E140" s="3"/>
      <c r="F140" s="3"/>
      <c r="G140" s="3"/>
      <c r="H140" s="3"/>
      <c r="I140" s="3"/>
      <c r="J140" s="3"/>
      <c r="K140" s="3"/>
      <c r="L140" s="202"/>
    </row>
    <row r="141" spans="4:12" customFormat="1" ht="15">
      <c r="D141" s="202"/>
      <c r="E141" s="3"/>
      <c r="F141" s="3"/>
      <c r="G141" s="3"/>
      <c r="H141" s="3"/>
      <c r="I141" s="3"/>
      <c r="J141" s="3"/>
      <c r="K141" s="3"/>
      <c r="L141" s="202"/>
    </row>
    <row r="142" spans="4:12" customFormat="1" ht="15">
      <c r="D142" s="202"/>
      <c r="E142" s="3"/>
      <c r="F142" s="3"/>
      <c r="G142" s="3"/>
      <c r="H142" s="3"/>
      <c r="I142" s="3"/>
      <c r="J142" s="3"/>
      <c r="K142" s="3"/>
      <c r="L142" s="202"/>
    </row>
    <row r="143" spans="4:12" customFormat="1" ht="15">
      <c r="D143" s="202"/>
      <c r="E143" s="3"/>
      <c r="F143" s="3"/>
      <c r="G143" s="3"/>
      <c r="H143" s="3"/>
      <c r="I143" s="3"/>
      <c r="J143" s="3"/>
      <c r="K143" s="3"/>
      <c r="L143" s="202"/>
    </row>
    <row r="144" spans="4:12" customFormat="1" ht="15">
      <c r="D144" s="202"/>
      <c r="E144" s="3"/>
      <c r="F144" s="3"/>
      <c r="G144" s="3"/>
      <c r="H144" s="3"/>
      <c r="I144" s="3"/>
      <c r="J144" s="3"/>
      <c r="K144" s="3"/>
      <c r="L144" s="202"/>
    </row>
    <row r="145" spans="4:12" customFormat="1" ht="15">
      <c r="D145" s="202"/>
      <c r="E145" s="3"/>
      <c r="F145" s="3"/>
      <c r="G145" s="3"/>
      <c r="H145" s="3"/>
      <c r="I145" s="3"/>
      <c r="J145" s="3"/>
      <c r="K145" s="3"/>
      <c r="L145" s="202"/>
    </row>
    <row r="146" spans="4:12" customFormat="1" ht="15">
      <c r="D146" s="202"/>
      <c r="E146" s="3"/>
      <c r="F146" s="3"/>
      <c r="G146" s="3"/>
      <c r="H146" s="3"/>
      <c r="I146" s="3"/>
      <c r="J146" s="3"/>
      <c r="K146" s="3"/>
      <c r="L146" s="202"/>
    </row>
    <row r="147" spans="4:12" customFormat="1" ht="15">
      <c r="D147" s="202"/>
      <c r="E147" s="3"/>
      <c r="F147" s="3"/>
      <c r="G147" s="3"/>
      <c r="H147" s="3"/>
      <c r="I147" s="3"/>
      <c r="J147" s="3"/>
      <c r="K147" s="3"/>
      <c r="L147" s="202"/>
    </row>
    <row r="148" spans="4:12" customFormat="1" ht="15">
      <c r="D148" s="202"/>
      <c r="E148" s="3"/>
      <c r="F148" s="3"/>
      <c r="G148" s="3"/>
      <c r="H148" s="3"/>
      <c r="I148" s="3"/>
      <c r="J148" s="3"/>
      <c r="K148" s="3"/>
      <c r="L148" s="202"/>
    </row>
    <row r="149" spans="4:12" customFormat="1" ht="15">
      <c r="D149" s="202"/>
      <c r="E149" s="3"/>
      <c r="F149" s="3"/>
      <c r="G149" s="3"/>
      <c r="H149" s="3"/>
      <c r="I149" s="3"/>
      <c r="J149" s="3"/>
      <c r="K149" s="3"/>
      <c r="L149" s="202"/>
    </row>
    <row r="150" spans="4:12" customFormat="1" ht="15">
      <c r="D150" s="202"/>
      <c r="E150" s="3"/>
      <c r="F150" s="3"/>
      <c r="G150" s="3"/>
      <c r="H150" s="3"/>
      <c r="I150" s="3"/>
      <c r="J150" s="3"/>
      <c r="K150" s="3"/>
      <c r="L150" s="3"/>
    </row>
    <row r="151" spans="4:12" customFormat="1" ht="15">
      <c r="D151" s="202"/>
      <c r="E151" s="3"/>
      <c r="F151" s="3"/>
      <c r="G151" s="3"/>
      <c r="H151" s="3"/>
      <c r="I151" s="3"/>
      <c r="J151" s="3"/>
      <c r="K151" s="3"/>
      <c r="L151" s="3"/>
    </row>
    <row r="152" spans="4:12" customFormat="1" ht="15">
      <c r="D152" s="202"/>
      <c r="E152" s="3"/>
      <c r="F152" s="3"/>
      <c r="G152" s="3"/>
      <c r="H152" s="3"/>
      <c r="I152" s="3"/>
      <c r="J152" s="3"/>
      <c r="K152" s="3"/>
      <c r="L152" s="3"/>
    </row>
    <row r="153" spans="4:12" customFormat="1" ht="15">
      <c r="D153" s="202"/>
      <c r="E153" s="3"/>
      <c r="F153" s="3"/>
      <c r="G153" s="3"/>
      <c r="H153" s="3"/>
      <c r="I153" s="3"/>
      <c r="J153" s="3"/>
      <c r="K153" s="3"/>
      <c r="L153" s="3"/>
    </row>
    <row r="154" spans="4:12" customFormat="1" ht="15">
      <c r="D154" s="202"/>
      <c r="E154" s="3"/>
      <c r="F154" s="3"/>
      <c r="G154" s="3"/>
      <c r="H154" s="3"/>
      <c r="I154" s="3"/>
      <c r="J154" s="3"/>
      <c r="K154" s="3"/>
      <c r="L154" s="3"/>
    </row>
    <row r="155" spans="4:12" customFormat="1" ht="15">
      <c r="D155" s="202"/>
      <c r="E155" s="3"/>
      <c r="F155" s="3"/>
      <c r="G155" s="3"/>
      <c r="H155" s="3"/>
      <c r="I155" s="3"/>
      <c r="J155" s="3"/>
      <c r="K155" s="3"/>
      <c r="L155" s="3"/>
    </row>
    <row r="156" spans="4:12" customFormat="1" ht="15">
      <c r="D156" s="202"/>
      <c r="E156" s="3"/>
      <c r="F156" s="3"/>
      <c r="G156" s="3"/>
      <c r="H156" s="3"/>
      <c r="I156" s="3"/>
      <c r="J156" s="3"/>
      <c r="K156" s="3"/>
      <c r="L156" s="3"/>
    </row>
    <row r="157" spans="4:12" customFormat="1" ht="15">
      <c r="D157" s="202"/>
      <c r="E157" s="3"/>
      <c r="F157" s="3"/>
      <c r="G157" s="3"/>
      <c r="H157" s="3"/>
      <c r="I157" s="3"/>
      <c r="J157" s="3"/>
      <c r="K157" s="3"/>
      <c r="L157" s="3"/>
    </row>
    <row r="158" spans="4:12" customFormat="1" ht="15">
      <c r="D158" s="202"/>
      <c r="E158" s="3"/>
      <c r="F158" s="3"/>
      <c r="G158" s="3"/>
      <c r="H158" s="3"/>
      <c r="I158" s="3"/>
      <c r="J158" s="3"/>
      <c r="K158" s="3"/>
      <c r="L158" s="3"/>
    </row>
    <row r="159" spans="4:12" customFormat="1" ht="15">
      <c r="D159" s="202"/>
      <c r="E159" s="3"/>
      <c r="F159" s="3"/>
      <c r="G159" s="3"/>
      <c r="H159" s="3"/>
      <c r="I159" s="3"/>
      <c r="J159" s="3"/>
      <c r="K159" s="3"/>
      <c r="L159" s="3"/>
    </row>
    <row r="160" spans="4:12" customFormat="1" ht="15">
      <c r="D160" s="202"/>
      <c r="E160" s="3"/>
      <c r="F160" s="3"/>
      <c r="G160" s="3"/>
      <c r="H160" s="3"/>
      <c r="I160" s="3"/>
      <c r="J160" s="3"/>
      <c r="K160" s="3"/>
      <c r="L160" s="3"/>
    </row>
    <row r="161" spans="4:4" customFormat="1" ht="15">
      <c r="D161" s="202"/>
    </row>
    <row r="162" spans="4:4" customFormat="1" ht="15">
      <c r="D162" s="202"/>
    </row>
    <row r="163" spans="4:4" customFormat="1" ht="15">
      <c r="D163" s="202"/>
    </row>
    <row r="164" spans="4:4" customFormat="1" ht="15">
      <c r="D164" s="202"/>
    </row>
    <row r="165" spans="4:4" customFormat="1" ht="15">
      <c r="D165" s="202"/>
    </row>
    <row r="166" spans="4:4" customFormat="1" ht="15">
      <c r="D166" s="202"/>
    </row>
    <row r="167" spans="4:4" customFormat="1" ht="15">
      <c r="D167" s="202"/>
    </row>
    <row r="168" spans="4:4" customFormat="1" ht="15">
      <c r="D168" s="202"/>
    </row>
    <row r="169" spans="4:4" customFormat="1" ht="15">
      <c r="D169" s="202"/>
    </row>
    <row r="170" spans="4:4" customFormat="1" ht="15">
      <c r="D170" s="202"/>
    </row>
    <row r="171" spans="4:4" customFormat="1" ht="15">
      <c r="D171" s="202"/>
    </row>
    <row r="172" spans="4:4" customFormat="1" ht="15">
      <c r="D172" s="202"/>
    </row>
    <row r="173" spans="4:4" customFormat="1" ht="15">
      <c r="D173" s="202"/>
    </row>
    <row r="174" spans="4:4" customFormat="1" ht="15">
      <c r="D174" s="202"/>
    </row>
    <row r="175" spans="4:4" customFormat="1" ht="15">
      <c r="D175" s="202"/>
    </row>
  </sheetData>
  <mergeCells count="16">
    <mergeCell ref="N15:S17"/>
    <mergeCell ref="F16:H16"/>
    <mergeCell ref="J16:L16"/>
    <mergeCell ref="F17:G17"/>
    <mergeCell ref="J17:K17"/>
    <mergeCell ref="A86:D86"/>
    <mergeCell ref="J1:L1"/>
    <mergeCell ref="J3:L3"/>
    <mergeCell ref="B5:F5"/>
    <mergeCell ref="F15:H15"/>
    <mergeCell ref="J15:L15"/>
    <mergeCell ref="B20:L20"/>
    <mergeCell ref="B53:L53"/>
    <mergeCell ref="B58:L58"/>
    <mergeCell ref="B63:L63"/>
    <mergeCell ref="B69:L69"/>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dimension ref="A1:R51"/>
  <sheetViews>
    <sheetView workbookViewId="0">
      <selection activeCell="D13" sqref="D13"/>
    </sheetView>
  </sheetViews>
  <sheetFormatPr defaultColWidth="8.85546875" defaultRowHeight="15.75"/>
  <cols>
    <col min="1" max="1" width="4.7109375" style="209" customWidth="1"/>
    <col min="2" max="2" width="46" style="211" bestFit="1" customWidth="1"/>
    <col min="3" max="3" width="10.7109375" style="211" hidden="1" customWidth="1"/>
    <col min="4" max="4" width="16.7109375" style="212" customWidth="1"/>
    <col min="5" max="5" width="2.28515625" style="212" customWidth="1"/>
    <col min="6" max="6" width="12.7109375" style="212" customWidth="1"/>
    <col min="7" max="7" width="8.28515625" style="212" customWidth="1"/>
    <col min="8" max="8" width="13.7109375" style="212" customWidth="1"/>
    <col min="9" max="9" width="2.28515625" style="212" customWidth="1"/>
    <col min="10" max="10" width="12.7109375" style="212" customWidth="1"/>
    <col min="11" max="11" width="8.28515625" style="212" customWidth="1"/>
    <col min="12" max="12" width="13.7109375" style="212" customWidth="1"/>
    <col min="13" max="13" width="5.42578125" style="213" customWidth="1"/>
    <col min="14" max="14" width="19.28515625" style="211" bestFit="1" customWidth="1"/>
    <col min="15" max="15" width="14.140625" style="211" bestFit="1" customWidth="1"/>
    <col min="16" max="16384" width="8.85546875" style="211"/>
  </cols>
  <sheetData>
    <row r="1" spans="1:18" ht="20.25">
      <c r="B1" s="210" t="s">
        <v>0</v>
      </c>
      <c r="J1" s="303" t="s">
        <v>1</v>
      </c>
      <c r="K1" s="303"/>
      <c r="L1" s="303"/>
    </row>
    <row r="2" spans="1:18" ht="19.5">
      <c r="B2" s="214" t="s">
        <v>2</v>
      </c>
      <c r="J2" s="215"/>
      <c r="K2" s="215"/>
      <c r="L2" s="215" t="s">
        <v>3</v>
      </c>
    </row>
    <row r="3" spans="1:18" ht="18.75">
      <c r="B3" s="216" t="s">
        <v>4</v>
      </c>
      <c r="J3" s="304"/>
      <c r="K3" s="304"/>
      <c r="L3" s="304"/>
    </row>
    <row r="4" spans="1:18" ht="19.5" thickBot="1">
      <c r="B4" s="216"/>
      <c r="D4" s="217" t="s">
        <v>5</v>
      </c>
      <c r="E4" s="217"/>
      <c r="F4" s="217" t="s">
        <v>6</v>
      </c>
    </row>
    <row r="5" spans="1:18" s="209" customFormat="1" ht="18" customHeight="1" thickBot="1">
      <c r="B5" s="305" t="s">
        <v>7</v>
      </c>
      <c r="C5" s="306"/>
      <c r="D5" s="306"/>
      <c r="E5" s="306"/>
      <c r="F5" s="307"/>
      <c r="G5" s="218"/>
      <c r="H5" s="218"/>
      <c r="I5" s="218"/>
      <c r="J5" s="218"/>
      <c r="K5" s="218"/>
      <c r="L5" s="218"/>
      <c r="M5" s="219"/>
    </row>
    <row r="6" spans="1:18">
      <c r="B6" s="220"/>
      <c r="C6" s="221"/>
      <c r="D6" s="222" t="s">
        <v>8</v>
      </c>
      <c r="E6" s="223"/>
      <c r="F6" s="222"/>
    </row>
    <row r="7" spans="1:18">
      <c r="B7" s="220"/>
      <c r="C7" s="221"/>
      <c r="D7" s="222" t="s">
        <v>9</v>
      </c>
      <c r="E7" s="223"/>
      <c r="F7" s="222" t="s">
        <v>10</v>
      </c>
      <c r="H7" s="224"/>
      <c r="I7" s="224"/>
      <c r="J7" s="224"/>
      <c r="K7" s="224"/>
      <c r="L7" s="224"/>
      <c r="M7" s="225"/>
    </row>
    <row r="8" spans="1:18" ht="16.5" thickBot="1">
      <c r="B8" s="226"/>
      <c r="C8" s="227"/>
      <c r="D8" s="228" t="s">
        <v>11</v>
      </c>
      <c r="E8" s="229"/>
      <c r="F8" s="228" t="s">
        <v>12</v>
      </c>
      <c r="H8" s="224">
        <f>71.8/12000</f>
        <v>5.9833333333333327E-3</v>
      </c>
      <c r="I8" s="224"/>
      <c r="J8" s="224"/>
      <c r="K8" s="224"/>
      <c r="L8" s="224"/>
      <c r="M8" s="225"/>
    </row>
    <row r="9" spans="1:18">
      <c r="A9" s="230">
        <v>1</v>
      </c>
      <c r="B9" s="231" t="s">
        <v>13</v>
      </c>
      <c r="C9" s="232"/>
      <c r="D9" s="233">
        <v>39.85</v>
      </c>
      <c r="E9" s="234"/>
      <c r="F9" s="233">
        <v>39.85</v>
      </c>
      <c r="G9" s="235"/>
      <c r="H9" s="224"/>
      <c r="I9" s="224"/>
      <c r="J9" s="224">
        <f>49+1.5*129</f>
        <v>242.5</v>
      </c>
      <c r="K9" s="224"/>
      <c r="L9" s="224"/>
      <c r="M9" s="225"/>
    </row>
    <row r="10" spans="1:18">
      <c r="A10" s="230">
        <v>2</v>
      </c>
      <c r="B10" s="236" t="s">
        <v>15</v>
      </c>
      <c r="C10" s="237"/>
      <c r="D10" s="238"/>
      <c r="E10" s="239"/>
      <c r="F10" s="240">
        <v>31.950000000000003</v>
      </c>
      <c r="G10" s="235"/>
      <c r="H10" s="224"/>
      <c r="I10" s="224"/>
      <c r="J10" s="224">
        <f>49+4.5*129</f>
        <v>629.5</v>
      </c>
      <c r="K10" s="224"/>
      <c r="L10" s="224"/>
      <c r="M10" s="225"/>
      <c r="N10" s="211">
        <f>12000/Rate_User_Fee</f>
        <v>375.58685446009389</v>
      </c>
    </row>
    <row r="11" spans="1:18" ht="16.5" thickBot="1">
      <c r="A11" s="230">
        <v>3</v>
      </c>
      <c r="B11" s="241" t="s">
        <v>17</v>
      </c>
      <c r="C11" s="242"/>
      <c r="D11" s="243">
        <v>39.85</v>
      </c>
      <c r="E11" s="244"/>
      <c r="F11" s="243">
        <v>71.800000000000011</v>
      </c>
      <c r="G11" s="235"/>
      <c r="H11" s="224"/>
      <c r="I11" s="224"/>
      <c r="J11" s="224">
        <f>(242.5-49)/1.5</f>
        <v>129</v>
      </c>
      <c r="K11" s="224"/>
      <c r="L11" s="224"/>
      <c r="M11" s="225"/>
      <c r="N11" s="211">
        <f>Rate_User_Fee/12000*1000</f>
        <v>2.6625000000000005</v>
      </c>
      <c r="O11" s="211">
        <f>N11+N11*0.69</f>
        <v>4.4996250000000009</v>
      </c>
    </row>
    <row r="12" spans="1:18" ht="16.5" thickBot="1">
      <c r="A12" s="230">
        <v>4</v>
      </c>
      <c r="B12" s="245"/>
      <c r="C12" s="221"/>
      <c r="D12" s="246"/>
      <c r="E12" s="247"/>
      <c r="F12" s="246"/>
      <c r="G12" s="248"/>
      <c r="H12" s="224"/>
      <c r="I12" s="224"/>
      <c r="J12" s="224"/>
      <c r="K12" s="224"/>
      <c r="L12" s="224"/>
      <c r="M12" s="225"/>
    </row>
    <row r="13" spans="1:18" ht="16.5" thickBot="1">
      <c r="A13" s="230">
        <v>5</v>
      </c>
      <c r="B13" s="249" t="s">
        <v>19</v>
      </c>
      <c r="C13" s="250"/>
      <c r="D13" s="251"/>
      <c r="E13" s="252"/>
      <c r="F13" s="253">
        <v>4.5</v>
      </c>
      <c r="G13" s="235"/>
      <c r="H13" s="224"/>
      <c r="I13" s="224"/>
      <c r="J13" s="224"/>
      <c r="K13" s="224"/>
      <c r="L13" s="224"/>
      <c r="M13" s="225"/>
    </row>
    <row r="14" spans="1:18">
      <c r="A14" s="230">
        <v>6</v>
      </c>
      <c r="E14" s="254"/>
      <c r="H14" s="224"/>
      <c r="I14" s="255"/>
      <c r="J14" s="224"/>
      <c r="K14" s="224"/>
      <c r="L14" s="224"/>
      <c r="M14" s="225"/>
    </row>
    <row r="15" spans="1:18" s="213" customFormat="1">
      <c r="A15" s="209"/>
      <c r="B15" s="211"/>
      <c r="C15" s="211"/>
      <c r="D15" s="256"/>
      <c r="E15" s="212"/>
      <c r="F15" s="212"/>
      <c r="G15" s="212"/>
      <c r="H15" s="224"/>
      <c r="I15" s="224"/>
      <c r="J15" s="224"/>
      <c r="K15" s="224"/>
      <c r="L15" s="257"/>
      <c r="M15" s="225"/>
      <c r="N15" s="211"/>
      <c r="O15" s="211"/>
      <c r="P15" s="211"/>
      <c r="Q15" s="211"/>
      <c r="R15" s="211"/>
    </row>
    <row r="16" spans="1:18" s="213" customFormat="1" ht="16.5">
      <c r="A16" s="209"/>
      <c r="B16" s="258" t="s">
        <v>72</v>
      </c>
      <c r="C16" s="258"/>
      <c r="D16" s="259"/>
      <c r="E16" s="260"/>
      <c r="F16" s="261">
        <f>Rate_User_Fee</f>
        <v>31.950000000000003</v>
      </c>
      <c r="G16" s="212"/>
      <c r="H16" s="262" t="s">
        <v>73</v>
      </c>
      <c r="I16" s="262"/>
      <c r="J16" s="262"/>
      <c r="K16" s="262"/>
      <c r="L16" s="263"/>
      <c r="M16" s="264"/>
      <c r="N16" s="248"/>
      <c r="O16" s="211"/>
      <c r="P16" s="211"/>
      <c r="Q16" s="211"/>
      <c r="R16" s="211"/>
    </row>
    <row r="17" spans="1:18" s="213" customFormat="1" ht="16.5">
      <c r="A17" s="209"/>
      <c r="B17" s="258" t="s">
        <v>74</v>
      </c>
      <c r="C17" s="258"/>
      <c r="D17" s="259"/>
      <c r="E17" s="260"/>
      <c r="F17" s="265">
        <v>12000</v>
      </c>
      <c r="G17" s="212"/>
      <c r="H17" s="262" t="s">
        <v>75</v>
      </c>
      <c r="I17" s="262"/>
      <c r="J17" s="262"/>
      <c r="K17" s="262"/>
      <c r="L17" s="263"/>
      <c r="M17" s="264"/>
      <c r="N17" s="248"/>
      <c r="O17" s="211"/>
      <c r="P17" s="211"/>
      <c r="Q17" s="211"/>
      <c r="R17" s="211"/>
    </row>
    <row r="18" spans="1:18" s="213" customFormat="1" ht="16.5">
      <c r="A18" s="209"/>
      <c r="B18" s="258" t="s">
        <v>76</v>
      </c>
      <c r="C18" s="258"/>
      <c r="D18" s="259"/>
      <c r="E18" s="260"/>
      <c r="F18" s="266">
        <f>F16/F17*1000</f>
        <v>2.6625000000000005</v>
      </c>
      <c r="G18" s="212"/>
      <c r="H18" s="267" t="s">
        <v>77</v>
      </c>
      <c r="I18" s="262"/>
      <c r="J18" s="262"/>
      <c r="K18" s="262"/>
      <c r="L18" s="263"/>
      <c r="M18" s="264"/>
      <c r="N18" s="248"/>
      <c r="O18" s="211"/>
      <c r="P18" s="211"/>
      <c r="Q18" s="211"/>
      <c r="R18" s="211"/>
    </row>
    <row r="19" spans="1:18" s="213" customFormat="1" ht="51" customHeight="1">
      <c r="A19" s="209"/>
      <c r="B19" s="308" t="s">
        <v>78</v>
      </c>
      <c r="C19" s="309"/>
      <c r="D19" s="309"/>
      <c r="E19" s="260"/>
      <c r="F19" s="261">
        <f>F18*0.7</f>
        <v>1.8637500000000002</v>
      </c>
      <c r="G19" s="212"/>
      <c r="H19" s="267" t="s">
        <v>79</v>
      </c>
      <c r="I19" s="262"/>
      <c r="J19" s="262"/>
      <c r="K19" s="262"/>
      <c r="L19" s="263"/>
      <c r="M19" s="264"/>
      <c r="N19" s="248"/>
      <c r="O19" s="211"/>
      <c r="P19" s="211"/>
      <c r="Q19" s="211"/>
      <c r="R19" s="211"/>
    </row>
    <row r="20" spans="1:18" s="213" customFormat="1" ht="16.5">
      <c r="A20" s="209"/>
      <c r="B20" s="258"/>
      <c r="C20" s="258"/>
      <c r="D20" s="259"/>
      <c r="E20" s="260"/>
      <c r="F20" s="265"/>
      <c r="G20" s="212"/>
      <c r="H20" s="267" t="s">
        <v>80</v>
      </c>
      <c r="I20" s="262"/>
      <c r="J20" s="262"/>
      <c r="K20" s="262"/>
      <c r="L20" s="263"/>
      <c r="M20" s="264"/>
      <c r="N20" s="248"/>
      <c r="O20" s="211"/>
      <c r="P20" s="211"/>
      <c r="Q20" s="211"/>
      <c r="R20" s="211"/>
    </row>
    <row r="21" spans="1:18" s="213" customFormat="1" ht="16.5">
      <c r="A21" s="209"/>
      <c r="B21" s="258"/>
      <c r="C21" s="258"/>
      <c r="D21" s="259"/>
      <c r="E21" s="260"/>
      <c r="F21" s="266">
        <f>F18+F19</f>
        <v>4.526250000000001</v>
      </c>
      <c r="G21" s="212"/>
      <c r="H21" s="262"/>
      <c r="I21" s="262"/>
      <c r="J21" s="262"/>
      <c r="K21" s="262"/>
      <c r="L21" s="263"/>
      <c r="M21" s="264"/>
      <c r="N21" s="248"/>
      <c r="O21" s="211"/>
      <c r="P21" s="211"/>
      <c r="Q21" s="211"/>
      <c r="R21" s="211"/>
    </row>
    <row r="22" spans="1:18" s="213" customFormat="1" ht="16.5">
      <c r="A22" s="209"/>
      <c r="B22" s="258"/>
      <c r="C22" s="258"/>
      <c r="D22" s="259"/>
      <c r="E22" s="260"/>
      <c r="F22" s="265"/>
      <c r="G22" s="212"/>
      <c r="H22" s="262" t="s">
        <v>81</v>
      </c>
      <c r="I22" s="262"/>
      <c r="J22" s="262"/>
      <c r="K22" s="262"/>
      <c r="L22" s="263"/>
      <c r="M22" s="264"/>
      <c r="N22" s="248"/>
      <c r="O22" s="211"/>
      <c r="P22" s="211"/>
      <c r="Q22" s="211"/>
      <c r="R22" s="211"/>
    </row>
    <row r="23" spans="1:18" s="213" customFormat="1" ht="16.5">
      <c r="A23" s="209"/>
      <c r="B23" s="258" t="s">
        <v>82</v>
      </c>
      <c r="C23" s="258"/>
      <c r="D23" s="259"/>
      <c r="E23" s="260"/>
      <c r="F23" s="265">
        <f>4.5</f>
        <v>4.5</v>
      </c>
      <c r="G23" s="212"/>
      <c r="H23" s="262" t="s">
        <v>83</v>
      </c>
      <c r="I23" s="262"/>
      <c r="J23" s="262"/>
      <c r="K23" s="262"/>
      <c r="L23" s="263"/>
      <c r="M23" s="264"/>
      <c r="N23" s="248"/>
      <c r="O23" s="211"/>
      <c r="P23" s="211"/>
      <c r="Q23" s="211"/>
      <c r="R23" s="211"/>
    </row>
    <row r="24" spans="1:18" s="213" customFormat="1" ht="16.5">
      <c r="A24" s="209"/>
      <c r="B24" s="258"/>
      <c r="C24" s="258"/>
      <c r="D24" s="259"/>
      <c r="E24" s="260"/>
      <c r="F24" s="265"/>
      <c r="G24" s="212"/>
      <c r="H24" s="262" t="s">
        <v>84</v>
      </c>
      <c r="I24" s="262"/>
      <c r="J24" s="262"/>
      <c r="K24" s="262"/>
      <c r="L24" s="263"/>
      <c r="M24" s="264"/>
      <c r="N24" s="248"/>
      <c r="O24" s="211"/>
      <c r="P24" s="211"/>
      <c r="Q24" s="211"/>
      <c r="R24" s="211"/>
    </row>
    <row r="25" spans="1:18" s="213" customFormat="1" ht="60.6" customHeight="1">
      <c r="A25" s="209"/>
      <c r="B25" s="310" t="s">
        <v>85</v>
      </c>
      <c r="C25" s="311"/>
      <c r="D25" s="311"/>
      <c r="E25" s="311"/>
      <c r="F25" s="311"/>
      <c r="G25" s="212"/>
      <c r="H25" s="262"/>
      <c r="I25" s="262"/>
      <c r="J25" s="262"/>
      <c r="K25" s="262"/>
      <c r="L25" s="263"/>
      <c r="M25" s="264"/>
      <c r="N25" s="248"/>
      <c r="O25" s="211"/>
      <c r="P25" s="211"/>
      <c r="Q25" s="211"/>
      <c r="R25" s="211"/>
    </row>
    <row r="26" spans="1:18" s="213" customFormat="1">
      <c r="A26" s="209"/>
      <c r="B26" s="211"/>
      <c r="C26" s="211"/>
      <c r="D26" s="256"/>
      <c r="E26" s="212"/>
      <c r="F26" s="268"/>
      <c r="G26" s="212"/>
      <c r="H26" s="262"/>
      <c r="I26" s="262"/>
      <c r="J26" s="262"/>
      <c r="K26" s="262"/>
      <c r="L26" s="262"/>
      <c r="M26" s="264"/>
      <c r="N26" s="248"/>
      <c r="O26" s="211"/>
      <c r="P26" s="211"/>
      <c r="Q26" s="211"/>
      <c r="R26" s="211"/>
    </row>
    <row r="27" spans="1:18" s="213" customFormat="1" ht="94.9" customHeight="1">
      <c r="A27" s="209"/>
      <c r="B27" s="310" t="s">
        <v>86</v>
      </c>
      <c r="C27" s="311"/>
      <c r="D27" s="311"/>
      <c r="E27" s="311"/>
      <c r="F27" s="311"/>
      <c r="G27" s="212"/>
      <c r="H27" s="224"/>
      <c r="I27" s="224"/>
      <c r="J27" s="224"/>
      <c r="K27" s="224"/>
      <c r="L27" s="224"/>
      <c r="M27" s="225"/>
      <c r="N27" s="211"/>
      <c r="O27" s="211"/>
      <c r="P27" s="211"/>
      <c r="Q27" s="211"/>
      <c r="R27" s="211"/>
    </row>
    <row r="28" spans="1:18" s="213" customFormat="1">
      <c r="A28" s="209"/>
      <c r="B28" s="211"/>
      <c r="C28" s="211"/>
      <c r="D28" s="256"/>
      <c r="E28" s="212"/>
      <c r="F28" s="212"/>
      <c r="G28" s="212"/>
      <c r="H28" s="224"/>
      <c r="I28" s="224"/>
      <c r="J28" s="224"/>
      <c r="K28" s="224"/>
      <c r="L28" s="224"/>
      <c r="M28" s="225"/>
      <c r="N28" s="211"/>
      <c r="O28" s="211"/>
      <c r="P28" s="211"/>
      <c r="Q28" s="211"/>
      <c r="R28" s="211"/>
    </row>
    <row r="29" spans="1:18" s="213" customFormat="1">
      <c r="A29" s="209"/>
      <c r="B29" s="211"/>
      <c r="C29" s="211"/>
      <c r="D29" s="256"/>
      <c r="E29" s="212"/>
      <c r="F29" s="212"/>
      <c r="G29" s="212"/>
      <c r="H29" s="224"/>
      <c r="I29" s="224"/>
      <c r="J29" s="224"/>
      <c r="K29" s="224"/>
      <c r="L29" s="224"/>
      <c r="M29" s="225"/>
      <c r="N29" s="211"/>
      <c r="O29" s="211"/>
      <c r="P29" s="211"/>
      <c r="Q29" s="211"/>
      <c r="R29" s="211"/>
    </row>
    <row r="30" spans="1:18" s="213" customFormat="1">
      <c r="A30" s="209"/>
      <c r="B30" s="211"/>
      <c r="C30" s="211"/>
      <c r="D30" s="256"/>
      <c r="E30" s="212"/>
      <c r="F30" s="212"/>
      <c r="G30" s="212"/>
      <c r="H30" s="212"/>
      <c r="I30" s="212"/>
      <c r="J30" s="212"/>
      <c r="K30" s="212"/>
      <c r="L30" s="212"/>
      <c r="N30" s="211"/>
      <c r="O30" s="211"/>
      <c r="P30" s="211"/>
      <c r="Q30" s="211"/>
      <c r="R30" s="211"/>
    </row>
    <row r="31" spans="1:18" s="213" customFormat="1">
      <c r="A31" s="209"/>
      <c r="B31" s="211"/>
      <c r="C31" s="211"/>
      <c r="D31" s="256"/>
      <c r="E31" s="212"/>
      <c r="F31" s="212"/>
      <c r="G31" s="212"/>
      <c r="H31" s="212"/>
      <c r="I31" s="212"/>
      <c r="J31" s="212"/>
      <c r="K31" s="212"/>
      <c r="L31" s="212"/>
      <c r="N31" s="211"/>
      <c r="O31" s="211"/>
      <c r="P31" s="211"/>
      <c r="Q31" s="211"/>
      <c r="R31" s="211"/>
    </row>
    <row r="32" spans="1:18" s="213" customFormat="1">
      <c r="A32" s="209"/>
      <c r="B32" s="211"/>
      <c r="C32" s="211"/>
      <c r="D32" s="256"/>
      <c r="E32" s="212"/>
      <c r="F32" s="212"/>
      <c r="G32" s="212"/>
      <c r="H32" s="212"/>
      <c r="I32" s="212"/>
      <c r="J32" s="212"/>
      <c r="K32" s="212"/>
      <c r="L32" s="212"/>
      <c r="N32" s="211"/>
      <c r="O32" s="211"/>
      <c r="P32" s="211"/>
      <c r="Q32" s="211"/>
      <c r="R32" s="211"/>
    </row>
    <row r="33" spans="1:18" s="213" customFormat="1">
      <c r="A33" s="209"/>
      <c r="B33" s="211"/>
      <c r="C33" s="211"/>
      <c r="D33" s="256"/>
      <c r="E33" s="212"/>
      <c r="F33" s="212"/>
      <c r="G33" s="212"/>
      <c r="H33" s="212"/>
      <c r="I33" s="212"/>
      <c r="J33" s="212"/>
      <c r="K33" s="212"/>
      <c r="L33" s="212"/>
      <c r="N33" s="211"/>
      <c r="O33" s="211"/>
      <c r="P33" s="211"/>
      <c r="Q33" s="211"/>
      <c r="R33" s="211"/>
    </row>
    <row r="34" spans="1:18" s="213" customFormat="1">
      <c r="A34" s="209"/>
      <c r="B34" s="211"/>
      <c r="C34" s="211"/>
      <c r="D34" s="256"/>
      <c r="E34" s="212"/>
      <c r="F34" s="212"/>
      <c r="G34" s="212"/>
      <c r="H34" s="212"/>
      <c r="I34" s="212"/>
      <c r="J34" s="212"/>
      <c r="K34" s="212"/>
      <c r="L34" s="212"/>
      <c r="N34" s="211"/>
      <c r="O34" s="211"/>
      <c r="P34" s="211"/>
      <c r="Q34" s="211"/>
      <c r="R34" s="211"/>
    </row>
    <row r="35" spans="1:18" s="213" customFormat="1">
      <c r="A35" s="209"/>
      <c r="B35" s="211"/>
      <c r="C35" s="211"/>
      <c r="D35" s="256"/>
      <c r="E35" s="212"/>
      <c r="F35" s="212"/>
      <c r="G35" s="212"/>
      <c r="H35" s="212"/>
      <c r="I35" s="212"/>
      <c r="J35" s="212"/>
      <c r="K35" s="212"/>
      <c r="L35" s="212"/>
      <c r="N35" s="211"/>
      <c r="O35" s="211"/>
      <c r="P35" s="211"/>
      <c r="Q35" s="211"/>
      <c r="R35" s="211"/>
    </row>
    <row r="36" spans="1:18" s="213" customFormat="1">
      <c r="A36" s="209"/>
      <c r="B36" s="211"/>
      <c r="C36" s="211"/>
      <c r="D36" s="256"/>
      <c r="E36" s="212"/>
      <c r="F36" s="212"/>
      <c r="G36" s="212"/>
      <c r="H36" s="212"/>
      <c r="I36" s="212"/>
      <c r="J36" s="212"/>
      <c r="K36" s="212"/>
      <c r="L36" s="212"/>
      <c r="N36" s="211"/>
      <c r="O36" s="211"/>
      <c r="P36" s="211"/>
      <c r="Q36" s="211"/>
      <c r="R36" s="211"/>
    </row>
    <row r="37" spans="1:18" s="212" customFormat="1">
      <c r="A37" s="209"/>
      <c r="B37" s="211"/>
      <c r="C37" s="211"/>
      <c r="D37" s="256"/>
      <c r="M37" s="213"/>
      <c r="N37" s="211"/>
      <c r="O37" s="211"/>
      <c r="P37" s="211"/>
      <c r="Q37" s="211"/>
      <c r="R37" s="211"/>
    </row>
    <row r="38" spans="1:18" s="212" customFormat="1">
      <c r="A38" s="209"/>
      <c r="B38" s="211"/>
      <c r="C38" s="211"/>
      <c r="D38" s="256"/>
      <c r="M38" s="213"/>
      <c r="N38" s="211"/>
      <c r="O38" s="211"/>
      <c r="P38" s="211"/>
      <c r="Q38" s="211"/>
      <c r="R38" s="211"/>
    </row>
    <row r="39" spans="1:18" s="212" customFormat="1">
      <c r="A39" s="209"/>
      <c r="B39" s="211"/>
      <c r="C39" s="211"/>
      <c r="D39" s="256"/>
      <c r="M39" s="213"/>
      <c r="N39" s="211"/>
      <c r="O39" s="211"/>
      <c r="P39" s="211"/>
      <c r="Q39" s="211"/>
      <c r="R39" s="211"/>
    </row>
    <row r="40" spans="1:18" s="212" customFormat="1">
      <c r="A40" s="209"/>
      <c r="B40" s="211"/>
      <c r="C40" s="211"/>
      <c r="D40" s="256"/>
      <c r="M40" s="213"/>
      <c r="N40" s="211"/>
      <c r="O40" s="211"/>
      <c r="P40" s="211"/>
      <c r="Q40" s="211"/>
      <c r="R40" s="211"/>
    </row>
    <row r="41" spans="1:18" s="212" customFormat="1">
      <c r="A41" s="209"/>
      <c r="B41" s="211"/>
      <c r="C41" s="211"/>
      <c r="D41" s="256"/>
      <c r="M41" s="213"/>
      <c r="N41" s="211"/>
      <c r="O41" s="211"/>
      <c r="P41" s="211"/>
      <c r="Q41" s="211"/>
      <c r="R41" s="211"/>
    </row>
    <row r="42" spans="1:18" s="212" customFormat="1">
      <c r="A42" s="209"/>
      <c r="B42" s="211"/>
      <c r="C42" s="211"/>
      <c r="D42" s="256"/>
      <c r="M42" s="213"/>
      <c r="N42" s="211"/>
      <c r="O42" s="211"/>
      <c r="P42" s="211"/>
      <c r="Q42" s="211"/>
      <c r="R42" s="211"/>
    </row>
    <row r="43" spans="1:18" s="212" customFormat="1">
      <c r="A43" s="209"/>
      <c r="B43" s="211"/>
      <c r="C43" s="211"/>
      <c r="D43" s="256"/>
      <c r="M43" s="213"/>
      <c r="N43" s="211"/>
      <c r="O43" s="211"/>
      <c r="P43" s="211"/>
      <c r="Q43" s="211"/>
      <c r="R43" s="211"/>
    </row>
    <row r="44" spans="1:18" s="212" customFormat="1">
      <c r="A44" s="209"/>
      <c r="B44" s="211"/>
      <c r="C44" s="211"/>
      <c r="D44" s="256"/>
      <c r="M44" s="213"/>
      <c r="N44" s="211"/>
      <c r="O44" s="211"/>
      <c r="P44" s="211"/>
      <c r="Q44" s="211"/>
      <c r="R44" s="211"/>
    </row>
    <row r="45" spans="1:18" s="212" customFormat="1">
      <c r="A45" s="209"/>
      <c r="B45" s="211"/>
      <c r="C45" s="211"/>
      <c r="D45" s="256"/>
      <c r="M45" s="213"/>
      <c r="N45" s="211"/>
      <c r="O45" s="211"/>
      <c r="P45" s="211"/>
      <c r="Q45" s="211"/>
      <c r="R45" s="211"/>
    </row>
    <row r="46" spans="1:18" s="212" customFormat="1">
      <c r="A46" s="209"/>
      <c r="B46" s="211"/>
      <c r="C46" s="211"/>
      <c r="D46" s="256"/>
      <c r="M46" s="213"/>
      <c r="N46" s="211"/>
      <c r="O46" s="211"/>
      <c r="P46" s="211"/>
      <c r="Q46" s="211"/>
      <c r="R46" s="211"/>
    </row>
    <row r="47" spans="1:18" s="212" customFormat="1">
      <c r="A47" s="209"/>
      <c r="B47" s="211"/>
      <c r="C47" s="211"/>
      <c r="D47" s="256"/>
      <c r="M47" s="213"/>
      <c r="N47" s="211"/>
      <c r="O47" s="211"/>
      <c r="P47" s="211"/>
      <c r="Q47" s="211"/>
      <c r="R47" s="211"/>
    </row>
    <row r="48" spans="1:18" s="212" customFormat="1">
      <c r="A48" s="209"/>
      <c r="B48" s="211"/>
      <c r="C48" s="211"/>
      <c r="D48" s="256"/>
      <c r="M48" s="213"/>
      <c r="N48" s="211"/>
      <c r="O48" s="211"/>
      <c r="P48" s="211"/>
      <c r="Q48" s="211"/>
      <c r="R48" s="211"/>
    </row>
    <row r="49" spans="1:18" s="212" customFormat="1">
      <c r="A49" s="209"/>
      <c r="B49" s="211"/>
      <c r="C49" s="211"/>
      <c r="D49" s="256"/>
      <c r="M49" s="213"/>
      <c r="N49" s="211"/>
      <c r="O49" s="211"/>
      <c r="P49" s="211"/>
      <c r="Q49" s="211"/>
      <c r="R49" s="211"/>
    </row>
    <row r="50" spans="1:18" s="212" customFormat="1">
      <c r="A50" s="209"/>
      <c r="B50" s="211"/>
      <c r="C50" s="211"/>
      <c r="D50" s="256"/>
      <c r="M50" s="213"/>
      <c r="N50" s="211"/>
      <c r="O50" s="211"/>
      <c r="P50" s="211"/>
      <c r="Q50" s="211"/>
      <c r="R50" s="211"/>
    </row>
    <row r="51" spans="1:18" s="212" customFormat="1">
      <c r="A51" s="209"/>
      <c r="B51" s="211"/>
      <c r="C51" s="211"/>
      <c r="D51" s="256"/>
      <c r="M51" s="213"/>
      <c r="N51" s="211"/>
      <c r="O51" s="211"/>
      <c r="P51" s="211"/>
      <c r="Q51" s="211"/>
      <c r="R51" s="211"/>
    </row>
  </sheetData>
  <mergeCells count="6">
    <mergeCell ref="B27:F27"/>
    <mergeCell ref="J1:L1"/>
    <mergeCell ref="J3:L3"/>
    <mergeCell ref="B5:F5"/>
    <mergeCell ref="B19:D19"/>
    <mergeCell ref="B25:F25"/>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M38"/>
  <sheetViews>
    <sheetView workbookViewId="0">
      <selection activeCell="E18" sqref="E18"/>
    </sheetView>
  </sheetViews>
  <sheetFormatPr defaultRowHeight="15"/>
  <cols>
    <col min="5" max="5" width="16.7109375" customWidth="1"/>
  </cols>
  <sheetData>
    <row r="1" spans="1:13">
      <c r="A1" t="s">
        <v>87</v>
      </c>
    </row>
    <row r="3" spans="1:13">
      <c r="C3" t="s">
        <v>88</v>
      </c>
      <c r="E3" t="s">
        <v>89</v>
      </c>
      <c r="H3" t="s">
        <v>90</v>
      </c>
    </row>
    <row r="4" spans="1:13">
      <c r="C4" s="269" t="s">
        <v>91</v>
      </c>
      <c r="D4" s="269">
        <v>180.27</v>
      </c>
      <c r="E4" s="269">
        <v>180.27</v>
      </c>
      <c r="F4" s="269" t="s">
        <v>92</v>
      </c>
      <c r="G4" s="269"/>
      <c r="H4">
        <v>63800</v>
      </c>
    </row>
    <row r="5" spans="1:13">
      <c r="C5" t="s">
        <v>93</v>
      </c>
      <c r="E5">
        <f>D6/2</f>
        <v>186.17</v>
      </c>
      <c r="H5">
        <v>64200</v>
      </c>
    </row>
    <row r="6" spans="1:13">
      <c r="C6" t="s">
        <v>94</v>
      </c>
      <c r="D6">
        <v>372.34</v>
      </c>
      <c r="E6">
        <f>D6/2</f>
        <v>186.17</v>
      </c>
      <c r="H6">
        <v>65400</v>
      </c>
    </row>
    <row r="7" spans="1:13">
      <c r="C7" t="s">
        <v>95</v>
      </c>
      <c r="D7">
        <v>83.81</v>
      </c>
      <c r="E7">
        <v>83.81</v>
      </c>
      <c r="H7">
        <v>245600</v>
      </c>
    </row>
    <row r="8" spans="1:13">
      <c r="C8" t="s">
        <v>96</v>
      </c>
      <c r="D8">
        <v>70.569999999999993</v>
      </c>
      <c r="E8">
        <v>70.569999999999993</v>
      </c>
      <c r="H8">
        <v>387700</v>
      </c>
    </row>
    <row r="9" spans="1:13">
      <c r="C9" t="s">
        <v>97</v>
      </c>
      <c r="D9">
        <v>104.38</v>
      </c>
      <c r="E9">
        <v>104.38</v>
      </c>
      <c r="H9">
        <v>733200</v>
      </c>
    </row>
    <row r="10" spans="1:13">
      <c r="C10" t="s">
        <v>98</v>
      </c>
      <c r="D10">
        <v>174.8</v>
      </c>
      <c r="E10">
        <v>174.8</v>
      </c>
      <c r="H10">
        <v>1291400</v>
      </c>
    </row>
    <row r="11" spans="1:13">
      <c r="C11" t="s">
        <v>99</v>
      </c>
      <c r="D11">
        <v>265.36</v>
      </c>
      <c r="E11">
        <v>265.36</v>
      </c>
    </row>
    <row r="12" spans="1:13">
      <c r="C12" t="s">
        <v>100</v>
      </c>
      <c r="E12">
        <f>SUM(E5:E11)</f>
        <v>1071.2600000000002</v>
      </c>
      <c r="G12" t="s">
        <v>101</v>
      </c>
      <c r="H12">
        <f>SUM(H4:H10)</f>
        <v>2851300</v>
      </c>
      <c r="J12" t="s">
        <v>102</v>
      </c>
      <c r="M12">
        <f>E12/H12*1000</f>
        <v>0.37570932557079234</v>
      </c>
    </row>
    <row r="16" spans="1:13">
      <c r="F16" t="s">
        <v>103</v>
      </c>
    </row>
    <row r="17" spans="3:11">
      <c r="G17" t="s">
        <v>104</v>
      </c>
      <c r="H17">
        <v>2851300</v>
      </c>
      <c r="J17">
        <f>H17</f>
        <v>2851300</v>
      </c>
    </row>
    <row r="18" spans="3:11">
      <c r="H18">
        <v>84000</v>
      </c>
      <c r="I18">
        <v>2</v>
      </c>
      <c r="J18">
        <f>H18*I18</f>
        <v>168000</v>
      </c>
    </row>
    <row r="19" spans="3:11">
      <c r="H19">
        <v>130000</v>
      </c>
      <c r="I19">
        <v>2</v>
      </c>
      <c r="J19">
        <f>H19*I19</f>
        <v>260000</v>
      </c>
    </row>
    <row r="20" spans="3:11">
      <c r="J20">
        <f>J17-J18-J19</f>
        <v>2423300</v>
      </c>
      <c r="K20" t="s">
        <v>105</v>
      </c>
    </row>
    <row r="21" spans="3:11">
      <c r="K21" t="s">
        <v>106</v>
      </c>
    </row>
    <row r="22" spans="3:11">
      <c r="J22">
        <f>2423300/7</f>
        <v>346185.71428571426</v>
      </c>
      <c r="K22" t="s">
        <v>107</v>
      </c>
    </row>
    <row r="23" spans="3:11">
      <c r="J23">
        <f>J22*12</f>
        <v>4154228.5714285709</v>
      </c>
      <c r="K23" t="s">
        <v>108</v>
      </c>
    </row>
    <row r="27" spans="3:11">
      <c r="C27" t="s">
        <v>109</v>
      </c>
    </row>
    <row r="28" spans="3:11">
      <c r="C28">
        <v>8</v>
      </c>
      <c r="D28" t="s">
        <v>110</v>
      </c>
    </row>
    <row r="29" spans="3:11">
      <c r="C29">
        <v>29</v>
      </c>
      <c r="D29" t="s">
        <v>111</v>
      </c>
    </row>
    <row r="30" spans="3:11">
      <c r="C30">
        <f>29*120</f>
        <v>3480</v>
      </c>
      <c r="D30" t="s">
        <v>112</v>
      </c>
      <c r="K30">
        <f>1.75/0.61</f>
        <v>2.8688524590163933</v>
      </c>
    </row>
    <row r="31" spans="3:11">
      <c r="C31">
        <v>4</v>
      </c>
      <c r="D31" t="s">
        <v>113</v>
      </c>
    </row>
    <row r="32" spans="3:11">
      <c r="C32" t="s">
        <v>114</v>
      </c>
      <c r="D32" t="s">
        <v>115</v>
      </c>
    </row>
    <row r="33" spans="3:5">
      <c r="C33" t="s">
        <v>114</v>
      </c>
      <c r="D33">
        <f>3.14*16*3480</f>
        <v>174835.20000000001</v>
      </c>
      <c r="E33" t="s">
        <v>116</v>
      </c>
    </row>
    <row r="35" spans="3:5">
      <c r="D35">
        <v>231</v>
      </c>
      <c r="E35" t="s">
        <v>117</v>
      </c>
    </row>
    <row r="36" spans="3:5">
      <c r="C36" t="s">
        <v>114</v>
      </c>
      <c r="D36">
        <f>D33/D35</f>
        <v>756.86233766233772</v>
      </c>
      <c r="E36" t="s">
        <v>118</v>
      </c>
    </row>
    <row r="37" spans="3:5">
      <c r="D37">
        <v>4</v>
      </c>
      <c r="E37" t="s">
        <v>113</v>
      </c>
    </row>
    <row r="38" spans="3:5">
      <c r="D38">
        <f>D36*D37</f>
        <v>3027.4493506493509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Rate_User_Fee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W Erickson</dc:creator>
  <cp:lastModifiedBy>laurieharris</cp:lastModifiedBy>
  <dcterms:created xsi:type="dcterms:W3CDTF">2013-08-20T17:47:41Z</dcterms:created>
  <dcterms:modified xsi:type="dcterms:W3CDTF">2013-09-12T22:37:43Z</dcterms:modified>
</cp:coreProperties>
</file>