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water\16docs\16244301\"/>
    </mc:Choice>
  </mc:AlternateContent>
  <bookViews>
    <workbookView xWindow="15" yWindow="165" windowWidth="23475" windowHeight="12810"/>
  </bookViews>
  <sheets>
    <sheet name="Culinary Rate Analysis" sheetId="5" r:id="rId1"/>
    <sheet name="System Improvements" sheetId="2" r:id="rId2"/>
    <sheet name="Loan Repayment Schedule" sheetId="3" r:id="rId3"/>
  </sheets>
  <externalReferences>
    <externalReference r:id="rId4"/>
    <externalReference r:id="rId5"/>
    <externalReference r:id="rId6"/>
  </externalReferences>
  <definedNames>
    <definedName name="_xlnm.Print_Area" localSheetId="0">'Culinary Rate Analysis'!$A$2:$AC$254</definedName>
    <definedName name="_xlnm.Print_Area" localSheetId="2">'Loan Repayment Schedule'!$A$1:$T$2</definedName>
    <definedName name="_xlnm.Print_Area" localSheetId="1">'System Improvements'!$A$1:$N$45</definedName>
    <definedName name="_xlnm.Print_Titles" localSheetId="0">'Culinary Rate Analysis'!$B:$B</definedName>
  </definedNames>
  <calcPr calcId="152511"/>
</workbook>
</file>

<file path=xl/calcChain.xml><?xml version="1.0" encoding="utf-8"?>
<calcChain xmlns="http://schemas.openxmlformats.org/spreadsheetml/2006/main">
  <c r="F40" i="2" l="1"/>
  <c r="K40" i="2" l="1"/>
  <c r="L40" i="2" s="1"/>
  <c r="M40" i="2" s="1"/>
  <c r="N40" i="2" s="1"/>
  <c r="J40" i="2"/>
  <c r="I40" i="2"/>
  <c r="H40" i="2"/>
  <c r="G40" i="2"/>
  <c r="W196" i="5"/>
  <c r="N196" i="5"/>
  <c r="O196" i="5"/>
  <c r="P196" i="5"/>
  <c r="Q196" i="5"/>
  <c r="R196" i="5"/>
  <c r="S196" i="5"/>
  <c r="T196" i="5"/>
  <c r="U196" i="5"/>
  <c r="V196" i="5"/>
  <c r="M196" i="5"/>
  <c r="C196" i="5"/>
  <c r="D196" i="5"/>
  <c r="E196" i="5"/>
  <c r="F196" i="5"/>
  <c r="G196" i="5"/>
  <c r="H196" i="5"/>
  <c r="I196" i="5"/>
  <c r="J196" i="5"/>
  <c r="K196" i="5"/>
  <c r="L196" i="5"/>
  <c r="X196" i="5"/>
  <c r="Y196" i="5"/>
  <c r="Z196" i="5"/>
  <c r="AA196" i="5"/>
  <c r="AB196" i="5"/>
  <c r="AC196" i="5"/>
  <c r="V4" i="3" l="1"/>
  <c r="B255" i="5" l="1"/>
  <c r="F253" i="5"/>
  <c r="F252" i="5"/>
  <c r="F251" i="5"/>
  <c r="F250" i="5"/>
  <c r="G250" i="5" s="1"/>
  <c r="H250" i="5" s="1"/>
  <c r="I250" i="5" s="1"/>
  <c r="J250" i="5" s="1"/>
  <c r="K250" i="5" s="1"/>
  <c r="F249" i="5"/>
  <c r="G249" i="5" s="1"/>
  <c r="H249" i="5" s="1"/>
  <c r="J247" i="5"/>
  <c r="J248" i="5" s="1"/>
  <c r="E247" i="5"/>
  <c r="J246" i="5"/>
  <c r="G246" i="5"/>
  <c r="E246" i="5"/>
  <c r="E245" i="5"/>
  <c r="D243" i="5"/>
  <c r="E243" i="5" s="1"/>
  <c r="D242" i="5"/>
  <c r="E242" i="5" s="1"/>
  <c r="D241" i="5"/>
  <c r="E241" i="5" s="1"/>
  <c r="I221" i="5"/>
  <c r="H221" i="5"/>
  <c r="G221" i="5"/>
  <c r="F221" i="5"/>
  <c r="F231" i="5" s="1"/>
  <c r="E221" i="5"/>
  <c r="E231" i="5" s="1"/>
  <c r="D221" i="5"/>
  <c r="D231" i="5" s="1"/>
  <c r="I218" i="5"/>
  <c r="H218" i="5"/>
  <c r="G218" i="5"/>
  <c r="C218" i="5"/>
  <c r="C231" i="5" s="1"/>
  <c r="I215" i="5"/>
  <c r="H215" i="5"/>
  <c r="G215" i="5"/>
  <c r="I213" i="5"/>
  <c r="H213" i="5"/>
  <c r="G213" i="5"/>
  <c r="E211" i="5"/>
  <c r="E237" i="5" s="1"/>
  <c r="D210" i="5"/>
  <c r="C210" i="5"/>
  <c r="D209" i="5"/>
  <c r="C209" i="5"/>
  <c r="G208" i="5"/>
  <c r="F208" i="5"/>
  <c r="F209" i="5" s="1"/>
  <c r="I206" i="5"/>
  <c r="H206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AC195" i="5"/>
  <c r="AB195" i="5"/>
  <c r="AA195" i="5"/>
  <c r="Z195" i="5"/>
  <c r="Y195" i="5"/>
  <c r="X195" i="5"/>
  <c r="W195" i="5"/>
  <c r="U195" i="5"/>
  <c r="T195" i="5"/>
  <c r="S195" i="5"/>
  <c r="R195" i="5"/>
  <c r="Q195" i="5"/>
  <c r="P195" i="5"/>
  <c r="O195" i="5"/>
  <c r="N195" i="5"/>
  <c r="M195" i="5"/>
  <c r="E194" i="5"/>
  <c r="F194" i="5" s="1"/>
  <c r="I133" i="5"/>
  <c r="H133" i="5"/>
  <c r="G133" i="5"/>
  <c r="F133" i="5"/>
  <c r="C131" i="5"/>
  <c r="J129" i="5"/>
  <c r="K129" i="5" s="1"/>
  <c r="L129" i="5" s="1"/>
  <c r="M129" i="5" s="1"/>
  <c r="N129" i="5" s="1"/>
  <c r="O129" i="5" s="1"/>
  <c r="P129" i="5" s="1"/>
  <c r="Q129" i="5" s="1"/>
  <c r="R129" i="5" s="1"/>
  <c r="S129" i="5" s="1"/>
  <c r="T129" i="5" s="1"/>
  <c r="U129" i="5" s="1"/>
  <c r="V129" i="5" s="1"/>
  <c r="W129" i="5" s="1"/>
  <c r="X129" i="5" s="1"/>
  <c r="Y129" i="5" s="1"/>
  <c r="Z129" i="5" s="1"/>
  <c r="AA129" i="5" s="1"/>
  <c r="AB129" i="5" s="1"/>
  <c r="AC129" i="5" s="1"/>
  <c r="I129" i="5"/>
  <c r="H129" i="5"/>
  <c r="G129" i="5"/>
  <c r="F129" i="5"/>
  <c r="I34" i="5"/>
  <c r="J34" i="5" s="1"/>
  <c r="K34" i="5" s="1"/>
  <c r="L34" i="5" s="1"/>
  <c r="M34" i="5" s="1"/>
  <c r="N34" i="5" s="1"/>
  <c r="O34" i="5" s="1"/>
  <c r="P34" i="5" s="1"/>
  <c r="Q34" i="5" s="1"/>
  <c r="R34" i="5" s="1"/>
  <c r="S34" i="5" s="1"/>
  <c r="T34" i="5" s="1"/>
  <c r="U34" i="5" s="1"/>
  <c r="V34" i="5" s="1"/>
  <c r="W34" i="5" s="1"/>
  <c r="X34" i="5" s="1"/>
  <c r="Y34" i="5" s="1"/>
  <c r="Z34" i="5" s="1"/>
  <c r="AA34" i="5" s="1"/>
  <c r="AB34" i="5" s="1"/>
  <c r="AC34" i="5" s="1"/>
  <c r="H34" i="5"/>
  <c r="G34" i="5"/>
  <c r="F34" i="5"/>
  <c r="C34" i="5"/>
  <c r="I12" i="5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H12" i="5"/>
  <c r="G12" i="5"/>
  <c r="F12" i="5"/>
  <c r="E12" i="5"/>
  <c r="J9" i="5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I9" i="5"/>
  <c r="H9" i="5"/>
  <c r="G9" i="5"/>
  <c r="F9" i="5"/>
  <c r="C9" i="5"/>
  <c r="G231" i="5" l="1"/>
  <c r="D211" i="5"/>
  <c r="D237" i="5" s="1"/>
  <c r="G209" i="5"/>
  <c r="G210" i="5" s="1"/>
  <c r="G251" i="5"/>
  <c r="H251" i="5" s="1"/>
  <c r="I251" i="5" s="1"/>
  <c r="J251" i="5" s="1"/>
  <c r="K251" i="5" s="1"/>
  <c r="L251" i="5" s="1"/>
  <c r="M251" i="5" s="1"/>
  <c r="N251" i="5" s="1"/>
  <c r="O251" i="5" s="1"/>
  <c r="P251" i="5" s="1"/>
  <c r="Q251" i="5" s="1"/>
  <c r="R251" i="5" s="1"/>
  <c r="S251" i="5" s="1"/>
  <c r="T251" i="5" s="1"/>
  <c r="U251" i="5" s="1"/>
  <c r="V251" i="5" s="1"/>
  <c r="W251" i="5" s="1"/>
  <c r="X251" i="5" s="1"/>
  <c r="Y251" i="5" s="1"/>
  <c r="Z251" i="5" s="1"/>
  <c r="AA251" i="5" s="1"/>
  <c r="AB251" i="5" s="1"/>
  <c r="AC251" i="5" s="1"/>
  <c r="C211" i="5"/>
  <c r="C237" i="5" s="1"/>
  <c r="L250" i="5"/>
  <c r="H231" i="5"/>
  <c r="G194" i="5"/>
  <c r="H194" i="5" s="1"/>
  <c r="I194" i="5" s="1"/>
  <c r="J194" i="5" s="1"/>
  <c r="K194" i="5" s="1"/>
  <c r="L194" i="5" s="1"/>
  <c r="M194" i="5" s="1"/>
  <c r="I231" i="5"/>
  <c r="F210" i="5"/>
  <c r="G247" i="5"/>
  <c r="I249" i="5"/>
  <c r="H209" i="5"/>
  <c r="H210" i="5" s="1"/>
  <c r="F211" i="5" l="1"/>
  <c r="F237" i="5" s="1"/>
  <c r="G211" i="5"/>
  <c r="G237" i="5" s="1"/>
  <c r="M250" i="5"/>
  <c r="I209" i="5"/>
  <c r="J249" i="5"/>
  <c r="N194" i="5"/>
  <c r="G252" i="5"/>
  <c r="H252" i="5" s="1"/>
  <c r="I252" i="5" s="1"/>
  <c r="J252" i="5" s="1"/>
  <c r="G248" i="5"/>
  <c r="G253" i="5" s="1"/>
  <c r="H253" i="5" s="1"/>
  <c r="I253" i="5" s="1"/>
  <c r="J253" i="5" s="1"/>
  <c r="K253" i="5" s="1"/>
  <c r="L253" i="5" s="1"/>
  <c r="M253" i="5" s="1"/>
  <c r="N253" i="5" s="1"/>
  <c r="O253" i="5" s="1"/>
  <c r="P253" i="5" s="1"/>
  <c r="Q253" i="5" s="1"/>
  <c r="R253" i="5" s="1"/>
  <c r="S253" i="5" s="1"/>
  <c r="T253" i="5" s="1"/>
  <c r="U253" i="5" s="1"/>
  <c r="V253" i="5" s="1"/>
  <c r="W253" i="5" s="1"/>
  <c r="X253" i="5" s="1"/>
  <c r="Y253" i="5" s="1"/>
  <c r="Z253" i="5" s="1"/>
  <c r="AA253" i="5" s="1"/>
  <c r="AB253" i="5" s="1"/>
  <c r="AC253" i="5" s="1"/>
  <c r="H211" i="5"/>
  <c r="H237" i="5" s="1"/>
  <c r="K249" i="5" l="1"/>
  <c r="I210" i="5"/>
  <c r="N250" i="5"/>
  <c r="K252" i="5"/>
  <c r="O194" i="5"/>
  <c r="F42" i="2"/>
  <c r="G42" i="2"/>
  <c r="L200" i="5" s="1"/>
  <c r="H42" i="2"/>
  <c r="M200" i="5" s="1"/>
  <c r="I42" i="2"/>
  <c r="N200" i="5" s="1"/>
  <c r="J42" i="2"/>
  <c r="O200" i="5" s="1"/>
  <c r="K42" i="2"/>
  <c r="P200" i="5" s="1"/>
  <c r="L42" i="2"/>
  <c r="Q200" i="5" s="1"/>
  <c r="M42" i="2"/>
  <c r="R200" i="5" s="1"/>
  <c r="N42" i="2"/>
  <c r="S200" i="5" s="1"/>
  <c r="E42" i="2"/>
  <c r="J200" i="5" s="1"/>
  <c r="I211" i="5" l="1"/>
  <c r="K200" i="5"/>
  <c r="O250" i="5"/>
  <c r="L249" i="5"/>
  <c r="P194" i="5"/>
  <c r="L252" i="5"/>
  <c r="J133" i="5"/>
  <c r="P133" i="5"/>
  <c r="R133" i="5"/>
  <c r="M133" i="5" l="1"/>
  <c r="T200" i="5"/>
  <c r="U200" i="5" s="1"/>
  <c r="Q133" i="5"/>
  <c r="M249" i="5"/>
  <c r="Q194" i="5"/>
  <c r="P250" i="5"/>
  <c r="M252" i="5"/>
  <c r="L133" i="5"/>
  <c r="S133" i="5" l="1"/>
  <c r="K133" i="5"/>
  <c r="V200" i="5"/>
  <c r="W200" i="5" s="1"/>
  <c r="X200" i="5" s="1"/>
  <c r="O133" i="5"/>
  <c r="N133" i="5"/>
  <c r="R194" i="5"/>
  <c r="N252" i="5"/>
  <c r="Q250" i="5"/>
  <c r="N249" i="5"/>
  <c r="Y200" i="5" l="1"/>
  <c r="Z200" i="5" s="1"/>
  <c r="O249" i="5"/>
  <c r="R250" i="5"/>
  <c r="O252" i="5"/>
  <c r="S194" i="5"/>
  <c r="AA200" i="5" l="1"/>
  <c r="AB200" i="5" s="1"/>
  <c r="AC200" i="5" s="1"/>
  <c r="S250" i="5"/>
  <c r="P252" i="5"/>
  <c r="P249" i="5"/>
  <c r="T194" i="5"/>
  <c r="Q252" i="5" l="1"/>
  <c r="T250" i="5"/>
  <c r="Q249" i="5"/>
  <c r="U194" i="5"/>
  <c r="R249" i="5" l="1"/>
  <c r="U250" i="5"/>
  <c r="V194" i="5"/>
  <c r="R252" i="5"/>
  <c r="I132" i="5" l="1"/>
  <c r="J131" i="5"/>
  <c r="K131" i="5" s="1"/>
  <c r="L131" i="5" s="1"/>
  <c r="M131" i="5" s="1"/>
  <c r="N131" i="5" s="1"/>
  <c r="O131" i="5" s="1"/>
  <c r="P131" i="5" s="1"/>
  <c r="Q131" i="5" s="1"/>
  <c r="R131" i="5" s="1"/>
  <c r="S131" i="5" s="1"/>
  <c r="T131" i="5" s="1"/>
  <c r="U131" i="5" s="1"/>
  <c r="V131" i="5" s="1"/>
  <c r="W131" i="5" s="1"/>
  <c r="S252" i="5"/>
  <c r="W194" i="5"/>
  <c r="V250" i="5"/>
  <c r="S249" i="5"/>
  <c r="W250" i="5" l="1"/>
  <c r="X194" i="5"/>
  <c r="T249" i="5"/>
  <c r="X131" i="5"/>
  <c r="T252" i="5"/>
  <c r="U252" i="5" l="1"/>
  <c r="Y194" i="5"/>
  <c r="X250" i="5"/>
  <c r="U249" i="5"/>
  <c r="Y131" i="5"/>
  <c r="Y250" i="5" l="1"/>
  <c r="Z194" i="5"/>
  <c r="Z131" i="5"/>
  <c r="V249" i="5"/>
  <c r="V252" i="5"/>
  <c r="W252" i="5" l="1"/>
  <c r="AA194" i="5"/>
  <c r="W249" i="5"/>
  <c r="Z250" i="5"/>
  <c r="AA131" i="5"/>
  <c r="AB194" i="5" l="1"/>
  <c r="AB131" i="5"/>
  <c r="AA250" i="5"/>
  <c r="X249" i="5"/>
  <c r="X252" i="5"/>
  <c r="Y252" i="5" l="1"/>
  <c r="Y249" i="5"/>
  <c r="AB250" i="5"/>
  <c r="AC131" i="5"/>
  <c r="AC194" i="5"/>
  <c r="AC250" i="5" l="1"/>
  <c r="Z249" i="5"/>
  <c r="Z252" i="5"/>
  <c r="AA252" i="5" l="1"/>
  <c r="AA249" i="5"/>
  <c r="AB249" i="5" l="1"/>
  <c r="AB252" i="5"/>
  <c r="H132" i="5" l="1"/>
  <c r="AC252" i="5"/>
  <c r="AC249" i="5"/>
  <c r="G5" i="3" l="1"/>
  <c r="G2" i="3" s="1"/>
  <c r="H5" i="3"/>
  <c r="H2" i="3" s="1"/>
  <c r="I5" i="3"/>
  <c r="I2" i="3" s="1"/>
  <c r="J5" i="3"/>
  <c r="J2" i="3" s="1"/>
  <c r="K5" i="3"/>
  <c r="K2" i="3" s="1"/>
  <c r="C195" i="5" s="1"/>
  <c r="C202" i="5" s="1"/>
  <c r="C233" i="5" s="1"/>
  <c r="C255" i="5" s="1"/>
  <c r="L5" i="3"/>
  <c r="L2" i="3" s="1"/>
  <c r="D195" i="5" s="1"/>
  <c r="D202" i="5" s="1"/>
  <c r="D233" i="5" s="1"/>
  <c r="D255" i="5" s="1"/>
  <c r="M5" i="3"/>
  <c r="M2" i="3" s="1"/>
  <c r="E195" i="5" s="1"/>
  <c r="N5" i="3"/>
  <c r="N2" i="3" s="1"/>
  <c r="F195" i="5" s="1"/>
  <c r="O5" i="3"/>
  <c r="O2" i="3" s="1"/>
  <c r="G195" i="5" s="1"/>
  <c r="P5" i="3"/>
  <c r="P2" i="3" s="1"/>
  <c r="H195" i="5" s="1"/>
  <c r="H202" i="5" s="1"/>
  <c r="H233" i="5" s="1"/>
  <c r="H255" i="5" s="1"/>
  <c r="Q5" i="3"/>
  <c r="Q2" i="3" s="1"/>
  <c r="I195" i="5" s="1"/>
  <c r="I202" i="5" s="1"/>
  <c r="I233" i="5" s="1"/>
  <c r="R5" i="3"/>
  <c r="R2" i="3" s="1"/>
  <c r="J195" i="5" s="1"/>
  <c r="S5" i="3"/>
  <c r="S2" i="3" s="1"/>
  <c r="K195" i="5" s="1"/>
  <c r="T5" i="3"/>
  <c r="T2" i="3" s="1"/>
  <c r="F5" i="3"/>
  <c r="F2" i="3" l="1"/>
  <c r="V5" i="3"/>
  <c r="J218" i="5"/>
  <c r="I236" i="5"/>
  <c r="I255" i="5"/>
  <c r="L195" i="5"/>
  <c r="AD2" i="3"/>
  <c r="G131" i="5" l="1"/>
  <c r="G132" i="5" s="1"/>
  <c r="G202" i="5" s="1"/>
  <c r="G233" i="5" s="1"/>
  <c r="G255" i="5" s="1"/>
  <c r="F131" i="5"/>
  <c r="F132" i="5" s="1"/>
  <c r="F202" i="5" s="1"/>
  <c r="F233" i="5" s="1"/>
  <c r="F255" i="5" s="1"/>
  <c r="H26" i="2"/>
  <c r="G26" i="2"/>
  <c r="L26" i="2"/>
  <c r="M26" i="2"/>
  <c r="R201" i="5" l="1"/>
  <c r="Q201" i="5"/>
  <c r="L201" i="5"/>
  <c r="M201" i="5"/>
  <c r="K26" i="2"/>
  <c r="P201" i="5" s="1"/>
  <c r="I26" i="2"/>
  <c r="N201" i="5" s="1"/>
  <c r="E26" i="2"/>
  <c r="J26" i="2"/>
  <c r="O201" i="5" s="1"/>
  <c r="M44" i="2"/>
  <c r="L44" i="2"/>
  <c r="H44" i="2"/>
  <c r="G44" i="2"/>
  <c r="P132" i="5" l="1"/>
  <c r="P202" i="5" s="1"/>
  <c r="L132" i="5"/>
  <c r="L202" i="5"/>
  <c r="Q132" i="5"/>
  <c r="Q202" i="5" s="1"/>
  <c r="N132" i="5"/>
  <c r="N202" i="5" s="1"/>
  <c r="R132" i="5"/>
  <c r="R202" i="5" s="1"/>
  <c r="M132" i="5"/>
  <c r="M202" i="5" s="1"/>
  <c r="O132" i="5"/>
  <c r="O202" i="5" s="1"/>
  <c r="J201" i="5"/>
  <c r="K44" i="2"/>
  <c r="J44" i="2"/>
  <c r="I44" i="2"/>
  <c r="E131" i="5"/>
  <c r="E132" i="5" s="1"/>
  <c r="E202" i="5" s="1"/>
  <c r="E233" i="5" s="1"/>
  <c r="E44" i="2"/>
  <c r="E255" i="5" l="1"/>
  <c r="F235" i="5"/>
  <c r="G235" i="5" s="1"/>
  <c r="H235" i="5" s="1"/>
  <c r="I235" i="5" s="1"/>
  <c r="J132" i="5"/>
  <c r="J202" i="5" s="1"/>
  <c r="F26" i="2" l="1"/>
  <c r="K201" i="5" s="1"/>
  <c r="K132" i="5" l="1"/>
  <c r="K202" i="5" s="1"/>
  <c r="F44" i="2"/>
  <c r="N26" i="2"/>
  <c r="S201" i="5" s="1"/>
  <c r="T201" i="5" s="1"/>
  <c r="U201" i="5" l="1"/>
  <c r="T133" i="5"/>
  <c r="T132" i="5"/>
  <c r="S132" i="5"/>
  <c r="S202" i="5" s="1"/>
  <c r="N44" i="2"/>
  <c r="T202" i="5" l="1"/>
  <c r="U133" i="5"/>
  <c r="U132" i="5"/>
  <c r="V201" i="5"/>
  <c r="U202" i="5" l="1"/>
  <c r="V133" i="5"/>
  <c r="V132" i="5"/>
  <c r="W201" i="5"/>
  <c r="X201" i="5" s="1"/>
  <c r="V202" i="5" l="1"/>
  <c r="W133" i="5"/>
  <c r="W132" i="5"/>
  <c r="Y201" i="5"/>
  <c r="X133" i="5"/>
  <c r="X132" i="5"/>
  <c r="X202" i="5" l="1"/>
  <c r="W202" i="5"/>
  <c r="Z201" i="5"/>
  <c r="Y133" i="5"/>
  <c r="Y132" i="5"/>
  <c r="Y202" i="5" l="1"/>
  <c r="Z133" i="5"/>
  <c r="Z132" i="5"/>
  <c r="AA201" i="5"/>
  <c r="Z202" i="5" l="1"/>
  <c r="AA133" i="5"/>
  <c r="AA132" i="5"/>
  <c r="AB201" i="5"/>
  <c r="AA202" i="5" l="1"/>
  <c r="AB133" i="5"/>
  <c r="AB132" i="5"/>
  <c r="AC201" i="5"/>
  <c r="AB202" i="5" l="1"/>
  <c r="AC133" i="5"/>
  <c r="AC132" i="5"/>
  <c r="AC202" i="5" l="1"/>
  <c r="AB215" i="5" l="1"/>
  <c r="AB210" i="5"/>
  <c r="S222" i="5"/>
  <c r="S215" i="5"/>
  <c r="S210" i="5"/>
  <c r="S223" i="5"/>
  <c r="Z210" i="5"/>
  <c r="Z215" i="5"/>
  <c r="Q222" i="5"/>
  <c r="Q223" i="5"/>
  <c r="Q215" i="5"/>
  <c r="Q210" i="5"/>
  <c r="W215" i="5"/>
  <c r="W210" i="5"/>
  <c r="N215" i="5"/>
  <c r="N223" i="5"/>
  <c r="N222" i="5"/>
  <c r="N210" i="5"/>
  <c r="M215" i="5"/>
  <c r="M210" i="5"/>
  <c r="M222" i="5"/>
  <c r="M223" i="5"/>
  <c r="AC215" i="5"/>
  <c r="AC210" i="5"/>
  <c r="P223" i="5"/>
  <c r="P215" i="5"/>
  <c r="P222" i="5"/>
  <c r="P210" i="5"/>
  <c r="X215" i="5"/>
  <c r="X210" i="5"/>
  <c r="O215" i="5"/>
  <c r="O222" i="5"/>
  <c r="O223" i="5"/>
  <c r="O210" i="5"/>
  <c r="T215" i="5"/>
  <c r="T210" i="5"/>
  <c r="R215" i="5"/>
  <c r="R210" i="5"/>
  <c r="R222" i="5"/>
  <c r="R223" i="5"/>
  <c r="J223" i="5"/>
  <c r="J222" i="5"/>
  <c r="J215" i="5"/>
  <c r="L215" i="5"/>
  <c r="L223" i="5"/>
  <c r="L210" i="5"/>
  <c r="L222" i="5"/>
  <c r="Y215" i="5"/>
  <c r="Y210" i="5"/>
  <c r="AA215" i="5"/>
  <c r="AA210" i="5"/>
  <c r="V215" i="5"/>
  <c r="V210" i="5"/>
  <c r="K215" i="5"/>
  <c r="K222" i="5"/>
  <c r="K223" i="5"/>
  <c r="K210" i="5"/>
  <c r="Q209" i="5"/>
  <c r="U215" i="5"/>
  <c r="U210" i="5"/>
  <c r="Y209" i="5"/>
  <c r="O209" i="5"/>
  <c r="R209" i="5"/>
  <c r="X209" i="5"/>
  <c r="Z209" i="5"/>
  <c r="K209" i="5"/>
  <c r="U209" i="5"/>
  <c r="AA209" i="5"/>
  <c r="AB209" i="5"/>
  <c r="P209" i="5"/>
  <c r="S209" i="5"/>
  <c r="V209" i="5"/>
  <c r="AC209" i="5"/>
  <c r="M209" i="5"/>
  <c r="W209" i="5"/>
  <c r="N209" i="5"/>
  <c r="T209" i="5"/>
  <c r="L209" i="5"/>
  <c r="J210" i="5"/>
  <c r="J209" i="5"/>
  <c r="P211" i="5" l="1"/>
  <c r="P206" i="5" s="1"/>
  <c r="X211" i="5"/>
  <c r="X206" i="5" s="1"/>
  <c r="S211" i="5"/>
  <c r="S206" i="5" s="1"/>
  <c r="T211" i="5"/>
  <c r="T206" i="5" s="1"/>
  <c r="L211" i="5"/>
  <c r="L206" i="5" s="1"/>
  <c r="R211" i="5"/>
  <c r="R206" i="5" s="1"/>
  <c r="M211" i="5"/>
  <c r="M206" i="5" s="1"/>
  <c r="Q211" i="5"/>
  <c r="Q206" i="5" s="1"/>
  <c r="N211" i="5"/>
  <c r="N206" i="5" s="1"/>
  <c r="J211" i="5"/>
  <c r="J206" i="5" s="1"/>
  <c r="J231" i="5" s="1"/>
  <c r="J233" i="5" s="1"/>
  <c r="J235" i="5" s="1"/>
  <c r="V211" i="5"/>
  <c r="V206" i="5" s="1"/>
  <c r="Z211" i="5"/>
  <c r="Z206" i="5" s="1"/>
  <c r="Y211" i="5"/>
  <c r="Y206" i="5" s="1"/>
  <c r="W211" i="5"/>
  <c r="W206" i="5" s="1"/>
  <c r="U211" i="5"/>
  <c r="U206" i="5" s="1"/>
  <c r="K211" i="5"/>
  <c r="K206" i="5" s="1"/>
  <c r="AA211" i="5"/>
  <c r="AA206" i="5" s="1"/>
  <c r="O211" i="5"/>
  <c r="O206" i="5" s="1"/>
  <c r="AC211" i="5"/>
  <c r="AC206" i="5" s="1"/>
  <c r="AB211" i="5"/>
  <c r="AB206" i="5" s="1"/>
  <c r="J255" i="5" l="1"/>
  <c r="J236" i="5"/>
  <c r="K218" i="5"/>
  <c r="K231" i="5" s="1"/>
  <c r="K233" i="5" s="1"/>
  <c r="K236" i="5" l="1"/>
  <c r="K255" i="5"/>
  <c r="K235" i="5"/>
  <c r="L218" i="5"/>
  <c r="L231" i="5" s="1"/>
  <c r="L233" i="5" s="1"/>
  <c r="M218" i="5" s="1"/>
  <c r="M231" i="5" s="1"/>
  <c r="M233" i="5" s="1"/>
  <c r="L236" i="5" l="1"/>
  <c r="M236" i="5" s="1"/>
  <c r="L235" i="5"/>
  <c r="M235" i="5" s="1"/>
  <c r="L255" i="5"/>
  <c r="M255" i="5"/>
  <c r="N218" i="5"/>
  <c r="N231" i="5" s="1"/>
  <c r="N233" i="5" s="1"/>
  <c r="O218" i="5" l="1"/>
  <c r="O231" i="5" s="1"/>
  <c r="O233" i="5" s="1"/>
  <c r="N255" i="5"/>
  <c r="N235" i="5"/>
  <c r="N236" i="5"/>
  <c r="O236" i="5" l="1"/>
  <c r="O235" i="5"/>
  <c r="O255" i="5"/>
  <c r="P218" i="5"/>
  <c r="P231" i="5" s="1"/>
  <c r="P233" i="5" s="1"/>
  <c r="P255" i="5" l="1"/>
  <c r="Q218" i="5"/>
  <c r="Q231" i="5" s="1"/>
  <c r="Q233" i="5" s="1"/>
  <c r="P235" i="5"/>
  <c r="P236" i="5"/>
  <c r="Q236" i="5" l="1"/>
  <c r="Q235" i="5"/>
  <c r="R218" i="5"/>
  <c r="R231" i="5" s="1"/>
  <c r="R233" i="5" s="1"/>
  <c r="Q255" i="5"/>
  <c r="S218" i="5" l="1"/>
  <c r="S231" i="5" s="1"/>
  <c r="S233" i="5" s="1"/>
  <c r="R255" i="5"/>
  <c r="R235" i="5"/>
  <c r="R236" i="5"/>
  <c r="S236" i="5" l="1"/>
  <c r="S235" i="5"/>
  <c r="T218" i="5"/>
  <c r="T231" i="5" s="1"/>
  <c r="T233" i="5" s="1"/>
  <c r="S255" i="5"/>
  <c r="U218" i="5" l="1"/>
  <c r="U231" i="5" s="1"/>
  <c r="U233" i="5" s="1"/>
  <c r="T255" i="5"/>
  <c r="T235" i="5"/>
  <c r="T236" i="5"/>
  <c r="U236" i="5" l="1"/>
  <c r="U235" i="5"/>
  <c r="V218" i="5"/>
  <c r="V231" i="5" s="1"/>
  <c r="V233" i="5" s="1"/>
  <c r="U255" i="5"/>
  <c r="W218" i="5" l="1"/>
  <c r="W231" i="5" s="1"/>
  <c r="W233" i="5" s="1"/>
  <c r="V255" i="5"/>
  <c r="V235" i="5"/>
  <c r="V236" i="5"/>
  <c r="W236" i="5" l="1"/>
  <c r="W235" i="5"/>
  <c r="X218" i="5"/>
  <c r="X231" i="5" s="1"/>
  <c r="X233" i="5" s="1"/>
  <c r="W255" i="5"/>
  <c r="Y218" i="5" l="1"/>
  <c r="Y231" i="5" s="1"/>
  <c r="Y233" i="5" s="1"/>
  <c r="X255" i="5"/>
  <c r="X235" i="5"/>
  <c r="X236" i="5"/>
  <c r="Y236" i="5" l="1"/>
  <c r="Y235" i="5"/>
  <c r="Y255" i="5"/>
  <c r="Z218" i="5"/>
  <c r="Z231" i="5" s="1"/>
  <c r="Z233" i="5" s="1"/>
  <c r="AA218" i="5" l="1"/>
  <c r="AA231" i="5" s="1"/>
  <c r="AA233" i="5" s="1"/>
  <c r="Z255" i="5"/>
  <c r="Z235" i="5"/>
  <c r="Z236" i="5"/>
  <c r="AA235" i="5" l="1"/>
  <c r="AA236" i="5"/>
  <c r="AB218" i="5"/>
  <c r="AB231" i="5" s="1"/>
  <c r="AB233" i="5" s="1"/>
  <c r="AA255" i="5"/>
  <c r="AB235" i="5" l="1"/>
  <c r="AB255" i="5"/>
  <c r="AC218" i="5"/>
  <c r="AC231" i="5" s="1"/>
  <c r="AC233" i="5" s="1"/>
  <c r="AC255" i="5" s="1"/>
  <c r="AB236" i="5"/>
  <c r="AC236" i="5" l="1"/>
  <c r="AC235" i="5"/>
</calcChain>
</file>

<file path=xl/comments1.xml><?xml version="1.0" encoding="utf-8"?>
<comments xmlns="http://schemas.openxmlformats.org/spreadsheetml/2006/main">
  <authors>
    <author>rick</author>
  </authors>
  <commentList>
    <comment ref="D131" authorId="0" shapeId="0">
      <text>
        <r>
          <rPr>
            <b/>
            <sz val="9"/>
            <color indexed="81"/>
            <rFont val="Tahoma"/>
            <family val="2"/>
          </rPr>
          <t>rick:</t>
        </r>
        <r>
          <rPr>
            <sz val="9"/>
            <color indexed="81"/>
            <rFont val="Tahoma"/>
            <family val="2"/>
          </rPr>
          <t xml:space="preserve">
This is 77% of the depreciation of all of DIC assets.  The 77% comes from a review of all of the company owned structures broken out by culinary or PI.  </t>
        </r>
      </text>
    </comment>
    <comment ref="C210" authorId="0" shapeId="0">
      <text>
        <r>
          <rPr>
            <b/>
            <sz val="8"/>
            <color indexed="81"/>
            <rFont val="Tahoma"/>
            <family val="2"/>
          </rPr>
          <t>rick:</t>
        </r>
        <r>
          <rPr>
            <sz val="8"/>
            <color indexed="81"/>
            <rFont val="Tahoma"/>
            <family val="2"/>
          </rPr>
          <t xml:space="preserve">
The formula for this cell assumes that 64% of the residents go over the first tier then the other numbers are estimated gallons over the amount - there is no set formula for this - it is an estimate that comes close to actual amounts - depending on how dry or wet a year is</t>
        </r>
      </text>
    </comment>
    <comment ref="D215" authorId="0" shapeId="0">
      <text>
        <r>
          <rPr>
            <b/>
            <sz val="8"/>
            <color indexed="81"/>
            <rFont val="Tahoma"/>
            <family val="2"/>
          </rPr>
          <t>rick:</t>
        </r>
        <r>
          <rPr>
            <sz val="8"/>
            <color indexed="81"/>
            <rFont val="Tahoma"/>
            <family val="2"/>
          </rPr>
          <t xml:space="preserve">
=143714/277 * new connections - The 277 is the number of connections for the $143714 the dollar amount 
is what they brought in the prior year</t>
        </r>
      </text>
    </comment>
  </commentList>
</comments>
</file>

<file path=xl/comments2.xml><?xml version="1.0" encoding="utf-8"?>
<comments xmlns="http://schemas.openxmlformats.org/spreadsheetml/2006/main">
  <authors>
    <author>trevor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trevor:</t>
        </r>
        <r>
          <rPr>
            <sz val="8"/>
            <color indexed="81"/>
            <rFont val="Tahoma"/>
            <family val="2"/>
          </rPr>
          <t xml:space="preserve">
Replacement projects are funded through depreciation (depreciation is funded through rates)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trevor:</t>
        </r>
        <r>
          <rPr>
            <sz val="8"/>
            <color indexed="81"/>
            <rFont val="Tahoma"/>
            <family val="2"/>
          </rPr>
          <t xml:space="preserve">
Improvement Projects are funded through rates not impact fees, not same type of improvement projects as those on the impact fee list</t>
        </r>
      </text>
    </comment>
  </commentList>
</comments>
</file>

<file path=xl/comments3.xml><?xml version="1.0" encoding="utf-8"?>
<comments xmlns="http://schemas.openxmlformats.org/spreadsheetml/2006/main">
  <authors>
    <author>rick</author>
  </authors>
  <commentList>
    <comment ref="H2" authorId="0" shapeId="0">
      <text>
        <r>
          <rPr>
            <b/>
            <sz val="8"/>
            <color indexed="81"/>
            <rFont val="Tahoma"/>
            <family val="2"/>
          </rPr>
          <t>rick:</t>
        </r>
        <r>
          <rPr>
            <sz val="8"/>
            <color indexed="81"/>
            <rFont val="Tahoma"/>
            <family val="2"/>
          </rPr>
          <t xml:space="preserve">
This is from the loan repayment schedule</t>
        </r>
      </text>
    </comment>
  </commentList>
</comments>
</file>

<file path=xl/sharedStrings.xml><?xml version="1.0" encoding="utf-8"?>
<sst xmlns="http://schemas.openxmlformats.org/spreadsheetml/2006/main" count="676" uniqueCount="526">
  <si>
    <t>PROPOSED SYSTEM IMPROVEMENT PROJECTS</t>
  </si>
  <si>
    <t>DESCRIPTION</t>
  </si>
  <si>
    <t>1300 E - Pioneer to 13800 So</t>
  </si>
  <si>
    <t>Canyon Breeze - Fort St to 1050 E</t>
  </si>
  <si>
    <t>Fort St - Canyon Breeze to 13800 So.</t>
  </si>
  <si>
    <t>700 E - 12800 So to 13100 So</t>
  </si>
  <si>
    <t>12500 south 1565 east to 1700 east</t>
  </si>
  <si>
    <t>12700 south 1565 east to 1700 east</t>
  </si>
  <si>
    <t>System Automation</t>
  </si>
  <si>
    <t>Pipe Installation Prices</t>
  </si>
  <si>
    <t xml:space="preserve">8-inch   </t>
  </si>
  <si>
    <t>per L.F.</t>
  </si>
  <si>
    <t xml:space="preserve">10-inch   </t>
  </si>
  <si>
    <t xml:space="preserve">12-inch   </t>
  </si>
  <si>
    <t xml:space="preserve">Upgrades </t>
  </si>
  <si>
    <t>Pioneer Rd Fort Street to 1840 east</t>
  </si>
  <si>
    <t>13800 south 979 east to 150 east</t>
  </si>
  <si>
    <t xml:space="preserve">12000 south 700 east to 540 east </t>
  </si>
  <si>
    <t xml:space="preserve">12100 south 700 east to 500 east </t>
  </si>
  <si>
    <t>12200 south 700 east to 600 east</t>
  </si>
  <si>
    <t>1840 east pioneer rd to 12100 south</t>
  </si>
  <si>
    <t xml:space="preserve">1700 east pioneer rd to 12500 south </t>
  </si>
  <si>
    <t>980 east pioneer to 12300 south</t>
  </si>
  <si>
    <t>Parrallel Line - change over service and abandon</t>
  </si>
  <si>
    <t>13800 south Minite Man Dr to 150 east</t>
  </si>
  <si>
    <t>700 east 12000 south to Kimball's ln</t>
  </si>
  <si>
    <t xml:space="preserve">800 east 12300 so to 12000 so </t>
  </si>
  <si>
    <t>west to 700 east</t>
  </si>
  <si>
    <t>Year</t>
  </si>
  <si>
    <t>2000*</t>
  </si>
  <si>
    <t>2001*</t>
  </si>
  <si>
    <t>2002*</t>
  </si>
  <si>
    <t>2003*</t>
  </si>
  <si>
    <t>2004*</t>
  </si>
  <si>
    <t>2005*</t>
  </si>
  <si>
    <t>2006*!</t>
  </si>
  <si>
    <t>2007*</t>
  </si>
  <si>
    <t>2008*</t>
  </si>
  <si>
    <t>2009**</t>
  </si>
  <si>
    <t>WTP DDW Loan Annual Payments</t>
  </si>
  <si>
    <t>Property Taxes</t>
  </si>
  <si>
    <t>Interest Expense</t>
  </si>
  <si>
    <t>Base Sales</t>
  </si>
  <si>
    <t>Raw Water Sales</t>
  </si>
  <si>
    <t>Wholesale Culinary</t>
  </si>
  <si>
    <t>Total Expenses</t>
  </si>
  <si>
    <t>Interest Income</t>
  </si>
  <si>
    <t>Other Income</t>
  </si>
  <si>
    <t>Total Income</t>
  </si>
  <si>
    <t>Direct Costs</t>
  </si>
  <si>
    <t>Direct Professional Expenses</t>
  </si>
  <si>
    <t>Contract Operating Expenses</t>
  </si>
  <si>
    <t>01-1810-000</t>
  </si>
  <si>
    <t>LAND - WATERSHED DIC</t>
  </si>
  <si>
    <t>Cul</t>
  </si>
  <si>
    <t>01-1620-000</t>
  </si>
  <si>
    <t>PURCH - PLANT FACILITIES - CULINARY- DIC</t>
  </si>
  <si>
    <t>01-1620-100</t>
  </si>
  <si>
    <t>TREATMENT PLANT UPGRADE DIC</t>
  </si>
  <si>
    <t>01-1620-300</t>
  </si>
  <si>
    <t>SYSTEM UPGRADES DIC</t>
  </si>
  <si>
    <t>Mixed</t>
  </si>
  <si>
    <t>01-1621-000</t>
  </si>
  <si>
    <t>PURCH - PLANT FACILITIES - IRRIGATION DIC</t>
  </si>
  <si>
    <t>Irr</t>
  </si>
  <si>
    <t>30-1650-000</t>
  </si>
  <si>
    <t>BUILDING UPGRADES DIC</t>
  </si>
  <si>
    <t>30-1650-010</t>
  </si>
  <si>
    <t>STORAGE FACILITY DIC</t>
  </si>
  <si>
    <t>01-1620-200</t>
  </si>
  <si>
    <t>LITTLE VALLEY TANK DIC</t>
  </si>
  <si>
    <t>01-1620-500</t>
  </si>
  <si>
    <t>CORNER CANYON TANK DIC</t>
  </si>
  <si>
    <t>01-1630-000</t>
  </si>
  <si>
    <t>PURCH - RESERVOIR FACILITY-CUL DIC</t>
  </si>
  <si>
    <t>01-1631-000</t>
  </si>
  <si>
    <t>PURCH - RESERVOIR FACILITY-IRR DIC</t>
  </si>
  <si>
    <t>01-1720-000</t>
  </si>
  <si>
    <t>CONT - RESERVOIR FACILITY-CUL DIC</t>
  </si>
  <si>
    <t>01-1721-000</t>
  </si>
  <si>
    <t>CONT RESERVOIR FACILITIES -IRR DIC</t>
  </si>
  <si>
    <t>01-1620-400</t>
  </si>
  <si>
    <t>VILLA DE VILLA WELL DIC</t>
  </si>
  <si>
    <t>01-1632-000</t>
  </si>
  <si>
    <t>WELL IMPROVEMENTS DIC</t>
  </si>
  <si>
    <t>01-1632-100</t>
  </si>
  <si>
    <t>SHALLOW WELLS DIC</t>
  </si>
  <si>
    <t>01-1640-000</t>
  </si>
  <si>
    <t>PURCH - LINE FACILITIES - CUL DIC</t>
  </si>
  <si>
    <t>01-1640-100</t>
  </si>
  <si>
    <t>PIPE LINE UPGRADE DIC</t>
  </si>
  <si>
    <t>01-1641-000</t>
  </si>
  <si>
    <t>PURCH - LINE FACILITIES - IRR DIC</t>
  </si>
  <si>
    <t>01-1620-310</t>
  </si>
  <si>
    <t>Reuse Project DIC</t>
  </si>
  <si>
    <t>01-1710-000</t>
  </si>
  <si>
    <t>CONT - PLANT FACILITIES - CUL DIC</t>
  </si>
  <si>
    <t>01-1730-000</t>
  </si>
  <si>
    <t>CONT - LINE FACILITIES - CUL DIC</t>
  </si>
  <si>
    <t>01-1731-000</t>
  </si>
  <si>
    <t>CONT - LINE FACILITIES - IRR DIC</t>
  </si>
  <si>
    <t>30-1350-020</t>
  </si>
  <si>
    <t>HEAVY EQUIPMENT DIC</t>
  </si>
  <si>
    <t>30-1350-010</t>
  </si>
  <si>
    <t>COMPUTER EQUIPMENT DIC</t>
  </si>
  <si>
    <t>30-1350-025</t>
  </si>
  <si>
    <t>OFFICE FURNITURE DIC</t>
  </si>
  <si>
    <t>30-1350-005</t>
  </si>
  <si>
    <t>AUTOS AND TRUCKS DIC</t>
  </si>
  <si>
    <t>30-1350-015</t>
  </si>
  <si>
    <t>RADIO EQUIPMENT DIC</t>
  </si>
  <si>
    <t>Gain on Sale of Assets</t>
  </si>
  <si>
    <t>Other Income &amp; Expenses</t>
  </si>
  <si>
    <t>System Buy-in Fees</t>
  </si>
  <si>
    <t>System Improvements</t>
  </si>
  <si>
    <t>Difference</t>
  </si>
  <si>
    <t>Expenses</t>
  </si>
  <si>
    <t>Income</t>
  </si>
  <si>
    <t>= Portion of Operating Expenses - Group [401]</t>
  </si>
  <si>
    <t>= Portion of Operating Expenses - Group [401] &amp; Depreciation Expenses - Group [403]</t>
  </si>
  <si>
    <t>= Current Liabilities - Notes Payable - Group [232]</t>
  </si>
  <si>
    <t>= Interest Expense - Group [427]</t>
  </si>
  <si>
    <t>= Taxes Other than Income - Group [408]</t>
  </si>
  <si>
    <t>= Metered Water Revenue - Group [461]</t>
  </si>
  <si>
    <t>= Unmetered Water Revenue - Group [460] &amp; Miscellaneous Service Revenues - Group [471]</t>
  </si>
  <si>
    <t>= Miscellaneous Service Revenues - Group [471]</t>
  </si>
  <si>
    <t>= Interest and Dividend Income - Group [419]</t>
  </si>
  <si>
    <t>= Gains (Losses) from Disposition of Utility Property - Group [414]</t>
  </si>
  <si>
    <t>= Miscellaneous Service Revenues - Group [471] &amp; Nonutility Income - Group [421]</t>
  </si>
  <si>
    <t>= Nonutility Income - Group [421]</t>
  </si>
  <si>
    <t xml:space="preserve">Base Income  </t>
  </si>
  <si>
    <t xml:space="preserve">Overage Tier 1  </t>
  </si>
  <si>
    <t xml:space="preserve">Overage Tier 2  </t>
  </si>
  <si>
    <t xml:space="preserve">Overage Tier 3  </t>
  </si>
  <si>
    <t xml:space="preserve">Overage Tier 4  </t>
  </si>
  <si>
    <t>Base Income Increase</t>
  </si>
  <si>
    <t>Expenses Increase</t>
  </si>
  <si>
    <t>Direct Costs Increases</t>
  </si>
  <si>
    <t>Connections</t>
  </si>
  <si>
    <t>Reservoir Reserve (Impact Fees)</t>
  </si>
  <si>
    <t xml:space="preserve">Connection Fees </t>
  </si>
  <si>
    <t>Interest Rate</t>
  </si>
  <si>
    <t>*Direct Costs &amp; Rental are increased at 3% per year</t>
  </si>
  <si>
    <t>*Expenses are increased at 4% per year</t>
  </si>
  <si>
    <t>System Rental (Depreciation)</t>
  </si>
  <si>
    <t>System Rental (H20 Purchase DIC)</t>
  </si>
  <si>
    <t>30-8500-972</t>
  </si>
  <si>
    <t>20-3500-121</t>
  </si>
  <si>
    <t>30-7200-450</t>
  </si>
  <si>
    <t>Loan Repayment Schedule Tab</t>
  </si>
  <si>
    <t>01-9600-996</t>
  </si>
  <si>
    <t>20-3500-125</t>
  </si>
  <si>
    <t>20-8600-981</t>
  </si>
  <si>
    <t>20-8600-982</t>
  </si>
  <si>
    <t xml:space="preserve">Increase Overage Tier 1  </t>
  </si>
  <si>
    <t xml:space="preserve">Increase Overage Tier 2  </t>
  </si>
  <si>
    <t xml:space="preserve">Increase Overage Tier 3  </t>
  </si>
  <si>
    <t xml:space="preserve">Increase Overage Tier 4  </t>
  </si>
  <si>
    <t xml:space="preserve">South Mtn Pump Station Upgrade </t>
  </si>
  <si>
    <t xml:space="preserve">PRV stations / Meter station connecting to city </t>
  </si>
  <si>
    <t>CULINARY WATER</t>
  </si>
  <si>
    <t xml:space="preserve">Well repair </t>
  </si>
  <si>
    <t>Size</t>
  </si>
  <si>
    <t>Length</t>
  </si>
  <si>
    <t>SUM</t>
  </si>
  <si>
    <t>TOTAL</t>
  </si>
  <si>
    <t>System Replacement</t>
  </si>
  <si>
    <t>= System Improvements funded through depreciation</t>
  </si>
  <si>
    <t>= Depreciation not used to fund projects</t>
  </si>
  <si>
    <t>= negative value of System Improvements funded through depreciation</t>
  </si>
  <si>
    <t>Replacement</t>
  </si>
  <si>
    <t>Improvement</t>
  </si>
  <si>
    <t>Source</t>
  </si>
  <si>
    <t xml:space="preserve">    Uncommitted (Depreciation)</t>
  </si>
  <si>
    <t xml:space="preserve">    System Replacement (Depreciation)</t>
  </si>
  <si>
    <t xml:space="preserve">Pump Station Upgrade Cove of Bear Canyon </t>
  </si>
  <si>
    <r>
      <t xml:space="preserve">Notes Payable </t>
    </r>
    <r>
      <rPr>
        <sz val="10"/>
        <color theme="1"/>
        <rFont val="Calibri"/>
        <family val="2"/>
        <scheme val="minor"/>
      </rPr>
      <t>(Water Treatment Loan)</t>
    </r>
  </si>
  <si>
    <t>Full Loan Amount</t>
  </si>
  <si>
    <t>Impact Fee Portion (20% of total)</t>
  </si>
  <si>
    <t>Overage Sales</t>
  </si>
  <si>
    <t>Metered Sales</t>
  </si>
  <si>
    <t>20-7100-001</t>
  </si>
  <si>
    <t>PROFESSIONAL EXPENSE</t>
  </si>
  <si>
    <t>30-7100-400</t>
  </si>
  <si>
    <t>PROFESSIONAL DUE'S</t>
  </si>
  <si>
    <t>30-7100-401</t>
  </si>
  <si>
    <t>MANAGEMENT EXPENSE</t>
  </si>
  <si>
    <t>30-7100-405</t>
  </si>
  <si>
    <t>DIRECTOR EXPENSE</t>
  </si>
  <si>
    <t>30-7100-410</t>
  </si>
  <si>
    <t>GENERAL ENGINEERING EXPENSE</t>
  </si>
  <si>
    <t>30-7100-411</t>
  </si>
  <si>
    <t>GENERAL ENGINEER EXPENSE - DIC</t>
  </si>
  <si>
    <t>30-7100-412</t>
  </si>
  <si>
    <t>GENERAL ENGINEER EXPENSE - DWS</t>
  </si>
  <si>
    <t>30-7100-415</t>
  </si>
  <si>
    <t>DATA PROCESSING EXPENSE</t>
  </si>
  <si>
    <t>30-7100-420</t>
  </si>
  <si>
    <t>LEGAL EXPENSE</t>
  </si>
  <si>
    <t>30-7100-421</t>
  </si>
  <si>
    <t>LEGAL EXPENSE - DIC</t>
  </si>
  <si>
    <t>30-7100-422</t>
  </si>
  <si>
    <t>LEGAL EXPENSE - DWS</t>
  </si>
  <si>
    <t>30-7100-427</t>
  </si>
  <si>
    <t>PUBLIC SERVICE COMMISSION EXP</t>
  </si>
  <si>
    <t>30-7100-431</t>
  </si>
  <si>
    <t>ACCOUNTING EXPENSE - DIC</t>
  </si>
  <si>
    <t>30-7100-435</t>
  </si>
  <si>
    <t>ADVERTISING/PR EXPENSE</t>
  </si>
  <si>
    <t>30-7100-440</t>
  </si>
  <si>
    <t>MEALS/ENTERTAINMENT EXPENSE</t>
  </si>
  <si>
    <t>30-7100-441</t>
  </si>
  <si>
    <t>COMPANY MEETINGS/FUCTIONS</t>
  </si>
  <si>
    <t>30-7100-442</t>
  </si>
  <si>
    <t>EMPLOYEE CONCIL &amp; SAFETY</t>
  </si>
  <si>
    <t>30-7100-999</t>
  </si>
  <si>
    <t>PROFESSIONAL EXPENSE BILLED</t>
  </si>
  <si>
    <t>20-5300-001</t>
  </si>
  <si>
    <t>20-9100-001</t>
  </si>
  <si>
    <t>CULINARY WATER EXPENSE</t>
  </si>
  <si>
    <t>SYSTEM EXPENSE</t>
  </si>
  <si>
    <t>20-7200-451</t>
  </si>
  <si>
    <t>20-7500-501</t>
  </si>
  <si>
    <t>20-7600-501</t>
  </si>
  <si>
    <t>20-7700-501</t>
  </si>
  <si>
    <t>20-7750-501</t>
  </si>
  <si>
    <t>20-7900-600</t>
  </si>
  <si>
    <t>20-8200-771</t>
  </si>
  <si>
    <t>20-8300-791</t>
  </si>
  <si>
    <t>20-8300-911</t>
  </si>
  <si>
    <t>20-8400-961</t>
  </si>
  <si>
    <t>30-7100-404</t>
  </si>
  <si>
    <t>30-7100-426</t>
  </si>
  <si>
    <t>30-7500-502</t>
  </si>
  <si>
    <t>30-7500-504</t>
  </si>
  <si>
    <t>30-7500-505</t>
  </si>
  <si>
    <t>30-7500-506</t>
  </si>
  <si>
    <t>30-7500-599</t>
  </si>
  <si>
    <t>30-7600-502</t>
  </si>
  <si>
    <t>30-7600-504</t>
  </si>
  <si>
    <t>30-7600-506</t>
  </si>
  <si>
    <t>30-7600-599</t>
  </si>
  <si>
    <t>30-7700-502</t>
  </si>
  <si>
    <t>30-7700-504</t>
  </si>
  <si>
    <t>30-7700-506</t>
  </si>
  <si>
    <t>30-7700-599</t>
  </si>
  <si>
    <t>30-7750-590</t>
  </si>
  <si>
    <t>30-7750-591</t>
  </si>
  <si>
    <t>30-7750-592</t>
  </si>
  <si>
    <t>30-7750-593</t>
  </si>
  <si>
    <t>30-7750-594</t>
  </si>
  <si>
    <t>30-7750-595</t>
  </si>
  <si>
    <t>30-7750-596</t>
  </si>
  <si>
    <t>30-7750-597</t>
  </si>
  <si>
    <t>30-7750-598</t>
  </si>
  <si>
    <t>30-7750-599</t>
  </si>
  <si>
    <t>30-7900-600</t>
  </si>
  <si>
    <t>30-7900-605</t>
  </si>
  <si>
    <t>30-7900-610</t>
  </si>
  <si>
    <t>30-7900-650</t>
  </si>
  <si>
    <t>30-7900-701</t>
  </si>
  <si>
    <t>30-7900-727</t>
  </si>
  <si>
    <t>30-7900-729</t>
  </si>
  <si>
    <t>30-8200-772</t>
  </si>
  <si>
    <t>30-8200-773</t>
  </si>
  <si>
    <t>30-8200-775</t>
  </si>
  <si>
    <t>30-8200-776</t>
  </si>
  <si>
    <t>30-8200-777</t>
  </si>
  <si>
    <t>30-8200-778</t>
  </si>
  <si>
    <t>30-8200-780</t>
  </si>
  <si>
    <t>30-8200-789</t>
  </si>
  <si>
    <t>30-8300-750</t>
  </si>
  <si>
    <t>30-8300-752</t>
  </si>
  <si>
    <t>30-8300-755</t>
  </si>
  <si>
    <t>30-8300-792</t>
  </si>
  <si>
    <t>30-8300-793</t>
  </si>
  <si>
    <t>30-8300-794</t>
  </si>
  <si>
    <t>30-8300-801</t>
  </si>
  <si>
    <t>30-8300-811</t>
  </si>
  <si>
    <t>30-8300-821</t>
  </si>
  <si>
    <t>30-8300-831</t>
  </si>
  <si>
    <t>30-8300-841</t>
  </si>
  <si>
    <t>30-8300-842</t>
  </si>
  <si>
    <t>30-8300-851</t>
  </si>
  <si>
    <t>30-8300-861</t>
  </si>
  <si>
    <t>30-8300-871</t>
  </si>
  <si>
    <t>30-8300-881</t>
  </si>
  <si>
    <t>30-8300-882</t>
  </si>
  <si>
    <t>30-8300-891</t>
  </si>
  <si>
    <t>30-8300-892</t>
  </si>
  <si>
    <t>30-8300-911</t>
  </si>
  <si>
    <t>30-8300-916</t>
  </si>
  <si>
    <t>30-8300-919</t>
  </si>
  <si>
    <t>30-8400-915</t>
  </si>
  <si>
    <t>30-8400-923</t>
  </si>
  <si>
    <t>30-8400-933</t>
  </si>
  <si>
    <t>30-8400-937</t>
  </si>
  <si>
    <t>30-8400-940</t>
  </si>
  <si>
    <t>30-8400-942</t>
  </si>
  <si>
    <t>30-8400-943</t>
  </si>
  <si>
    <t>30-8400-947</t>
  </si>
  <si>
    <t>30-8400-948</t>
  </si>
  <si>
    <t>30-8400-949</t>
  </si>
  <si>
    <t>30-8400-951</t>
  </si>
  <si>
    <t>30-8400-952</t>
  </si>
  <si>
    <t>30-8400-957</t>
  </si>
  <si>
    <t>30-8400-958</t>
  </si>
  <si>
    <t>30-8400-962</t>
  </si>
  <si>
    <t>30-8400-968</t>
  </si>
  <si>
    <t>BANK CHARGES/FEES</t>
  </si>
  <si>
    <t>ALLOCATED OPERATION WAGES</t>
  </si>
  <si>
    <t>ALLOCATED BUSINESS WAGES</t>
  </si>
  <si>
    <t>ALLOCATED DEVELOPMENT WAGES</t>
  </si>
  <si>
    <t>ALLOCATED BENEFIT EXPENSE</t>
  </si>
  <si>
    <t>ALLOCATED EQUIP/TRANSPORT EXP</t>
  </si>
  <si>
    <t>ALLOCATED UTILITIES EXPENSE</t>
  </si>
  <si>
    <t>ALLOCATED OPERATION EXPENSE</t>
  </si>
  <si>
    <t>DWS BAD DEBT EXPENSE</t>
  </si>
  <si>
    <t>ALLOCATED BUILDING MAINT EXPEN</t>
  </si>
  <si>
    <t>LOBBYIST EXPENSE</t>
  </si>
  <si>
    <t>CORNER CANYON EXPENSE</t>
  </si>
  <si>
    <t>OP - WATERPRO REGULAR WAGES</t>
  </si>
  <si>
    <t>OP - DIC REGULAR WAGES</t>
  </si>
  <si>
    <t>OP - DIC OVERTIME WAGES</t>
  </si>
  <si>
    <t>OP - DWS REGULAR WAGES</t>
  </si>
  <si>
    <t>OPERATION WAGES BILLED</t>
  </si>
  <si>
    <t>BUS - WATERPRO REG WAGES</t>
  </si>
  <si>
    <t>BUS - DIC REGULAR WAGES</t>
  </si>
  <si>
    <t>BUS - DWS REGULAR WAGES</t>
  </si>
  <si>
    <t>BUSINESS WAGES BILLED</t>
  </si>
  <si>
    <t>DEV - WATERPRO REGULAR WAGES</t>
  </si>
  <si>
    <t>DEV - DIC REGUALR WAGES</t>
  </si>
  <si>
    <t>DEV - DWS REGULAR WAGES</t>
  </si>
  <si>
    <t>DEVELOPMENT WAGES BILLED</t>
  </si>
  <si>
    <t>FICA EXPENSE</t>
  </si>
  <si>
    <t>WORKERS COMP EXPENSE</t>
  </si>
  <si>
    <t>LIFE INSURANCE EXPENSE</t>
  </si>
  <si>
    <t>HEALTH INSURANCE EXPENSE</t>
  </si>
  <si>
    <t>401K/RETIREMENT EXPENSE</t>
  </si>
  <si>
    <t>SUTA EXPENSE</t>
  </si>
  <si>
    <t>VACATION WAGES</t>
  </si>
  <si>
    <t>SICK WAGES</t>
  </si>
  <si>
    <t>HOLIDAY WAGES</t>
  </si>
  <si>
    <t>WAGES BILLED</t>
  </si>
  <si>
    <t>VEHICLE LEASE/PURCHASE</t>
  </si>
  <si>
    <t>VEHICLE MAINTENANCE</t>
  </si>
  <si>
    <t>RENTAL EXPENSE</t>
  </si>
  <si>
    <t>GASOLINE/DIESEL EXPENSE</t>
  </si>
  <si>
    <t>MAINTENANCE - 510 BACKHOE EXP</t>
  </si>
  <si>
    <t>EQUIPMENT MAINTENANCE</t>
  </si>
  <si>
    <t>EQUIP/TRANS EXPENSE BILLED</t>
  </si>
  <si>
    <t>TELEPHONE &amp; INTERNET EXPENSE</t>
  </si>
  <si>
    <t>CELLULAR EXPENSE</t>
  </si>
  <si>
    <t>ELECTRIC EXPENSE BUILDING</t>
  </si>
  <si>
    <t>MOUNTAIN FUEL BUILDING</t>
  </si>
  <si>
    <t>GARBAGE EXPENSE</t>
  </si>
  <si>
    <t>SEWER EXPENSE</t>
  </si>
  <si>
    <t>INTERNET EXPENSE</t>
  </si>
  <si>
    <t>UTILITIES BILLED</t>
  </si>
  <si>
    <t>DONATIONS</t>
  </si>
  <si>
    <t>MISC. EMPLOYEE EXPENSE</t>
  </si>
  <si>
    <t>SOFTWARE UPGRADE/PURCHASE</t>
  </si>
  <si>
    <t>MAP/SURVEY/CITY PERMIT EXPENSE</t>
  </si>
  <si>
    <t>SCADA EXPENSE</t>
  </si>
  <si>
    <t>BLUE STAKE EXPENSE</t>
  </si>
  <si>
    <t>UNIFORM/LINEN EXPENSE</t>
  </si>
  <si>
    <t>SECURITY EXPENSE</t>
  </si>
  <si>
    <t>JANITORIAL EXPENSE</t>
  </si>
  <si>
    <t>OFFICE SUPPLIES EXPENSE</t>
  </si>
  <si>
    <t>SHOP SUPPLIES EXPENSE</t>
  </si>
  <si>
    <t>OP SAFETY/TOOL EQUIPMENT</t>
  </si>
  <si>
    <t>PRINTING EXPENSE</t>
  </si>
  <si>
    <t>POSTAGE EXPENSE</t>
  </si>
  <si>
    <t>OFFICE RENTAL/LEASE EXPENSE</t>
  </si>
  <si>
    <t>TRAINING/SCHOOL EXPENSE</t>
  </si>
  <si>
    <t>TRAVEL EXPENSE</t>
  </si>
  <si>
    <t>NON-VEHICLE INSURANCE EXPENSE</t>
  </si>
  <si>
    <t>DAMAGE SETTLEMENT/REIMBURSEMNT</t>
  </si>
  <si>
    <t>BAD DEBT EXPENSE</t>
  </si>
  <si>
    <t>OTHER MISCELLANEOUS EXPENSE</t>
  </si>
  <si>
    <t>OPERATIONS EXPENSE BILLED</t>
  </si>
  <si>
    <t>SHALLOW WELLS</t>
  </si>
  <si>
    <t>EXCAVATION/FILL MATERIAL - DWS</t>
  </si>
  <si>
    <t>PLANT MAINTENANCE EXPENSE -DWS</t>
  </si>
  <si>
    <t>RESERVOIR MAINT EXPENSE - DIC</t>
  </si>
  <si>
    <t>BACKFLOW/CROSS CONNECTION</t>
  </si>
  <si>
    <t>LINE MAINT EXPENSE - DIC</t>
  </si>
  <si>
    <t>LINE MAINT EXPENSE - DWS</t>
  </si>
  <si>
    <t>METER MAINT EXPENSE - DIC</t>
  </si>
  <si>
    <t>METER MAINT EXPENSE - DWS</t>
  </si>
  <si>
    <t>METER PURCHASES</t>
  </si>
  <si>
    <t>BLOWOFF MAINT EXPENSE - DIC</t>
  </si>
  <si>
    <t>HYDRANT MAINT EXPENSE - DWS</t>
  </si>
  <si>
    <t>VALVE MAINT EXPENSE - DIC</t>
  </si>
  <si>
    <t>VALVE MAINT EXPENSE - DWS</t>
  </si>
  <si>
    <t>BUILDING MAINTENANCE EXPENSE</t>
  </si>
  <si>
    <t>MAINTENANCE EXPENSE BILLED</t>
  </si>
  <si>
    <t>Set amount paid to WaterPro</t>
  </si>
  <si>
    <t>Paid off in 2018</t>
  </si>
  <si>
    <t>Unusually high property tax, adjusted in projections to fit historical data</t>
  </si>
  <si>
    <t>01-8600-982</t>
  </si>
  <si>
    <t>20-3700-174</t>
  </si>
  <si>
    <t>30-8700-399</t>
  </si>
  <si>
    <t>20-8700-399</t>
  </si>
  <si>
    <t>Processing Fee</t>
  </si>
  <si>
    <t>30-8200-779</t>
  </si>
  <si>
    <t>WATER EXPENSE</t>
  </si>
  <si>
    <t>Running Total</t>
  </si>
  <si>
    <t>30-8200-774</t>
  </si>
  <si>
    <t>RADIO EXPENSE</t>
  </si>
  <si>
    <t>30-7100-430</t>
  </si>
  <si>
    <t xml:space="preserve">ACCOUNTING EXPENSE </t>
  </si>
  <si>
    <t>Added fiscal year 2015</t>
  </si>
  <si>
    <t>30-7100-407</t>
  </si>
  <si>
    <t>CONSERVATION EXPENSE</t>
  </si>
  <si>
    <t>30-7751-595</t>
  </si>
  <si>
    <t>FUTA EXPENSE</t>
  </si>
  <si>
    <t>30-8300-790</t>
  </si>
  <si>
    <t>MAPPING SUPPLIES</t>
  </si>
  <si>
    <t>30-8400-922</t>
  </si>
  <si>
    <t>EXCAVATION/FILL MATERIAL - DIC</t>
  </si>
  <si>
    <t>30-8400-932</t>
  </si>
  <si>
    <t>PLANT MAINTENANCE EXPENSE - DIC</t>
  </si>
  <si>
    <t>30-8400-938</t>
  </si>
  <si>
    <t>RESERVOIR MAINT EXPENS - DWS</t>
  </si>
  <si>
    <t>01-1117-000</t>
  </si>
  <si>
    <t>NYL INSURANCE POLICY</t>
  </si>
  <si>
    <t>01-1118-000</t>
  </si>
  <si>
    <t>CHECKING FIRST UTAH</t>
  </si>
  <si>
    <t>01-1210-000</t>
  </si>
  <si>
    <t>ACCOUNTS RECEIVABLE</t>
  </si>
  <si>
    <t>01-1215-000</t>
  </si>
  <si>
    <t>ALLOWANCE FOR BAD DEBTS</t>
  </si>
  <si>
    <t>01-1255-000</t>
  </si>
  <si>
    <t>INTERCOMPANY A/R FROM WATERPRO</t>
  </si>
  <si>
    <t>01-1260-000</t>
  </si>
  <si>
    <t>INTERCOMPANY A/R FROM DWS</t>
  </si>
  <si>
    <t>01-1310-000</t>
  </si>
  <si>
    <t>WATER STOCK INVESTMENT</t>
  </si>
  <si>
    <t>01-1350-005</t>
  </si>
  <si>
    <t>AUTOS AND TRUCKS</t>
  </si>
  <si>
    <t>01-1550-000</t>
  </si>
  <si>
    <t>UTAH LAKE WATER USERS</t>
  </si>
  <si>
    <t>01-1620-600</t>
  </si>
  <si>
    <t>HIDDEN VALLEY WELL</t>
  </si>
  <si>
    <t>01-1650-010</t>
  </si>
  <si>
    <t>STORAGE FACILITY</t>
  </si>
  <si>
    <t>01-1655-000</t>
  </si>
  <si>
    <t>ACC DEP - FIXED ASSETS</t>
  </si>
  <si>
    <t>01-1850-000</t>
  </si>
  <si>
    <t>WATER RIGHTS</t>
  </si>
  <si>
    <t>01-1910-000</t>
  </si>
  <si>
    <t>SUSPENSE</t>
  </si>
  <si>
    <t>MONTHLY BASE SALES</t>
  </si>
  <si>
    <t>20-3700-151</t>
  </si>
  <si>
    <t>HYDRANT METER RENTAL FEE</t>
  </si>
  <si>
    <t>20-3700-161</t>
  </si>
  <si>
    <t>LITTLE VALLEY IMPROVEMENTS</t>
  </si>
  <si>
    <t>20-3700-169</t>
  </si>
  <si>
    <t>CONSTRUCTION INSPECTION FEE</t>
  </si>
  <si>
    <t>20-3700-171</t>
  </si>
  <si>
    <t>METER SET FEE</t>
  </si>
  <si>
    <t>30-1330-000</t>
  </si>
  <si>
    <t>INVENTORY</t>
  </si>
  <si>
    <t>30-1340-000</t>
  </si>
  <si>
    <t>STOCK PURCHASE</t>
  </si>
  <si>
    <t>30-1355-000</t>
  </si>
  <si>
    <t>30-1550-000</t>
  </si>
  <si>
    <t>30-1690-005</t>
  </si>
  <si>
    <t>TREATMENT PLANT UPGRADE/REOVATION</t>
  </si>
  <si>
    <t>30-1690-007</t>
  </si>
  <si>
    <t>SYSTEM UPGRADES/IMPROVEMENTS</t>
  </si>
  <si>
    <t>30-1690-008</t>
  </si>
  <si>
    <t>VILLA DE VILLA WELL</t>
  </si>
  <si>
    <t>30-1690-010</t>
  </si>
  <si>
    <t xml:space="preserve">CORNER CANYON TANK </t>
  </si>
  <si>
    <t>30-1690-011</t>
  </si>
  <si>
    <t>CORNER CANYON DIVERSION</t>
  </si>
  <si>
    <t>30-1690-014</t>
  </si>
  <si>
    <t>REUSE PROJECT</t>
  </si>
  <si>
    <t>30-1690-012</t>
  </si>
  <si>
    <t>NORTH IRRIGATION PUMP STATION</t>
  </si>
  <si>
    <t>30-1700-000</t>
  </si>
  <si>
    <t>DRAPER CITY DIGGING</t>
  </si>
  <si>
    <t>30-1700-001</t>
  </si>
  <si>
    <t>CORNER CANYON RESV BOND</t>
  </si>
  <si>
    <t>30-1700-002</t>
  </si>
  <si>
    <t>LAND DISTURBANCE PERMIT</t>
  </si>
  <si>
    <t>30-1700-003</t>
  </si>
  <si>
    <t>BEAR CANYON INTAKE BOND</t>
  </si>
  <si>
    <t>30-1710-000</t>
  </si>
  <si>
    <t>BRIAN HEAD OTHER ASSET</t>
  </si>
  <si>
    <t>30-1910-000</t>
  </si>
  <si>
    <t>30-1690-013</t>
  </si>
  <si>
    <t>Added value for year 2015</t>
  </si>
  <si>
    <t>Added fiscal year 2015 and 2014</t>
  </si>
  <si>
    <t>Added fiscal year 2014</t>
  </si>
  <si>
    <t>EXIST SYSTEM BUY-IN FEE</t>
  </si>
  <si>
    <t>OTHER INCOME</t>
  </si>
  <si>
    <t>Not in FS 2015 or 2014</t>
  </si>
  <si>
    <t>line 22 + 23 = line 24 = line 25 make sure to only count it once</t>
  </si>
  <si>
    <t>Pioneer RR to 1300 E</t>
  </si>
  <si>
    <t>Pioneer 1745 E to 1840E</t>
  </si>
  <si>
    <t>1300 east 13400 to 13800 south</t>
  </si>
  <si>
    <t>800 east 12300 so to 12000 so 
west to 700 east</t>
  </si>
  <si>
    <t xml:space="preserve">Fort street 13800 south to Stokes </t>
  </si>
  <si>
    <t>Canyon Breeze Fort street to 970 east</t>
  </si>
  <si>
    <t>12300 south 800 east to 980 east</t>
  </si>
  <si>
    <t>10"</t>
  </si>
  <si>
    <t>12"</t>
  </si>
  <si>
    <t>8"</t>
  </si>
  <si>
    <t xml:space="preserve"> </t>
  </si>
  <si>
    <t>GIS Upgrades</t>
  </si>
  <si>
    <t>GIS Mapping Upgrades</t>
  </si>
  <si>
    <t>Water Right Master Plan</t>
  </si>
  <si>
    <t>Culinary Water Master Plan Updates</t>
  </si>
  <si>
    <t>Water Treatment Plant Membrane Upgrades</t>
  </si>
  <si>
    <t>Miscellaneous Department</t>
  </si>
  <si>
    <t>Demolition of 500,000 Gallon Tank</t>
  </si>
  <si>
    <t>Reuse Loan Payment</t>
  </si>
  <si>
    <t>Meter Replacement</t>
  </si>
  <si>
    <t>Meter Reading / Maintenance</t>
  </si>
  <si>
    <t>Alt</t>
  </si>
  <si>
    <t>DIC Culinary Water Rate Analysis D.5</t>
  </si>
  <si>
    <t>5% Increase to Base and Overage Rates Starting January 2018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</si>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</sst>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_(&quot;$&quot;* #,##0_);_(&quot;$&quot;* \(#,##0\);_(&quot;$&quot;* &quot;-&quot;??_);_(@_)"/>
    <numFmt numFmtId="167" formatCode="&quot;$&quot;#,##0"/>
    <numFmt numFmtId="168" formatCode="_(* #,##0_);_(* \(#,##0\);_(* &quot;-&quot;??_);_(@_)"/>
    <numFmt numFmtId="169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4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1"/>
      <color indexed="2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u/>
      <sz val="16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medium">
        <color indexed="9"/>
      </right>
      <top style="double">
        <color indexed="9"/>
      </top>
      <bottom/>
      <diagonal/>
    </border>
    <border>
      <left style="medium">
        <color indexed="9"/>
      </left>
      <right/>
      <top style="double">
        <color indexed="9"/>
      </top>
      <bottom/>
      <diagonal/>
    </border>
    <border>
      <left/>
      <right/>
      <top style="double">
        <color indexed="9"/>
      </top>
      <bottom/>
      <diagonal/>
    </border>
    <border>
      <left/>
      <right style="medium">
        <color indexed="9"/>
      </right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4">
    <xf numFmtId="0" fontId="0" fillId="0" borderId="0"/>
    <xf numFmtId="3" fontId="4" fillId="0" borderId="0"/>
    <xf numFmtId="44" fontId="1" fillId="0" borderId="0" applyFont="0" applyFill="0" applyBorder="0" applyAlignment="0" applyProtection="0"/>
    <xf numFmtId="165" fontId="4" fillId="0" borderId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38" applyNumberFormat="0" applyFill="0" applyAlignment="0" applyProtection="0"/>
    <xf numFmtId="0" fontId="32" fillId="0" borderId="39" applyNumberFormat="0" applyFill="0" applyAlignment="0" applyProtection="0"/>
    <xf numFmtId="0" fontId="33" fillId="0" borderId="40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41" applyNumberFormat="0" applyAlignment="0" applyProtection="0"/>
    <xf numFmtId="0" fontId="38" fillId="8" borderId="42" applyNumberFormat="0" applyAlignment="0" applyProtection="0"/>
    <xf numFmtId="0" fontId="39" fillId="8" borderId="41" applyNumberFormat="0" applyAlignment="0" applyProtection="0"/>
    <xf numFmtId="0" fontId="40" fillId="0" borderId="43" applyNumberFormat="0" applyFill="0" applyAlignment="0" applyProtection="0"/>
    <xf numFmtId="0" fontId="41" fillId="9" borderId="44" applyNumberFormat="0" applyAlignment="0" applyProtection="0"/>
    <xf numFmtId="0" fontId="42" fillId="0" borderId="0" applyNumberFormat="0" applyFill="0" applyBorder="0" applyAlignment="0" applyProtection="0"/>
    <xf numFmtId="0" fontId="29" fillId="10" borderId="4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46" applyNumberFormat="0" applyFill="0" applyAlignment="0" applyProtection="0"/>
    <xf numFmtId="0" fontId="4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239">
    <xf numFmtId="0" fontId="0" fillId="0" borderId="0" xfId="0"/>
    <xf numFmtId="164" fontId="4" fillId="0" borderId="0" xfId="2" applyNumberFormat="1" applyFont="1"/>
    <xf numFmtId="0" fontId="0" fillId="0" borderId="1" xfId="0" applyBorder="1"/>
    <xf numFmtId="165" fontId="4" fillId="0" borderId="0" xfId="3" applyBorder="1"/>
    <xf numFmtId="165" fontId="4" fillId="0" borderId="2" xfId="3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5" fontId="4" fillId="0" borderId="9" xfId="3" applyBorder="1"/>
    <xf numFmtId="165" fontId="4" fillId="0" borderId="0" xfId="3" applyFill="1" applyBorder="1"/>
    <xf numFmtId="165" fontId="4" fillId="0" borderId="10" xfId="3" applyFill="1" applyBorder="1"/>
    <xf numFmtId="165" fontId="4" fillId="0" borderId="10" xfId="3" applyBorder="1"/>
    <xf numFmtId="0" fontId="0" fillId="0" borderId="11" xfId="0" applyBorder="1"/>
    <xf numFmtId="166" fontId="0" fillId="0" borderId="11" xfId="0" applyNumberFormat="1" applyBorder="1"/>
    <xf numFmtId="166" fontId="0" fillId="0" borderId="11" xfId="2" applyNumberFormat="1" applyFont="1" applyBorder="1"/>
    <xf numFmtId="44" fontId="4" fillId="0" borderId="0" xfId="2" applyFont="1"/>
    <xf numFmtId="9" fontId="0" fillId="0" borderId="0" xfId="0" applyNumberFormat="1"/>
    <xf numFmtId="44" fontId="0" fillId="0" borderId="0" xfId="0" applyNumberFormat="1"/>
    <xf numFmtId="1" fontId="14" fillId="2" borderId="0" xfId="4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Border="1"/>
    <xf numFmtId="164" fontId="4" fillId="0" borderId="0" xfId="2" applyNumberFormat="1" applyFont="1" applyBorder="1"/>
    <xf numFmtId="0" fontId="0" fillId="0" borderId="0" xfId="0" applyBorder="1" applyAlignment="1">
      <alignment horizontal="right"/>
    </xf>
    <xf numFmtId="165" fontId="2" fillId="0" borderId="0" xfId="3" applyFont="1" applyBorder="1"/>
    <xf numFmtId="165" fontId="2" fillId="0" borderId="0" xfId="0" applyNumberFormat="1" applyFont="1" applyBorder="1"/>
    <xf numFmtId="0" fontId="5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9" fontId="0" fillId="0" borderId="0" xfId="0" applyNumberFormat="1" applyFill="1" applyBorder="1"/>
    <xf numFmtId="9" fontId="0" fillId="0" borderId="1" xfId="4" applyFont="1" applyBorder="1"/>
    <xf numFmtId="9" fontId="0" fillId="0" borderId="0" xfId="0" applyNumberFormat="1" applyBorder="1"/>
    <xf numFmtId="9" fontId="0" fillId="0" borderId="1" xfId="0" applyNumberFormat="1" applyBorder="1"/>
    <xf numFmtId="9" fontId="0" fillId="0" borderId="13" xfId="0" applyNumberFormat="1" applyFill="1" applyBorder="1"/>
    <xf numFmtId="0" fontId="18" fillId="0" borderId="1" xfId="0" applyFont="1" applyBorder="1"/>
    <xf numFmtId="166" fontId="18" fillId="0" borderId="1" xfId="0" applyNumberFormat="1" applyFont="1" applyBorder="1"/>
    <xf numFmtId="0" fontId="18" fillId="0" borderId="0" xfId="0" applyFont="1" applyBorder="1" applyAlignment="1">
      <alignment horizontal="center" vertical="center"/>
    </xf>
    <xf numFmtId="167" fontId="0" fillId="0" borderId="0" xfId="2" applyNumberFormat="1" applyFont="1" applyBorder="1"/>
    <xf numFmtId="0" fontId="17" fillId="0" borderId="0" xfId="0" applyFont="1" applyBorder="1"/>
    <xf numFmtId="166" fontId="0" fillId="0" borderId="0" xfId="2" applyNumberFormat="1" applyFont="1" applyBorder="1"/>
    <xf numFmtId="166" fontId="0" fillId="0" borderId="0" xfId="0" applyNumberFormat="1" applyBorder="1"/>
    <xf numFmtId="0" fontId="17" fillId="0" borderId="0" xfId="0" quotePrefix="1" applyFont="1" applyBorder="1"/>
    <xf numFmtId="0" fontId="0" fillId="0" borderId="0" xfId="0" applyBorder="1" applyAlignment="1">
      <alignment horizontal="left" indent="2"/>
    </xf>
    <xf numFmtId="44" fontId="0" fillId="0" borderId="0" xfId="2" applyNumberFormat="1" applyFont="1" applyBorder="1"/>
    <xf numFmtId="0" fontId="14" fillId="2" borderId="0" xfId="0" applyFont="1" applyFill="1" applyBorder="1"/>
    <xf numFmtId="9" fontId="0" fillId="0" borderId="0" xfId="4" applyFont="1" applyBorder="1"/>
    <xf numFmtId="166" fontId="10" fillId="0" borderId="0" xfId="2" applyNumberFormat="1" applyFont="1" applyBorder="1"/>
    <xf numFmtId="0" fontId="11" fillId="0" borderId="0" xfId="0" applyFont="1" applyBorder="1" applyAlignment="1">
      <alignment horizontal="left" indent="2"/>
    </xf>
    <xf numFmtId="0" fontId="12" fillId="2" borderId="0" xfId="0" applyFont="1" applyFill="1" applyBorder="1" applyAlignment="1">
      <alignment horizontal="left" indent="2"/>
    </xf>
    <xf numFmtId="166" fontId="12" fillId="2" borderId="0" xfId="2" applyNumberFormat="1" applyFont="1" applyFill="1" applyBorder="1"/>
    <xf numFmtId="0" fontId="17" fillId="0" borderId="11" xfId="0" applyFont="1" applyBorder="1"/>
    <xf numFmtId="0" fontId="9" fillId="0" borderId="1" xfId="0" applyFont="1" applyBorder="1"/>
    <xf numFmtId="166" fontId="0" fillId="0" borderId="1" xfId="0" applyNumberFormat="1" applyBorder="1"/>
    <xf numFmtId="0" fontId="17" fillId="0" borderId="1" xfId="0" applyFont="1" applyBorder="1"/>
    <xf numFmtId="0" fontId="18" fillId="0" borderId="0" xfId="0" applyFont="1" applyBorder="1"/>
    <xf numFmtId="166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18" fillId="0" borderId="17" xfId="0" applyFont="1" applyBorder="1" applyAlignment="1">
      <alignment horizontal="center"/>
    </xf>
    <xf numFmtId="165" fontId="2" fillId="0" borderId="11" xfId="3" applyFont="1" applyBorder="1"/>
    <xf numFmtId="0" fontId="18" fillId="0" borderId="18" xfId="0" applyFont="1" applyBorder="1" applyAlignment="1">
      <alignment horizontal="center" vertical="center"/>
    </xf>
    <xf numFmtId="0" fontId="0" fillId="0" borderId="19" xfId="0" applyBorder="1"/>
    <xf numFmtId="167" fontId="0" fillId="0" borderId="19" xfId="2" applyNumberFormat="1" applyFont="1" applyBorder="1"/>
    <xf numFmtId="0" fontId="0" fillId="0" borderId="23" xfId="0" applyBorder="1"/>
    <xf numFmtId="0" fontId="0" fillId="0" borderId="24" xfId="0" applyBorder="1"/>
    <xf numFmtId="0" fontId="4" fillId="0" borderId="24" xfId="0" applyFont="1" applyBorder="1"/>
    <xf numFmtId="0" fontId="4" fillId="0" borderId="24" xfId="0" applyFont="1" applyFill="1" applyBorder="1"/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2" applyNumberFormat="1" applyFont="1" applyFill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166" fontId="18" fillId="0" borderId="0" xfId="0" applyNumberFormat="1" applyFont="1" applyFill="1" applyBorder="1"/>
    <xf numFmtId="0" fontId="0" fillId="0" borderId="0" xfId="0" applyFill="1"/>
    <xf numFmtId="9" fontId="0" fillId="0" borderId="1" xfId="0" applyNumberFormat="1" applyFill="1" applyBorder="1"/>
    <xf numFmtId="44" fontId="0" fillId="0" borderId="0" xfId="0" applyNumberFormat="1" applyFill="1"/>
    <xf numFmtId="166" fontId="18" fillId="0" borderId="1" xfId="0" applyNumberFormat="1" applyFont="1" applyFill="1" applyBorder="1"/>
    <xf numFmtId="0" fontId="0" fillId="0" borderId="27" xfId="0" applyBorder="1"/>
    <xf numFmtId="0" fontId="18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0" fontId="17" fillId="0" borderId="0" xfId="0" quotePrefix="1" applyFont="1"/>
    <xf numFmtId="166" fontId="0" fillId="0" borderId="27" xfId="0" applyNumberFormat="1" applyBorder="1"/>
    <xf numFmtId="0" fontId="23" fillId="2" borderId="16" xfId="0" applyFont="1" applyFill="1" applyBorder="1" applyAlignment="1">
      <alignment horizontal="center" vertical="center"/>
    </xf>
    <xf numFmtId="0" fontId="0" fillId="0" borderId="30" xfId="0" applyBorder="1"/>
    <xf numFmtId="0" fontId="4" fillId="0" borderId="29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0" xfId="0" applyFill="1" applyBorder="1"/>
    <xf numFmtId="165" fontId="4" fillId="2" borderId="20" xfId="3" applyFill="1" applyBorder="1"/>
    <xf numFmtId="165" fontId="4" fillId="2" borderId="32" xfId="2" applyNumberFormat="1" applyFont="1" applyFill="1" applyBorder="1"/>
    <xf numFmtId="0" fontId="2" fillId="0" borderId="33" xfId="0" applyFont="1" applyFill="1" applyBorder="1" applyAlignment="1">
      <alignment horizontal="right"/>
    </xf>
    <xf numFmtId="0" fontId="24" fillId="0" borderId="34" xfId="0" applyFont="1" applyBorder="1" applyAlignment="1">
      <alignment horizontal="center" vertical="center"/>
    </xf>
    <xf numFmtId="0" fontId="18" fillId="0" borderId="35" xfId="0" applyFont="1" applyBorder="1"/>
    <xf numFmtId="165" fontId="2" fillId="0" borderId="35" xfId="3" applyFont="1" applyBorder="1"/>
    <xf numFmtId="165" fontId="2" fillId="0" borderId="36" xfId="2" applyNumberFormat="1" applyFont="1" applyBorder="1"/>
    <xf numFmtId="165" fontId="18" fillId="0" borderId="0" xfId="0" applyNumberFormat="1" applyFont="1" applyBorder="1"/>
    <xf numFmtId="165" fontId="2" fillId="0" borderId="37" xfId="3" applyFont="1" applyBorder="1"/>
    <xf numFmtId="0" fontId="28" fillId="0" borderId="0" xfId="0" applyFont="1"/>
    <xf numFmtId="9" fontId="17" fillId="0" borderId="0" xfId="4" quotePrefix="1" applyFont="1" applyBorder="1"/>
    <xf numFmtId="0" fontId="0" fillId="3" borderId="0" xfId="0" applyFill="1" applyBorder="1"/>
    <xf numFmtId="166" fontId="0" fillId="3" borderId="0" xfId="2" applyNumberFormat="1" applyFont="1" applyFill="1" applyBorder="1"/>
    <xf numFmtId="166" fontId="0" fillId="3" borderId="0" xfId="0" applyNumberFormat="1" applyFill="1" applyBorder="1"/>
    <xf numFmtId="4" fontId="0" fillId="3" borderId="0" xfId="0" applyNumberFormat="1" applyFill="1"/>
    <xf numFmtId="49" fontId="30" fillId="3" borderId="0" xfId="7" applyNumberFormat="1" applyFont="1" applyFill="1" applyAlignment="1">
      <alignment horizontal="center"/>
    </xf>
    <xf numFmtId="0" fontId="30" fillId="3" borderId="0" xfId="8" applyFont="1" applyFill="1" applyAlignment="1">
      <alignment horizontal="left"/>
    </xf>
    <xf numFmtId="0" fontId="30" fillId="3" borderId="0" xfId="9" applyFont="1" applyFill="1" applyAlignment="1">
      <alignment horizontal="left"/>
    </xf>
    <xf numFmtId="168" fontId="0" fillId="3" borderId="0" xfId="0" applyNumberFormat="1" applyFill="1" applyBorder="1"/>
    <xf numFmtId="168" fontId="30" fillId="3" borderId="0" xfId="5" applyNumberFormat="1" applyFont="1" applyFill="1" applyAlignment="1">
      <alignment horizontal="right"/>
    </xf>
    <xf numFmtId="0" fontId="0" fillId="3" borderId="0" xfId="0" applyFill="1" applyBorder="1" applyAlignment="1">
      <alignment horizontal="center"/>
    </xf>
    <xf numFmtId="49" fontId="30" fillId="3" borderId="0" xfId="6" applyNumberFormat="1" applyFont="1" applyFill="1" applyAlignment="1">
      <alignment horizontal="center"/>
    </xf>
    <xf numFmtId="0" fontId="30" fillId="3" borderId="0" xfId="6" applyFont="1" applyFill="1" applyAlignment="1">
      <alignment horizontal="left"/>
    </xf>
    <xf numFmtId="0" fontId="0" fillId="3" borderId="0" xfId="0" applyFill="1" applyBorder="1" applyAlignment="1">
      <alignment horizontal="left" indent="2"/>
    </xf>
    <xf numFmtId="49" fontId="30" fillId="3" borderId="0" xfId="10" applyNumberFormat="1" applyFont="1" applyFill="1" applyAlignment="1">
      <alignment horizontal="center"/>
    </xf>
    <xf numFmtId="0" fontId="30" fillId="3" borderId="0" xfId="10" applyFont="1" applyFill="1" applyAlignment="1">
      <alignment horizontal="left"/>
    </xf>
    <xf numFmtId="0" fontId="30" fillId="3" borderId="0" xfId="10" applyFont="1" applyFill="1" applyAlignment="1">
      <alignment horizontal="center"/>
    </xf>
    <xf numFmtId="49" fontId="30" fillId="3" borderId="0" xfId="11" applyNumberFormat="1" applyFont="1" applyFill="1" applyAlignment="1">
      <alignment horizontal="center"/>
    </xf>
    <xf numFmtId="0" fontId="30" fillId="3" borderId="0" xfId="11" applyFont="1" applyFill="1" applyAlignment="1">
      <alignment horizontal="left"/>
    </xf>
    <xf numFmtId="0" fontId="0" fillId="3" borderId="0" xfId="0" applyFill="1" applyBorder="1" applyAlignment="1">
      <alignment horizontal="left"/>
    </xf>
    <xf numFmtId="166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165" fontId="4" fillId="3" borderId="0" xfId="3" applyFill="1" applyBorder="1"/>
    <xf numFmtId="0" fontId="17" fillId="3" borderId="0" xfId="0" quotePrefix="1" applyFont="1" applyFill="1" applyBorder="1"/>
    <xf numFmtId="44" fontId="0" fillId="3" borderId="0" xfId="2" applyNumberFormat="1" applyFont="1" applyFill="1" applyBorder="1"/>
    <xf numFmtId="0" fontId="11" fillId="3" borderId="0" xfId="0" applyFont="1" applyFill="1" applyBorder="1" applyAlignment="1">
      <alignment horizontal="left" indent="2"/>
    </xf>
    <xf numFmtId="0" fontId="12" fillId="3" borderId="0" xfId="0" applyFont="1" applyFill="1" applyBorder="1" applyAlignment="1">
      <alignment horizontal="left" indent="2"/>
    </xf>
    <xf numFmtId="166" fontId="12" fillId="3" borderId="0" xfId="2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7" fillId="0" borderId="0" xfId="0" applyNumberFormat="1" applyFont="1"/>
    <xf numFmtId="44" fontId="0" fillId="3" borderId="0" xfId="0" applyNumberFormat="1" applyFill="1" applyBorder="1"/>
    <xf numFmtId="44" fontId="0" fillId="3" borderId="0" xfId="2" applyFont="1" applyFill="1" applyBorder="1"/>
    <xf numFmtId="44" fontId="0" fillId="3" borderId="0" xfId="0" applyNumberFormat="1" applyFill="1"/>
    <xf numFmtId="0" fontId="0" fillId="3" borderId="0" xfId="0" applyFill="1" applyAlignment="1">
      <alignment horizontal="center"/>
    </xf>
    <xf numFmtId="44" fontId="0" fillId="3" borderId="0" xfId="2" applyFont="1" applyFill="1"/>
    <xf numFmtId="0" fontId="0" fillId="35" borderId="0" xfId="0" applyFill="1"/>
    <xf numFmtId="166" fontId="11" fillId="3" borderId="0" xfId="2" applyNumberFormat="1" applyFont="1" applyFill="1" applyBorder="1"/>
    <xf numFmtId="44" fontId="30" fillId="3" borderId="0" xfId="2" applyFont="1" applyFill="1" applyAlignment="1">
      <alignment horizontal="righ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7" fillId="0" borderId="0" xfId="0" quotePrefix="1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4" fontId="0" fillId="0" borderId="0" xfId="0" applyNumberFormat="1" applyBorder="1"/>
    <xf numFmtId="44" fontId="18" fillId="0" borderId="0" xfId="0" applyNumberFormat="1" applyFont="1" applyBorder="1"/>
    <xf numFmtId="169" fontId="0" fillId="0" borderId="20" xfId="0" applyNumberFormat="1" applyBorder="1"/>
    <xf numFmtId="169" fontId="4" fillId="0" borderId="20" xfId="3" applyNumberFormat="1" applyBorder="1"/>
    <xf numFmtId="169" fontId="4" fillId="0" borderId="20" xfId="2" applyNumberFormat="1" applyFont="1" applyBorder="1"/>
    <xf numFmtId="169" fontId="0" fillId="0" borderId="21" xfId="0" applyNumberFormat="1" applyBorder="1"/>
    <xf numFmtId="169" fontId="0" fillId="0" borderId="19" xfId="0" applyNumberFormat="1" applyBorder="1"/>
    <xf numFmtId="169" fontId="4" fillId="0" borderId="19" xfId="3" applyNumberFormat="1" applyBorder="1"/>
    <xf numFmtId="169" fontId="4" fillId="0" borderId="19" xfId="2" applyNumberFormat="1" applyFont="1" applyBorder="1"/>
    <xf numFmtId="169" fontId="0" fillId="0" borderId="22" xfId="0" applyNumberFormat="1" applyBorder="1"/>
    <xf numFmtId="169" fontId="4" fillId="0" borderId="19" xfId="0" applyNumberFormat="1" applyFont="1" applyFill="1" applyBorder="1"/>
    <xf numFmtId="169" fontId="4" fillId="0" borderId="19" xfId="2" applyNumberFormat="1" applyFont="1" applyFill="1" applyBorder="1"/>
    <xf numFmtId="169" fontId="4" fillId="0" borderId="22" xfId="2" applyNumberFormat="1" applyFont="1" applyBorder="1"/>
    <xf numFmtId="169" fontId="4" fillId="0" borderId="30" xfId="3" applyNumberFormat="1" applyBorder="1"/>
    <xf numFmtId="169" fontId="0" fillId="0" borderId="30" xfId="0" applyNumberFormat="1" applyBorder="1"/>
    <xf numFmtId="169" fontId="4" fillId="0" borderId="30" xfId="2" applyNumberFormat="1" applyFont="1" applyBorder="1"/>
    <xf numFmtId="169" fontId="4" fillId="0" borderId="31" xfId="2" applyNumberFormat="1" applyFont="1" applyBorder="1"/>
    <xf numFmtId="166" fontId="20" fillId="0" borderId="0" xfId="0" applyNumberFormat="1" applyFont="1" applyBorder="1"/>
    <xf numFmtId="0" fontId="26" fillId="0" borderId="0" xfId="0" applyFont="1" applyAlignment="1">
      <alignment horizontal="left"/>
    </xf>
    <xf numFmtId="165" fontId="0" fillId="0" borderId="0" xfId="0" applyNumberFormat="1"/>
    <xf numFmtId="10" fontId="0" fillId="0" borderId="0" xfId="4" applyNumberFormat="1" applyFont="1"/>
    <xf numFmtId="9" fontId="0" fillId="0" borderId="0" xfId="4" applyNumberFormat="1" applyFont="1"/>
    <xf numFmtId="0" fontId="18" fillId="0" borderId="52" xfId="0" applyFont="1" applyBorder="1" applyAlignment="1">
      <alignment horizontal="center" vertical="center"/>
    </xf>
    <xf numFmtId="167" fontId="0" fillId="0" borderId="22" xfId="2" applyNumberFormat="1" applyFont="1" applyBorder="1"/>
    <xf numFmtId="165" fontId="2" fillId="0" borderId="36" xfId="3" applyFont="1" applyBorder="1"/>
    <xf numFmtId="9" fontId="44" fillId="0" borderId="47" xfId="0" applyNumberFormat="1" applyFont="1" applyBorder="1"/>
    <xf numFmtId="9" fontId="44" fillId="0" borderId="48" xfId="0" applyNumberFormat="1" applyFont="1" applyBorder="1"/>
    <xf numFmtId="9" fontId="44" fillId="0" borderId="49" xfId="0" applyNumberFormat="1" applyFont="1" applyBorder="1"/>
    <xf numFmtId="9" fontId="44" fillId="0" borderId="50" xfId="0" applyNumberFormat="1" applyFont="1" applyBorder="1"/>
    <xf numFmtId="9" fontId="44" fillId="0" borderId="0" xfId="0" applyNumberFormat="1" applyFont="1"/>
    <xf numFmtId="9" fontId="44" fillId="0" borderId="13" xfId="0" applyNumberFormat="1" applyFont="1" applyBorder="1"/>
    <xf numFmtId="9" fontId="44" fillId="0" borderId="0" xfId="0" applyNumberFormat="1" applyFont="1" applyBorder="1"/>
    <xf numFmtId="9" fontId="44" fillId="0" borderId="1" xfId="0" applyNumberFormat="1" applyFont="1" applyBorder="1"/>
    <xf numFmtId="44" fontId="0" fillId="0" borderId="49" xfId="0" applyNumberFormat="1" applyFont="1" applyBorder="1"/>
    <xf numFmtId="44" fontId="0" fillId="0" borderId="51" xfId="0" applyNumberFormat="1" applyFont="1" applyBorder="1"/>
    <xf numFmtId="44" fontId="0" fillId="0" borderId="0" xfId="0" applyNumberFormat="1" applyFont="1"/>
    <xf numFmtId="9" fontId="0" fillId="0" borderId="0" xfId="0" applyNumberFormat="1" applyFont="1"/>
    <xf numFmtId="9" fontId="0" fillId="0" borderId="13" xfId="0" applyNumberFormat="1" applyFont="1" applyBorder="1"/>
    <xf numFmtId="9" fontId="0" fillId="0" borderId="0" xfId="0" applyNumberFormat="1" applyFont="1" applyBorder="1"/>
    <xf numFmtId="9" fontId="0" fillId="0" borderId="1" xfId="0" applyNumberFormat="1" applyFont="1" applyBorder="1"/>
    <xf numFmtId="0" fontId="26" fillId="0" borderId="0" xfId="0" applyFont="1" applyAlignment="1"/>
    <xf numFmtId="49" fontId="27" fillId="0" borderId="0" xfId="0" quotePrefix="1" applyNumberFormat="1" applyFont="1" applyAlignment="1"/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9" fontId="27" fillId="0" borderId="0" xfId="0" quotePrefix="1" applyNumberFormat="1" applyFont="1" applyAlignment="1">
      <alignment horizontal="center"/>
    </xf>
    <xf numFmtId="49" fontId="27" fillId="0" borderId="0" xfId="0" quotePrefix="1" applyNumberFormat="1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4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5" builtinId="3"/>
    <cellStyle name="Comma 2" xfId="53"/>
    <cellStyle name="Comma0" xfId="1"/>
    <cellStyle name="Currency" xfId="2" builtinId="4"/>
    <cellStyle name="Currency0" xfId="3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1" xfId="10"/>
    <cellStyle name="Normal 12" xfId="11"/>
    <cellStyle name="Normal 2" xfId="7"/>
    <cellStyle name="Normal 6" xfId="6"/>
    <cellStyle name="Normal 8" xfId="8"/>
    <cellStyle name="Normal 9" xfId="9"/>
    <cellStyle name="Note" xfId="25" builtinId="10" customBuiltin="1"/>
    <cellStyle name="Output" xfId="20" builtinId="21" customBuiltin="1"/>
    <cellStyle name="Percent" xfId="4" builtinId="5"/>
    <cellStyle name="Title 2" xfId="52"/>
    <cellStyle name="Total" xfId="27" builtinId="25" customBuiltin="1"/>
    <cellStyle name="Warning Text" xfId="2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\DRAPER-IRRIGATION\16-DI-XXX%20Culinary%20&amp;%20PI%20Water%20Update%202016\Culinary%20Water\Reuse%20vs%20Culinary%20Estim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\DRAPER-IRRIGATION\14-DI-XXX%20Culinary%20&amp;%20PI%20Water%20Update%202014\2014_Po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\DRAPER-IRRIGATION\10-DI-XXX%20Culinary%20&amp;%20PI%20Water%20Update%202010\Culinary%202010\DIC_CapitalFacility_IncomeInform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se vs Culinary Cost Estimate"/>
      <sheetName val="Outdoor usage estimates"/>
      <sheetName val="Cost per Connection"/>
      <sheetName val="Loan Schedule 1"/>
      <sheetName val="Loan Schedule 2"/>
      <sheetName val="Sheet3"/>
    </sheetNames>
    <sheetDataSet>
      <sheetData sheetId="0"/>
      <sheetData sheetId="1"/>
      <sheetData sheetId="2"/>
      <sheetData sheetId="3"/>
      <sheetData sheetId="4">
        <row r="9">
          <cell r="L9">
            <v>396425.73962632404</v>
          </cell>
          <cell r="M9">
            <v>396722.39566513745</v>
          </cell>
          <cell r="N9">
            <v>396448.02364801912</v>
          </cell>
          <cell r="O9">
            <v>396541.80223931849</v>
          </cell>
          <cell r="P9">
            <v>396528.80322666309</v>
          </cell>
          <cell r="Q9">
            <v>401515.78158179822</v>
          </cell>
          <cell r="R9">
            <v>401742.80005281488</v>
          </cell>
          <cell r="S9">
            <v>401863.04091987689</v>
          </cell>
          <cell r="T9">
            <v>396759.07145084359</v>
          </cell>
          <cell r="U9">
            <v>396644.40158920537</v>
          </cell>
          <cell r="V9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4.1"/>
      <sheetName val="Figure 2"/>
      <sheetName val="Figure4.3"/>
      <sheetName val="Figure4.3 (2)"/>
      <sheetName val="ReportData"/>
      <sheetName val="WasatchData"/>
      <sheetName val="PopulationGrowth Tables 1-3"/>
      <sheetName val="Connections"/>
      <sheetName val="Table 4.1"/>
      <sheetName val="Table 4.2"/>
      <sheetName val="Table 5.1"/>
      <sheetName val="Table 5"/>
      <sheetName val="Table 6"/>
      <sheetName val="Water Right Info"/>
      <sheetName val="SV Reuse Dat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K7">
            <v>9400</v>
          </cell>
          <cell r="L7">
            <v>9370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al Sheet"/>
      <sheetName val="Income"/>
      <sheetName val="Completed Projects Estimated $"/>
      <sheetName val="Completed Projects Known"/>
      <sheetName val="DDW Loan Payments"/>
      <sheetName val="Water Right Purchase"/>
      <sheetName val="AUDIT INFO"/>
      <sheetName val="FUTURE PROJ AUDIT INFO"/>
      <sheetName val="Future Project Expense"/>
      <sheetName val="PROJECTED INCOME"/>
      <sheetName val="Population"/>
      <sheetName val="Figure 5 Projected Balance"/>
      <sheetName val="Sheet1"/>
    </sheetNames>
    <sheetDataSet>
      <sheetData sheetId="0"/>
      <sheetData sheetId="1"/>
      <sheetData sheetId="2"/>
      <sheetData sheetId="3"/>
      <sheetData sheetId="4">
        <row r="3">
          <cell r="F3">
            <v>114520</v>
          </cell>
          <cell r="G3">
            <v>114647.8</v>
          </cell>
          <cell r="H3">
            <v>114529.60000000001</v>
          </cell>
          <cell r="I3">
            <v>114570</v>
          </cell>
          <cell r="J3">
            <v>114564.40000000001</v>
          </cell>
          <cell r="K3">
            <v>116712.8</v>
          </cell>
          <cell r="L3">
            <v>116810.6</v>
          </cell>
          <cell r="M3">
            <v>116862.40000000001</v>
          </cell>
          <cell r="N3">
            <v>114663.6</v>
          </cell>
          <cell r="O3">
            <v>114614.20000000001</v>
          </cell>
          <cell r="P3">
            <v>114514.20000000001</v>
          </cell>
          <cell r="Q3">
            <v>114563.6</v>
          </cell>
          <cell r="R3">
            <v>114557.8</v>
          </cell>
          <cell r="S3">
            <v>112500.8</v>
          </cell>
          <cell r="T3">
            <v>114576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6"/>
  <sheetViews>
    <sheetView tabSelected="1" view="pageBreakPreview" zoomScale="70" zoomScaleNormal="80" zoomScaleSheetLayoutView="70" workbookViewId="0">
      <pane ySplit="6" topLeftCell="A7" activePane="bottomLeft" state="frozen"/>
      <selection pane="bottomLeft" activeCell="H210" sqref="H210"/>
    </sheetView>
  </sheetViews>
  <sheetFormatPr defaultRowHeight="15" x14ac:dyDescent="0.25"/>
  <cols>
    <col min="1" max="1" width="3.42578125" style="150" bestFit="1" customWidth="1"/>
    <col min="2" max="2" width="52" customWidth="1"/>
    <col min="3" max="3" width="15.28515625" hidden="1" customWidth="1"/>
    <col min="4" max="4" width="14.28515625" hidden="1" customWidth="1"/>
    <col min="5" max="5" width="13" style="92" hidden="1" customWidth="1"/>
    <col min="6" max="7" width="14.28515625" hidden="1" customWidth="1"/>
    <col min="8" max="29" width="13.7109375" customWidth="1"/>
    <col min="30" max="30" width="79.85546875" style="25" bestFit="1" customWidth="1"/>
    <col min="31" max="31" width="29.5703125" customWidth="1"/>
    <col min="34" max="34" width="32.85546875" bestFit="1" customWidth="1"/>
  </cols>
  <sheetData>
    <row r="1" spans="1:34" ht="18.75" x14ac:dyDescent="0.3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34" ht="21" x14ac:dyDescent="0.35">
      <c r="A2" s="234" t="s">
        <v>523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25"/>
      <c r="R2" s="225"/>
      <c r="S2" s="225"/>
      <c r="T2" s="225"/>
      <c r="U2" s="225"/>
      <c r="V2" s="227"/>
      <c r="W2" s="227"/>
      <c r="X2" s="227"/>
      <c r="Y2" s="227"/>
      <c r="Z2" s="227"/>
      <c r="AA2" s="227"/>
      <c r="AB2" s="166"/>
      <c r="AC2" s="166"/>
      <c r="AD2" s="118"/>
    </row>
    <row r="3" spans="1:34" ht="15.75" customHeight="1" x14ac:dyDescent="0.25">
      <c r="A3" s="235" t="s">
        <v>525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26"/>
      <c r="R3" s="226"/>
      <c r="S3" s="226"/>
      <c r="T3" s="226"/>
      <c r="U3" s="226"/>
      <c r="V3" s="227"/>
      <c r="W3" s="227"/>
      <c r="X3" s="227"/>
      <c r="Y3" s="227"/>
      <c r="Z3" s="227"/>
      <c r="AA3" s="227"/>
      <c r="AB3" s="167"/>
      <c r="AC3" s="167"/>
    </row>
    <row r="4" spans="1:34" ht="21" x14ac:dyDescent="0.35">
      <c r="A4" s="236" t="s">
        <v>524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63"/>
      <c r="S4" s="163"/>
      <c r="T4" s="163"/>
      <c r="U4" s="163"/>
      <c r="V4" s="203"/>
      <c r="W4" s="163"/>
      <c r="X4" s="163"/>
      <c r="Y4" s="163"/>
      <c r="Z4" s="163"/>
      <c r="AA4" s="163"/>
      <c r="AB4" s="163"/>
      <c r="AC4" s="163"/>
      <c r="AD4" s="154"/>
    </row>
    <row r="6" spans="1:34" s="26" customFormat="1" x14ac:dyDescent="0.25">
      <c r="A6" s="149"/>
      <c r="C6" s="34">
        <v>2009</v>
      </c>
      <c r="D6" s="34">
        <v>2010</v>
      </c>
      <c r="E6" s="89">
        <v>2011</v>
      </c>
      <c r="F6" s="34">
        <v>2012</v>
      </c>
      <c r="G6" s="34">
        <v>2013</v>
      </c>
      <c r="H6" s="34">
        <v>2014</v>
      </c>
      <c r="I6" s="34">
        <v>2015</v>
      </c>
      <c r="J6" s="34">
        <v>2016</v>
      </c>
      <c r="K6" s="34">
        <v>2017</v>
      </c>
      <c r="L6" s="34">
        <v>2018</v>
      </c>
      <c r="M6" s="34">
        <v>2019</v>
      </c>
      <c r="N6" s="34">
        <v>2020</v>
      </c>
      <c r="O6" s="34">
        <v>2021</v>
      </c>
      <c r="P6" s="34">
        <v>2022</v>
      </c>
      <c r="Q6" s="34">
        <v>2023</v>
      </c>
      <c r="R6" s="34">
        <v>2024</v>
      </c>
      <c r="S6" s="34">
        <v>2025</v>
      </c>
      <c r="T6" s="34">
        <v>2026</v>
      </c>
      <c r="U6" s="34">
        <v>2027</v>
      </c>
      <c r="V6" s="34">
        <v>2028</v>
      </c>
      <c r="W6" s="34">
        <v>2029</v>
      </c>
      <c r="X6" s="34">
        <v>2030</v>
      </c>
      <c r="Y6" s="34">
        <v>2031</v>
      </c>
      <c r="Z6" s="34">
        <v>2032</v>
      </c>
      <c r="AA6" s="34">
        <v>2033</v>
      </c>
      <c r="AB6" s="34">
        <v>2034</v>
      </c>
      <c r="AC6" s="34">
        <v>2035</v>
      </c>
      <c r="AD6" s="48"/>
    </row>
    <row r="7" spans="1:34" s="2" customFormat="1" x14ac:dyDescent="0.25">
      <c r="A7" s="151">
        <v>1</v>
      </c>
      <c r="B7" s="61" t="s">
        <v>116</v>
      </c>
      <c r="E7" s="90"/>
      <c r="AD7" s="63"/>
    </row>
    <row r="8" spans="1:34" s="26" customFormat="1" x14ac:dyDescent="0.25">
      <c r="A8" s="149">
        <v>2</v>
      </c>
      <c r="E8" s="33"/>
      <c r="AD8" s="48"/>
    </row>
    <row r="9" spans="1:34" s="26" customFormat="1" x14ac:dyDescent="0.25">
      <c r="A9" s="149">
        <v>3</v>
      </c>
      <c r="B9" s="26" t="s">
        <v>49</v>
      </c>
      <c r="C9" s="49">
        <f>832971</f>
        <v>832971</v>
      </c>
      <c r="D9" s="50">
        <v>725101</v>
      </c>
      <c r="E9" s="85">
        <v>666864</v>
      </c>
      <c r="F9" s="50">
        <f>F10+F11</f>
        <v>968544.37</v>
      </c>
      <c r="G9" s="50">
        <f>G10+G11</f>
        <v>991806.86</v>
      </c>
      <c r="H9" s="50">
        <f>H10+H11</f>
        <v>865105.8</v>
      </c>
      <c r="I9" s="50">
        <f t="shared" ref="I9:J9" si="0">I10+I11</f>
        <v>1260009.8999999999</v>
      </c>
      <c r="J9" s="50">
        <f t="shared" si="0"/>
        <v>1260009.8999999999</v>
      </c>
      <c r="K9" s="50">
        <f t="shared" ref="K9:AC9" si="1">J9*(1+$C$242)</f>
        <v>1297810.1969999999</v>
      </c>
      <c r="L9" s="50">
        <f t="shared" si="1"/>
        <v>1336744.50291</v>
      </c>
      <c r="M9" s="50">
        <f t="shared" si="1"/>
        <v>1376846.8379973001</v>
      </c>
      <c r="N9" s="50">
        <f t="shared" si="1"/>
        <v>1418152.2431372192</v>
      </c>
      <c r="O9" s="50">
        <f t="shared" si="1"/>
        <v>1460696.8104313358</v>
      </c>
      <c r="P9" s="50">
        <f t="shared" si="1"/>
        <v>1504517.7147442759</v>
      </c>
      <c r="Q9" s="50">
        <f t="shared" si="1"/>
        <v>1549653.2461866043</v>
      </c>
      <c r="R9" s="50">
        <f t="shared" si="1"/>
        <v>1596142.8435722024</v>
      </c>
      <c r="S9" s="50">
        <f t="shared" si="1"/>
        <v>1644027.1288793685</v>
      </c>
      <c r="T9" s="50">
        <f t="shared" si="1"/>
        <v>1693347.9427457496</v>
      </c>
      <c r="U9" s="50">
        <f t="shared" si="1"/>
        <v>1744148.381028122</v>
      </c>
      <c r="V9" s="50">
        <f t="shared" si="1"/>
        <v>1796472.8324589657</v>
      </c>
      <c r="W9" s="50">
        <f t="shared" si="1"/>
        <v>1850367.0174327348</v>
      </c>
      <c r="X9" s="50">
        <f t="shared" si="1"/>
        <v>1905878.0279557169</v>
      </c>
      <c r="Y9" s="50">
        <f t="shared" si="1"/>
        <v>1963054.3687943886</v>
      </c>
      <c r="Z9" s="50">
        <f t="shared" si="1"/>
        <v>2021945.9998582203</v>
      </c>
      <c r="AA9" s="50">
        <f t="shared" si="1"/>
        <v>2082604.3798539671</v>
      </c>
      <c r="AB9" s="50">
        <f t="shared" si="1"/>
        <v>2145082.511249586</v>
      </c>
      <c r="AC9" s="50">
        <f t="shared" si="1"/>
        <v>2209434.9865870737</v>
      </c>
      <c r="AD9" s="51" t="s">
        <v>118</v>
      </c>
    </row>
    <row r="10" spans="1:34" s="120" customFormat="1" hidden="1" x14ac:dyDescent="0.25">
      <c r="A10" s="149"/>
      <c r="C10" s="121"/>
      <c r="D10" s="122"/>
      <c r="E10" s="128">
        <v>666864</v>
      </c>
      <c r="F10" s="128">
        <v>968544.37</v>
      </c>
      <c r="G10" s="128">
        <v>991806.86</v>
      </c>
      <c r="H10" s="155">
        <v>865105.8</v>
      </c>
      <c r="I10" s="155">
        <v>1260009.8999999999</v>
      </c>
      <c r="J10" s="122">
        <v>1260009.8999999999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4" t="s">
        <v>217</v>
      </c>
      <c r="AE10" s="125" t="s">
        <v>219</v>
      </c>
    </row>
    <row r="11" spans="1:34" s="120" customFormat="1" hidden="1" x14ac:dyDescent="0.25">
      <c r="A11" s="149"/>
      <c r="C11" s="121"/>
      <c r="D11" s="122"/>
      <c r="E11" s="128">
        <v>0</v>
      </c>
      <c r="F11" s="128">
        <v>0</v>
      </c>
      <c r="G11" s="128">
        <v>0</v>
      </c>
      <c r="H11" s="122">
        <v>0</v>
      </c>
      <c r="I11" s="122">
        <v>0</v>
      </c>
      <c r="J11" s="122">
        <v>0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4" t="s">
        <v>218</v>
      </c>
      <c r="AE11" s="126" t="s">
        <v>220</v>
      </c>
      <c r="AH11" s="120" t="s">
        <v>499</v>
      </c>
    </row>
    <row r="12" spans="1:34" s="26" customFormat="1" x14ac:dyDescent="0.25">
      <c r="A12" s="149">
        <v>4</v>
      </c>
      <c r="B12" s="26" t="s">
        <v>50</v>
      </c>
      <c r="C12" s="49">
        <v>139903</v>
      </c>
      <c r="D12" s="50">
        <v>140369</v>
      </c>
      <c r="E12" s="50">
        <f>SUM(E13:E33)-79897</f>
        <v>107779</v>
      </c>
      <c r="F12" s="50">
        <f>SUM(F13:F33)</f>
        <v>281284.05</v>
      </c>
      <c r="G12" s="50">
        <f>SUM(G13:G33)</f>
        <v>224569.41999999998</v>
      </c>
      <c r="H12" s="50">
        <f t="shared" ref="H12:I12" si="2">SUM(H13:H33)</f>
        <v>237163.64</v>
      </c>
      <c r="I12" s="50">
        <f t="shared" si="2"/>
        <v>256840.7099999999</v>
      </c>
      <c r="J12" s="50">
        <f t="shared" ref="J12:AC12" si="3">I12*(1+$C$243)</f>
        <v>267114.33839999989</v>
      </c>
      <c r="K12" s="50">
        <f t="shared" si="3"/>
        <v>277798.91193599987</v>
      </c>
      <c r="L12" s="50">
        <f t="shared" si="3"/>
        <v>288910.86841343989</v>
      </c>
      <c r="M12" s="50">
        <f t="shared" si="3"/>
        <v>300467.30314997752</v>
      </c>
      <c r="N12" s="50">
        <f t="shared" si="3"/>
        <v>312485.99527597666</v>
      </c>
      <c r="O12" s="50">
        <f t="shared" si="3"/>
        <v>324985.43508701574</v>
      </c>
      <c r="P12" s="50">
        <f t="shared" si="3"/>
        <v>337984.85249049636</v>
      </c>
      <c r="Q12" s="50">
        <f t="shared" si="3"/>
        <v>351504.24659011624</v>
      </c>
      <c r="R12" s="50">
        <f t="shared" si="3"/>
        <v>365564.41645372089</v>
      </c>
      <c r="S12" s="50">
        <f t="shared" si="3"/>
        <v>380186.99311186973</v>
      </c>
      <c r="T12" s="50">
        <f t="shared" si="3"/>
        <v>395394.4728363445</v>
      </c>
      <c r="U12" s="50">
        <f t="shared" si="3"/>
        <v>411210.25174979831</v>
      </c>
      <c r="V12" s="50">
        <f t="shared" si="3"/>
        <v>427658.66181979026</v>
      </c>
      <c r="W12" s="50">
        <f t="shared" si="3"/>
        <v>444765.00829258189</v>
      </c>
      <c r="X12" s="50">
        <f t="shared" si="3"/>
        <v>462555.6086242852</v>
      </c>
      <c r="Y12" s="50">
        <f t="shared" si="3"/>
        <v>481057.83296925662</v>
      </c>
      <c r="Z12" s="50">
        <f t="shared" si="3"/>
        <v>500300.14628802688</v>
      </c>
      <c r="AA12" s="50">
        <f t="shared" si="3"/>
        <v>520312.15213954798</v>
      </c>
      <c r="AB12" s="50">
        <f t="shared" si="3"/>
        <v>541124.63822512992</v>
      </c>
      <c r="AC12" s="50">
        <f t="shared" si="3"/>
        <v>562769.6237541351</v>
      </c>
      <c r="AD12" s="51" t="s">
        <v>118</v>
      </c>
    </row>
    <row r="13" spans="1:34" s="120" customFormat="1" hidden="1" x14ac:dyDescent="0.25">
      <c r="A13" s="149"/>
      <c r="B13" s="127"/>
      <c r="D13" s="122"/>
      <c r="E13" s="128">
        <v>195460</v>
      </c>
      <c r="F13" s="128">
        <v>228861.01</v>
      </c>
      <c r="G13" s="128">
        <v>242030.19</v>
      </c>
      <c r="H13" s="155">
        <v>223952.64000000001</v>
      </c>
      <c r="I13" s="155">
        <v>239436.19</v>
      </c>
      <c r="J13" s="122"/>
      <c r="K13" s="12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0" t="s">
        <v>181</v>
      </c>
      <c r="AE13" s="131" t="s">
        <v>182</v>
      </c>
    </row>
    <row r="14" spans="1:34" s="120" customFormat="1" hidden="1" x14ac:dyDescent="0.25">
      <c r="A14" s="149"/>
      <c r="B14" s="127"/>
      <c r="D14" s="122"/>
      <c r="E14" s="128">
        <v>8028</v>
      </c>
      <c r="F14" s="128">
        <v>5161.45</v>
      </c>
      <c r="G14" s="128">
        <v>3123.75</v>
      </c>
      <c r="H14" s="155">
        <v>4367.6000000000004</v>
      </c>
      <c r="I14" s="155">
        <v>4049.28</v>
      </c>
      <c r="J14" s="122"/>
      <c r="K14" s="12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 t="s">
        <v>183</v>
      </c>
      <c r="AE14" s="131" t="s">
        <v>184</v>
      </c>
    </row>
    <row r="15" spans="1:34" s="120" customFormat="1" hidden="1" x14ac:dyDescent="0.25">
      <c r="A15" s="149"/>
      <c r="B15" s="127"/>
      <c r="D15" s="122"/>
      <c r="E15" s="128">
        <v>0</v>
      </c>
      <c r="F15" s="128">
        <v>0</v>
      </c>
      <c r="G15" s="128">
        <v>0</v>
      </c>
      <c r="H15" s="155">
        <v>0</v>
      </c>
      <c r="I15" s="155"/>
      <c r="J15" s="122"/>
      <c r="K15" s="122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30" t="s">
        <v>185</v>
      </c>
      <c r="AE15" s="131" t="s">
        <v>186</v>
      </c>
      <c r="AH15" s="120" t="s">
        <v>499</v>
      </c>
    </row>
    <row r="16" spans="1:34" s="120" customFormat="1" hidden="1" x14ac:dyDescent="0.25">
      <c r="A16" s="149"/>
      <c r="B16" s="127"/>
      <c r="D16" s="122"/>
      <c r="E16" s="128">
        <v>37311</v>
      </c>
      <c r="F16" s="128">
        <v>31364.37</v>
      </c>
      <c r="G16" s="128">
        <v>51452.91</v>
      </c>
      <c r="H16" s="155">
        <v>66437.98</v>
      </c>
      <c r="I16" s="155">
        <v>66854.600000000006</v>
      </c>
      <c r="J16" s="122"/>
      <c r="K16" s="122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 t="s">
        <v>187</v>
      </c>
      <c r="AE16" s="131" t="s">
        <v>188</v>
      </c>
    </row>
    <row r="17" spans="1:34" s="120" customFormat="1" hidden="1" x14ac:dyDescent="0.25">
      <c r="A17" s="149"/>
      <c r="B17" s="127"/>
      <c r="D17" s="122"/>
      <c r="E17" s="128"/>
      <c r="F17" s="128"/>
      <c r="G17" s="128"/>
      <c r="H17" s="155">
        <v>9736.77</v>
      </c>
      <c r="I17" s="155">
        <v>8040.79</v>
      </c>
      <c r="J17" s="122"/>
      <c r="K17" s="122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30" t="s">
        <v>413</v>
      </c>
      <c r="AE17" s="131" t="s">
        <v>414</v>
      </c>
      <c r="AH17" s="120" t="s">
        <v>495</v>
      </c>
    </row>
    <row r="18" spans="1:34" s="120" customFormat="1" hidden="1" x14ac:dyDescent="0.25">
      <c r="A18" s="149"/>
      <c r="B18" s="127"/>
      <c r="D18" s="122"/>
      <c r="E18" s="128">
        <v>0</v>
      </c>
      <c r="F18" s="128">
        <v>86736.16</v>
      </c>
      <c r="G18" s="128">
        <v>2014.1</v>
      </c>
      <c r="H18" s="155"/>
      <c r="I18" s="155">
        <v>300</v>
      </c>
      <c r="J18" s="122"/>
      <c r="K18" s="122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30" t="s">
        <v>189</v>
      </c>
      <c r="AE18" s="131" t="s">
        <v>190</v>
      </c>
    </row>
    <row r="19" spans="1:34" s="120" customFormat="1" hidden="1" x14ac:dyDescent="0.25">
      <c r="A19" s="149"/>
      <c r="B19" s="127"/>
      <c r="D19" s="122"/>
      <c r="E19" s="128">
        <v>83141</v>
      </c>
      <c r="F19" s="128">
        <v>48903.07</v>
      </c>
      <c r="G19" s="128">
        <v>147269.62</v>
      </c>
      <c r="H19" s="155">
        <v>127039.52</v>
      </c>
      <c r="I19" s="155">
        <v>166573.39000000001</v>
      </c>
      <c r="J19" s="122"/>
      <c r="K19" s="122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30" t="s">
        <v>191</v>
      </c>
      <c r="AE19" s="131" t="s">
        <v>192</v>
      </c>
    </row>
    <row r="20" spans="1:34" s="120" customFormat="1" hidden="1" x14ac:dyDescent="0.25">
      <c r="A20" s="149"/>
      <c r="B20" s="127"/>
      <c r="D20" s="122"/>
      <c r="E20" s="128">
        <v>40046</v>
      </c>
      <c r="F20" s="128">
        <v>83166.8</v>
      </c>
      <c r="G20" s="128">
        <v>60895.45</v>
      </c>
      <c r="H20" s="155">
        <v>29931.61</v>
      </c>
      <c r="I20" s="155">
        <v>7628.55</v>
      </c>
      <c r="J20" s="122"/>
      <c r="K20" s="122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 t="s">
        <v>193</v>
      </c>
      <c r="AE20" s="131" t="s">
        <v>194</v>
      </c>
    </row>
    <row r="21" spans="1:34" s="120" customFormat="1" hidden="1" x14ac:dyDescent="0.25">
      <c r="A21" s="149"/>
      <c r="B21" s="127"/>
      <c r="D21" s="122"/>
      <c r="E21" s="128">
        <v>35894</v>
      </c>
      <c r="F21" s="128">
        <v>41550.550000000003</v>
      </c>
      <c r="G21" s="128">
        <v>37391.93</v>
      </c>
      <c r="H21" s="155">
        <v>40827.82</v>
      </c>
      <c r="I21" s="155">
        <v>37168.26</v>
      </c>
      <c r="J21" s="122"/>
      <c r="K21" s="122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 t="s">
        <v>195</v>
      </c>
      <c r="AE21" s="131" t="s">
        <v>196</v>
      </c>
    </row>
    <row r="22" spans="1:34" s="120" customFormat="1" hidden="1" x14ac:dyDescent="0.25">
      <c r="A22" s="149"/>
      <c r="B22" s="127"/>
      <c r="D22" s="122"/>
      <c r="E22" s="128">
        <v>-729</v>
      </c>
      <c r="F22" s="128">
        <v>0</v>
      </c>
      <c r="G22" s="128">
        <v>39977.620000000003</v>
      </c>
      <c r="H22" s="155">
        <v>43574.75</v>
      </c>
      <c r="I22" s="155">
        <v>57634.5</v>
      </c>
      <c r="J22" s="122"/>
      <c r="K22" s="122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 t="s">
        <v>197</v>
      </c>
      <c r="AE22" s="131" t="s">
        <v>198</v>
      </c>
    </row>
    <row r="23" spans="1:34" s="120" customFormat="1" hidden="1" x14ac:dyDescent="0.25">
      <c r="A23" s="149"/>
      <c r="B23" s="127"/>
      <c r="D23" s="122"/>
      <c r="E23" s="128">
        <v>130849</v>
      </c>
      <c r="F23" s="128">
        <v>109676.46</v>
      </c>
      <c r="G23" s="128">
        <v>57061.25</v>
      </c>
      <c r="H23" s="155">
        <v>21882.15</v>
      </c>
      <c r="I23" s="155">
        <v>25407</v>
      </c>
      <c r="J23" s="122"/>
      <c r="K23" s="122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 t="s">
        <v>199</v>
      </c>
      <c r="AE23" s="131" t="s">
        <v>200</v>
      </c>
    </row>
    <row r="24" spans="1:34" s="120" customFormat="1" hidden="1" x14ac:dyDescent="0.25">
      <c r="A24" s="149"/>
      <c r="B24" s="127"/>
      <c r="D24" s="122"/>
      <c r="E24" s="128">
        <v>0</v>
      </c>
      <c r="F24" s="128">
        <v>0</v>
      </c>
      <c r="G24" s="128">
        <v>0</v>
      </c>
      <c r="H24" s="155">
        <v>0</v>
      </c>
      <c r="I24" s="155"/>
      <c r="J24" s="122"/>
      <c r="K24" s="122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30" t="s">
        <v>201</v>
      </c>
      <c r="AE24" s="131" t="s">
        <v>202</v>
      </c>
      <c r="AH24" s="120" t="s">
        <v>499</v>
      </c>
    </row>
    <row r="25" spans="1:34" s="120" customFormat="1" hidden="1" x14ac:dyDescent="0.25">
      <c r="A25" s="149"/>
      <c r="B25" s="127"/>
      <c r="D25" s="122"/>
      <c r="E25" s="128"/>
      <c r="F25" s="128"/>
      <c r="G25" s="128"/>
      <c r="H25" s="155">
        <v>4591.25</v>
      </c>
      <c r="I25" s="155"/>
      <c r="J25" s="122"/>
      <c r="K25" s="122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30" t="s">
        <v>232</v>
      </c>
      <c r="AE25" s="131" t="s">
        <v>320</v>
      </c>
      <c r="AH25" s="120" t="s">
        <v>496</v>
      </c>
    </row>
    <row r="26" spans="1:34" s="120" customFormat="1" hidden="1" x14ac:dyDescent="0.25">
      <c r="A26" s="149"/>
      <c r="B26" s="127"/>
      <c r="D26" s="122"/>
      <c r="E26" s="128">
        <v>16974</v>
      </c>
      <c r="F26" s="128">
        <v>14666.03</v>
      </c>
      <c r="G26" s="128">
        <v>18121.830000000002</v>
      </c>
      <c r="H26" s="155">
        <v>17041.02</v>
      </c>
      <c r="I26" s="155">
        <v>16931.38</v>
      </c>
      <c r="J26" s="122"/>
      <c r="K26" s="122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30" t="s">
        <v>203</v>
      </c>
      <c r="AE26" s="131" t="s">
        <v>204</v>
      </c>
    </row>
    <row r="27" spans="1:34" s="120" customFormat="1" hidden="1" x14ac:dyDescent="0.25">
      <c r="A27" s="149"/>
      <c r="B27" s="127"/>
      <c r="D27" s="122"/>
      <c r="E27" s="128"/>
      <c r="F27" s="128"/>
      <c r="G27" s="128"/>
      <c r="H27" s="155">
        <v>30525</v>
      </c>
      <c r="I27" s="155">
        <v>31825</v>
      </c>
      <c r="J27" s="122"/>
      <c r="K27" s="122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0" t="s">
        <v>410</v>
      </c>
      <c r="AE27" s="131" t="s">
        <v>411</v>
      </c>
      <c r="AH27" s="120" t="s">
        <v>495</v>
      </c>
    </row>
    <row r="28" spans="1:34" s="120" customFormat="1" hidden="1" x14ac:dyDescent="0.25">
      <c r="A28" s="149"/>
      <c r="B28" s="127"/>
      <c r="D28" s="122"/>
      <c r="E28" s="128">
        <v>0</v>
      </c>
      <c r="F28" s="128">
        <v>0</v>
      </c>
      <c r="G28" s="128">
        <v>0</v>
      </c>
      <c r="H28" s="155">
        <v>0</v>
      </c>
      <c r="I28" s="156">
        <v>0</v>
      </c>
      <c r="J28" s="122"/>
      <c r="K28" s="122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 t="s">
        <v>205</v>
      </c>
      <c r="AE28" s="131" t="s">
        <v>206</v>
      </c>
      <c r="AH28" s="120" t="s">
        <v>499</v>
      </c>
    </row>
    <row r="29" spans="1:34" s="120" customFormat="1" hidden="1" x14ac:dyDescent="0.25">
      <c r="A29" s="149"/>
      <c r="B29" s="127"/>
      <c r="D29" s="122"/>
      <c r="E29" s="128">
        <v>30899</v>
      </c>
      <c r="F29" s="128">
        <v>15235.41</v>
      </c>
      <c r="G29" s="128">
        <v>16353.31</v>
      </c>
      <c r="H29" s="155">
        <v>6823.64</v>
      </c>
      <c r="I29" s="155">
        <v>7111.01</v>
      </c>
      <c r="J29" s="122"/>
      <c r="K29" s="122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0" t="s">
        <v>207</v>
      </c>
      <c r="AE29" s="131" t="s">
        <v>208</v>
      </c>
    </row>
    <row r="30" spans="1:34" s="120" customFormat="1" hidden="1" x14ac:dyDescent="0.25">
      <c r="A30" s="149"/>
      <c r="B30" s="127"/>
      <c r="D30" s="122"/>
      <c r="E30" s="128">
        <v>7735</v>
      </c>
      <c r="F30" s="128">
        <v>2038.03</v>
      </c>
      <c r="G30" s="128">
        <v>8332.85</v>
      </c>
      <c r="H30" s="155">
        <v>7034.24</v>
      </c>
      <c r="I30" s="155">
        <v>7321.82</v>
      </c>
      <c r="J30" s="122"/>
      <c r="K30" s="122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0" t="s">
        <v>209</v>
      </c>
      <c r="AE30" s="131" t="s">
        <v>210</v>
      </c>
    </row>
    <row r="31" spans="1:34" s="120" customFormat="1" hidden="1" x14ac:dyDescent="0.25">
      <c r="A31" s="149"/>
      <c r="B31" s="127"/>
      <c r="D31" s="122"/>
      <c r="E31" s="128">
        <v>40805</v>
      </c>
      <c r="F31" s="128">
        <v>22236.36</v>
      </c>
      <c r="G31" s="128">
        <v>18473.650000000001</v>
      </c>
      <c r="H31" s="155">
        <v>20330.72</v>
      </c>
      <c r="I31" s="155">
        <v>28192.6</v>
      </c>
      <c r="J31" s="122"/>
      <c r="K31" s="122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30" t="s">
        <v>211</v>
      </c>
      <c r="AE31" s="131" t="s">
        <v>212</v>
      </c>
    </row>
    <row r="32" spans="1:34" s="120" customFormat="1" hidden="1" x14ac:dyDescent="0.25">
      <c r="A32" s="149"/>
      <c r="B32" s="127"/>
      <c r="D32" s="122"/>
      <c r="E32" s="128">
        <v>2308</v>
      </c>
      <c r="F32" s="128">
        <v>2072.44</v>
      </c>
      <c r="G32" s="128">
        <v>2039.25</v>
      </c>
      <c r="H32" s="155">
        <v>-864.42</v>
      </c>
      <c r="I32" s="155">
        <v>462.02</v>
      </c>
      <c r="J32" s="122"/>
      <c r="K32" s="122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30" t="s">
        <v>213</v>
      </c>
      <c r="AE32" s="131" t="s">
        <v>214</v>
      </c>
    </row>
    <row r="33" spans="1:34" s="120" customFormat="1" hidden="1" x14ac:dyDescent="0.25">
      <c r="A33" s="149"/>
      <c r="B33" s="127"/>
      <c r="D33" s="122"/>
      <c r="E33" s="128">
        <v>-441045</v>
      </c>
      <c r="F33" s="128">
        <v>-410384.09</v>
      </c>
      <c r="G33" s="128">
        <v>-479968.29</v>
      </c>
      <c r="H33" s="155">
        <v>-416068.65</v>
      </c>
      <c r="I33" s="155">
        <v>-448095.68</v>
      </c>
      <c r="J33" s="122"/>
      <c r="K33" s="122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 t="s">
        <v>215</v>
      </c>
      <c r="AE33" s="131" t="s">
        <v>216</v>
      </c>
    </row>
    <row r="34" spans="1:34" s="26" customFormat="1" x14ac:dyDescent="0.25">
      <c r="A34" s="149">
        <v>5</v>
      </c>
      <c r="B34" s="52" t="s">
        <v>51</v>
      </c>
      <c r="C34" s="49">
        <f>1674403+9815-C129</f>
        <v>1566555</v>
      </c>
      <c r="D34" s="50">
        <v>1853791</v>
      </c>
      <c r="E34" s="85">
        <v>1781989</v>
      </c>
      <c r="F34" s="50">
        <f>SUM(F35:F128)</f>
        <v>1917015.9300000006</v>
      </c>
      <c r="G34" s="50">
        <f>SUM(G35:G128)</f>
        <v>1824634.46</v>
      </c>
      <c r="H34" s="50">
        <f>SUM(H35:H128)</f>
        <v>2223371.5100000007</v>
      </c>
      <c r="I34" s="50">
        <f>SUM(I35:I128)</f>
        <v>1978010.2599999984</v>
      </c>
      <c r="J34" s="50">
        <f t="shared" ref="J34:AC34" si="4">I34*(1+$C$243)</f>
        <v>2057130.6703999983</v>
      </c>
      <c r="K34" s="50">
        <f t="shared" si="4"/>
        <v>2139415.8972159983</v>
      </c>
      <c r="L34" s="50">
        <f t="shared" si="4"/>
        <v>2224992.5331046381</v>
      </c>
      <c r="M34" s="50">
        <f t="shared" si="4"/>
        <v>2313992.2344288239</v>
      </c>
      <c r="N34" s="50">
        <f t="shared" si="4"/>
        <v>2406551.9238059768</v>
      </c>
      <c r="O34" s="50">
        <f t="shared" si="4"/>
        <v>2502814.0007582158</v>
      </c>
      <c r="P34" s="50">
        <f t="shared" si="4"/>
        <v>2602926.5607885444</v>
      </c>
      <c r="Q34" s="50">
        <f t="shared" si="4"/>
        <v>2707043.6232200861</v>
      </c>
      <c r="R34" s="50">
        <f t="shared" si="4"/>
        <v>2815325.3681488899</v>
      </c>
      <c r="S34" s="50">
        <f t="shared" si="4"/>
        <v>2927938.3828748455</v>
      </c>
      <c r="T34" s="50">
        <f t="shared" si="4"/>
        <v>3045055.9181898395</v>
      </c>
      <c r="U34" s="50">
        <f t="shared" si="4"/>
        <v>3166858.1549174329</v>
      </c>
      <c r="V34" s="50">
        <f t="shared" si="4"/>
        <v>3293532.4811141305</v>
      </c>
      <c r="W34" s="50">
        <f t="shared" si="4"/>
        <v>3425273.7803586959</v>
      </c>
      <c r="X34" s="50">
        <f t="shared" si="4"/>
        <v>3562284.7315730439</v>
      </c>
      <c r="Y34" s="50">
        <f t="shared" si="4"/>
        <v>3704776.120835966</v>
      </c>
      <c r="Z34" s="50">
        <f t="shared" si="4"/>
        <v>3852967.1656694049</v>
      </c>
      <c r="AA34" s="50">
        <f t="shared" si="4"/>
        <v>4007085.852296181</v>
      </c>
      <c r="AB34" s="50">
        <f t="shared" si="4"/>
        <v>4167369.2863880284</v>
      </c>
      <c r="AC34" s="50">
        <f t="shared" si="4"/>
        <v>4334064.0578435501</v>
      </c>
      <c r="AD34" s="51" t="s">
        <v>118</v>
      </c>
    </row>
    <row r="35" spans="1:34" s="120" customFormat="1" hidden="1" x14ac:dyDescent="0.25">
      <c r="A35" s="149"/>
      <c r="B35" s="132"/>
      <c r="C35" s="121"/>
      <c r="D35" s="122"/>
      <c r="E35" s="128">
        <v>0</v>
      </c>
      <c r="F35" s="128">
        <v>0</v>
      </c>
      <c r="G35" s="128">
        <v>0</v>
      </c>
      <c r="H35" s="122"/>
      <c r="I35" s="155">
        <v>0</v>
      </c>
      <c r="J35" s="122"/>
      <c r="K35" s="122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33" t="s">
        <v>221</v>
      </c>
      <c r="AE35" s="134" t="s">
        <v>309</v>
      </c>
      <c r="AH35" s="120" t="s">
        <v>499</v>
      </c>
    </row>
    <row r="36" spans="1:34" s="120" customFormat="1" hidden="1" x14ac:dyDescent="0.25">
      <c r="A36" s="149"/>
      <c r="B36" s="132"/>
      <c r="C36" s="121"/>
      <c r="D36" s="122"/>
      <c r="E36" s="128">
        <v>387478</v>
      </c>
      <c r="F36" s="128">
        <v>393894.69</v>
      </c>
      <c r="G36" s="128">
        <v>392122.79</v>
      </c>
      <c r="H36" s="155">
        <v>468516.47</v>
      </c>
      <c r="I36" s="155">
        <v>493193.37</v>
      </c>
      <c r="J36" s="122"/>
      <c r="K36" s="122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3" t="s">
        <v>222</v>
      </c>
      <c r="AE36" s="134" t="s">
        <v>310</v>
      </c>
    </row>
    <row r="37" spans="1:34" s="120" customFormat="1" hidden="1" x14ac:dyDescent="0.25">
      <c r="A37" s="149"/>
      <c r="B37" s="132"/>
      <c r="C37" s="121"/>
      <c r="D37" s="122"/>
      <c r="E37" s="128">
        <v>108698</v>
      </c>
      <c r="F37" s="128">
        <v>108489.2</v>
      </c>
      <c r="G37" s="128">
        <v>112375.93</v>
      </c>
      <c r="H37" s="155">
        <v>131959.78</v>
      </c>
      <c r="I37" s="155">
        <v>137313.75</v>
      </c>
      <c r="J37" s="122"/>
      <c r="K37" s="122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3" t="s">
        <v>223</v>
      </c>
      <c r="AE37" s="134" t="s">
        <v>311</v>
      </c>
    </row>
    <row r="38" spans="1:34" s="120" customFormat="1" hidden="1" x14ac:dyDescent="0.25">
      <c r="A38" s="149"/>
      <c r="B38" s="132"/>
      <c r="C38" s="121"/>
      <c r="D38" s="122"/>
      <c r="E38" s="128">
        <v>231787</v>
      </c>
      <c r="F38" s="128">
        <v>234262.45</v>
      </c>
      <c r="G38" s="128">
        <v>228327.83</v>
      </c>
      <c r="H38" s="155">
        <v>251717.5</v>
      </c>
      <c r="I38" s="155">
        <v>257883.34</v>
      </c>
      <c r="J38" s="122"/>
      <c r="K38" s="122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3" t="s">
        <v>224</v>
      </c>
      <c r="AE38" s="134" t="s">
        <v>312</v>
      </c>
    </row>
    <row r="39" spans="1:34" s="120" customFormat="1" hidden="1" x14ac:dyDescent="0.25">
      <c r="A39" s="149"/>
      <c r="B39" s="132"/>
      <c r="C39" s="121"/>
      <c r="D39" s="122"/>
      <c r="E39" s="128">
        <v>457335</v>
      </c>
      <c r="F39" s="128">
        <v>470620.75</v>
      </c>
      <c r="G39" s="128">
        <v>464377.3</v>
      </c>
      <c r="H39" s="155">
        <v>528423.78</v>
      </c>
      <c r="I39" s="155">
        <v>420666.44</v>
      </c>
      <c r="J39" s="122"/>
      <c r="K39" s="122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3" t="s">
        <v>225</v>
      </c>
      <c r="AE39" s="134" t="s">
        <v>313</v>
      </c>
    </row>
    <row r="40" spans="1:34" s="120" customFormat="1" hidden="1" x14ac:dyDescent="0.25">
      <c r="A40" s="149"/>
      <c r="B40" s="132"/>
      <c r="C40" s="121"/>
      <c r="D40" s="122"/>
      <c r="E40" s="128">
        <v>105246</v>
      </c>
      <c r="F40" s="128">
        <v>100130.01</v>
      </c>
      <c r="G40" s="128">
        <v>119253.94</v>
      </c>
      <c r="H40" s="155">
        <v>107736.94</v>
      </c>
      <c r="I40" s="155">
        <v>110251.25</v>
      </c>
      <c r="J40" s="122"/>
      <c r="K40" s="122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3" t="s">
        <v>226</v>
      </c>
      <c r="AE40" s="134" t="s">
        <v>314</v>
      </c>
    </row>
    <row r="41" spans="1:34" s="120" customFormat="1" hidden="1" x14ac:dyDescent="0.25">
      <c r="A41" s="149"/>
      <c r="B41" s="132"/>
      <c r="C41" s="121"/>
      <c r="D41" s="122"/>
      <c r="E41" s="128">
        <v>26897</v>
      </c>
      <c r="F41" s="128">
        <v>33126.769999999997</v>
      </c>
      <c r="G41" s="128">
        <v>47752.12</v>
      </c>
      <c r="H41" s="155">
        <v>35880.79</v>
      </c>
      <c r="I41" s="155">
        <v>34446.71</v>
      </c>
      <c r="J41" s="122"/>
      <c r="K41" s="122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33" t="s">
        <v>227</v>
      </c>
      <c r="AE41" s="134" t="s">
        <v>315</v>
      </c>
    </row>
    <row r="42" spans="1:34" s="120" customFormat="1" hidden="1" x14ac:dyDescent="0.25">
      <c r="A42" s="149"/>
      <c r="B42" s="132"/>
      <c r="C42" s="121"/>
      <c r="D42" s="122"/>
      <c r="E42" s="128">
        <v>311767</v>
      </c>
      <c r="F42" s="128">
        <v>297899.49</v>
      </c>
      <c r="G42" s="128">
        <v>290345.88</v>
      </c>
      <c r="H42" s="155">
        <v>375642.18</v>
      </c>
      <c r="I42" s="155">
        <v>225083.65</v>
      </c>
      <c r="J42" s="122"/>
      <c r="K42" s="122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33" t="s">
        <v>228</v>
      </c>
      <c r="AE42" s="134" t="s">
        <v>316</v>
      </c>
    </row>
    <row r="43" spans="1:34" s="120" customFormat="1" hidden="1" x14ac:dyDescent="0.25">
      <c r="A43" s="149"/>
      <c r="B43" s="132"/>
      <c r="C43" s="121"/>
      <c r="D43" s="122"/>
      <c r="E43" s="128">
        <v>83</v>
      </c>
      <c r="F43" s="128">
        <v>2417</v>
      </c>
      <c r="G43" s="128">
        <v>6862</v>
      </c>
      <c r="H43" s="155">
        <v>2563</v>
      </c>
      <c r="I43" s="155">
        <v>5956</v>
      </c>
      <c r="J43" s="122"/>
      <c r="K43" s="122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5" t="s">
        <v>229</v>
      </c>
      <c r="AE43" s="134" t="s">
        <v>317</v>
      </c>
    </row>
    <row r="44" spans="1:34" s="120" customFormat="1" hidden="1" x14ac:dyDescent="0.25">
      <c r="A44" s="149"/>
      <c r="B44" s="132"/>
      <c r="C44" s="121"/>
      <c r="D44" s="122"/>
      <c r="E44" s="128">
        <v>247850</v>
      </c>
      <c r="F44" s="128">
        <v>282309.46000000002</v>
      </c>
      <c r="G44" s="128">
        <v>315661.03999999998</v>
      </c>
      <c r="H44" s="155">
        <v>369231.19</v>
      </c>
      <c r="I44" s="155">
        <v>590159.68999999994</v>
      </c>
      <c r="J44" s="122"/>
      <c r="K44" s="122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3" t="s">
        <v>230</v>
      </c>
      <c r="AE44" s="134" t="s">
        <v>318</v>
      </c>
    </row>
    <row r="45" spans="1:34" s="120" customFormat="1" hidden="1" x14ac:dyDescent="0.25">
      <c r="A45" s="149"/>
      <c r="B45" s="132"/>
      <c r="C45" s="121"/>
      <c r="D45" s="122"/>
      <c r="E45" s="128">
        <v>0</v>
      </c>
      <c r="F45" s="128">
        <v>0</v>
      </c>
      <c r="G45" s="128">
        <v>0</v>
      </c>
      <c r="H45" s="155">
        <v>0</v>
      </c>
      <c r="I45" s="155">
        <v>0</v>
      </c>
      <c r="J45" s="122"/>
      <c r="K45" s="122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6" t="s">
        <v>231</v>
      </c>
      <c r="AE45" s="137" t="s">
        <v>319</v>
      </c>
      <c r="AH45" s="120" t="s">
        <v>499</v>
      </c>
    </row>
    <row r="46" spans="1:34" s="120" customFormat="1" hidden="1" x14ac:dyDescent="0.25">
      <c r="A46" s="149"/>
      <c r="B46" s="132"/>
      <c r="C46" s="121"/>
      <c r="D46" s="122"/>
      <c r="E46" s="128">
        <v>184693</v>
      </c>
      <c r="F46" s="128">
        <v>185394.26</v>
      </c>
      <c r="G46" s="128">
        <v>184864.53</v>
      </c>
      <c r="H46" s="155">
        <v>204832.68</v>
      </c>
      <c r="I46" s="155">
        <v>184428.11</v>
      </c>
      <c r="J46" s="122"/>
      <c r="K46" s="122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36" t="s">
        <v>233</v>
      </c>
      <c r="AE46" s="137" t="s">
        <v>321</v>
      </c>
    </row>
    <row r="47" spans="1:34" s="120" customFormat="1" hidden="1" x14ac:dyDescent="0.25">
      <c r="A47" s="149"/>
      <c r="B47" s="132"/>
      <c r="C47" s="121"/>
      <c r="D47" s="122"/>
      <c r="E47" s="128">
        <v>72684</v>
      </c>
      <c r="F47" s="128">
        <v>72331.19</v>
      </c>
      <c r="G47" s="128">
        <v>80108.66</v>
      </c>
      <c r="H47" s="155">
        <v>92534.6</v>
      </c>
      <c r="I47" s="155">
        <v>86463.27</v>
      </c>
      <c r="J47" s="122"/>
      <c r="K47" s="122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36" t="s">
        <v>234</v>
      </c>
      <c r="AE47" s="137" t="s">
        <v>322</v>
      </c>
    </row>
    <row r="48" spans="1:34" s="120" customFormat="1" hidden="1" x14ac:dyDescent="0.25">
      <c r="A48" s="149"/>
      <c r="B48" s="132"/>
      <c r="C48" s="121"/>
      <c r="D48" s="122"/>
      <c r="E48" s="128">
        <v>2070</v>
      </c>
      <c r="F48" s="128">
        <v>3851.87</v>
      </c>
      <c r="G48" s="128">
        <v>1911.3</v>
      </c>
      <c r="H48" s="155">
        <v>2613.5300000000002</v>
      </c>
      <c r="I48" s="155">
        <v>1281.69</v>
      </c>
      <c r="J48" s="122"/>
      <c r="K48" s="122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36" t="s">
        <v>235</v>
      </c>
      <c r="AE48" s="137" t="s">
        <v>323</v>
      </c>
    </row>
    <row r="49" spans="1:31" s="120" customFormat="1" hidden="1" x14ac:dyDescent="0.25">
      <c r="A49" s="149"/>
      <c r="B49" s="132"/>
      <c r="C49" s="121"/>
      <c r="D49" s="122"/>
      <c r="E49" s="128">
        <v>245265</v>
      </c>
      <c r="F49" s="128">
        <v>244523.69</v>
      </c>
      <c r="G49" s="128">
        <v>262613.38</v>
      </c>
      <c r="H49" s="155">
        <v>310795.3</v>
      </c>
      <c r="I49" s="155">
        <v>356967.36</v>
      </c>
      <c r="J49" s="122"/>
      <c r="K49" s="122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36" t="s">
        <v>236</v>
      </c>
      <c r="AE49" s="137" t="s">
        <v>324</v>
      </c>
    </row>
    <row r="50" spans="1:31" s="120" customFormat="1" hidden="1" x14ac:dyDescent="0.25">
      <c r="A50" s="149"/>
      <c r="B50" s="132"/>
      <c r="C50" s="121"/>
      <c r="D50" s="122"/>
      <c r="E50" s="128">
        <v>-504712</v>
      </c>
      <c r="F50" s="128">
        <v>-506101.01</v>
      </c>
      <c r="G50" s="128">
        <v>-529497.87</v>
      </c>
      <c r="H50" s="155">
        <v>-610778.11</v>
      </c>
      <c r="I50" s="155">
        <v>-629140.41</v>
      </c>
      <c r="J50" s="122"/>
      <c r="K50" s="122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36" t="s">
        <v>237</v>
      </c>
      <c r="AE50" s="137" t="s">
        <v>325</v>
      </c>
    </row>
    <row r="51" spans="1:31" s="120" customFormat="1" hidden="1" x14ac:dyDescent="0.25">
      <c r="A51" s="149"/>
      <c r="B51" s="132"/>
      <c r="C51" s="121"/>
      <c r="D51" s="122"/>
      <c r="E51" s="128">
        <v>121811</v>
      </c>
      <c r="F51" s="128">
        <v>117775.33</v>
      </c>
      <c r="G51" s="128">
        <v>123097.05</v>
      </c>
      <c r="H51" s="155">
        <v>144448.54999999999</v>
      </c>
      <c r="I51" s="155">
        <v>149952.69</v>
      </c>
      <c r="J51" s="122"/>
      <c r="K51" s="122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36" t="s">
        <v>238</v>
      </c>
      <c r="AE51" s="137" t="s">
        <v>326</v>
      </c>
    </row>
    <row r="52" spans="1:31" s="120" customFormat="1" hidden="1" x14ac:dyDescent="0.25">
      <c r="A52" s="149"/>
      <c r="B52" s="132"/>
      <c r="C52" s="121"/>
      <c r="D52" s="122"/>
      <c r="E52" s="128">
        <v>14215</v>
      </c>
      <c r="F52" s="128">
        <v>17773.599999999999</v>
      </c>
      <c r="G52" s="128">
        <v>17607.27</v>
      </c>
      <c r="H52" s="155">
        <v>20560.21</v>
      </c>
      <c r="I52" s="155">
        <v>20829.349999999999</v>
      </c>
      <c r="J52" s="122"/>
      <c r="K52" s="122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36" t="s">
        <v>239</v>
      </c>
      <c r="AE52" s="137" t="s">
        <v>327</v>
      </c>
    </row>
    <row r="53" spans="1:31" s="120" customFormat="1" hidden="1" x14ac:dyDescent="0.25">
      <c r="A53" s="149"/>
      <c r="B53" s="132"/>
      <c r="C53" s="121"/>
      <c r="D53" s="122"/>
      <c r="E53" s="128">
        <v>14195</v>
      </c>
      <c r="F53" s="128">
        <v>17802.2</v>
      </c>
      <c r="G53" s="128">
        <v>17591.21</v>
      </c>
      <c r="H53" s="155">
        <v>20734.5</v>
      </c>
      <c r="I53" s="155">
        <v>21429.53</v>
      </c>
      <c r="J53" s="122"/>
      <c r="K53" s="122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6" t="s">
        <v>240</v>
      </c>
      <c r="AE53" s="137" t="s">
        <v>328</v>
      </c>
    </row>
    <row r="54" spans="1:31" s="120" customFormat="1" hidden="1" x14ac:dyDescent="0.25">
      <c r="A54" s="149"/>
      <c r="B54" s="132"/>
      <c r="C54" s="121"/>
      <c r="D54" s="122"/>
      <c r="E54" s="128">
        <v>-151141</v>
      </c>
      <c r="F54" s="128">
        <v>-153351.13</v>
      </c>
      <c r="G54" s="128">
        <v>-158295.53</v>
      </c>
      <c r="H54" s="155">
        <v>-185743.26</v>
      </c>
      <c r="I54" s="155">
        <v>-192211.57</v>
      </c>
      <c r="J54" s="122"/>
      <c r="K54" s="122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36" t="s">
        <v>241</v>
      </c>
      <c r="AE54" s="137" t="s">
        <v>329</v>
      </c>
    </row>
    <row r="55" spans="1:31" s="120" customFormat="1" hidden="1" x14ac:dyDescent="0.25">
      <c r="A55" s="149"/>
      <c r="B55" s="132"/>
      <c r="C55" s="121"/>
      <c r="D55" s="122"/>
      <c r="E55" s="128">
        <v>254668</v>
      </c>
      <c r="F55" s="128">
        <v>257309.14</v>
      </c>
      <c r="G55" s="128">
        <v>264760.3</v>
      </c>
      <c r="H55" s="155">
        <v>293055.46000000002</v>
      </c>
      <c r="I55" s="155">
        <v>290485.24</v>
      </c>
      <c r="J55" s="122"/>
      <c r="K55" s="122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6" t="s">
        <v>242</v>
      </c>
      <c r="AE55" s="137" t="s">
        <v>330</v>
      </c>
    </row>
    <row r="56" spans="1:31" s="120" customFormat="1" hidden="1" x14ac:dyDescent="0.25">
      <c r="A56" s="149"/>
      <c r="B56" s="132"/>
      <c r="C56" s="121"/>
      <c r="D56" s="122"/>
      <c r="E56" s="128">
        <v>34324</v>
      </c>
      <c r="F56" s="128">
        <v>36064.15</v>
      </c>
      <c r="G56" s="128">
        <v>24210.05</v>
      </c>
      <c r="H56" s="155">
        <v>25625.49</v>
      </c>
      <c r="I56" s="155">
        <v>26438.799999999999</v>
      </c>
      <c r="J56" s="122"/>
      <c r="K56" s="122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36" t="s">
        <v>243</v>
      </c>
      <c r="AE56" s="137" t="s">
        <v>331</v>
      </c>
    </row>
    <row r="57" spans="1:31" s="120" customFormat="1" hidden="1" x14ac:dyDescent="0.25">
      <c r="A57" s="149"/>
      <c r="B57" s="132"/>
      <c r="C57" s="121"/>
      <c r="D57" s="122"/>
      <c r="E57" s="128">
        <v>35693</v>
      </c>
      <c r="F57" s="128">
        <v>36134.410000000003</v>
      </c>
      <c r="G57" s="128">
        <v>24462.400000000001</v>
      </c>
      <c r="H57" s="155">
        <v>26156.799999999999</v>
      </c>
      <c r="I57" s="155">
        <v>33618.629999999997</v>
      </c>
      <c r="J57" s="122"/>
      <c r="K57" s="122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6" t="s">
        <v>244</v>
      </c>
      <c r="AE57" s="137" t="s">
        <v>332</v>
      </c>
    </row>
    <row r="58" spans="1:31" s="120" customFormat="1" hidden="1" x14ac:dyDescent="0.25">
      <c r="A58" s="149"/>
      <c r="B58" s="132"/>
      <c r="C58" s="121"/>
      <c r="D58" s="122"/>
      <c r="E58" s="128">
        <v>-324684</v>
      </c>
      <c r="F58" s="128">
        <v>-329507.7</v>
      </c>
      <c r="G58" s="128">
        <v>-313432.75</v>
      </c>
      <c r="H58" s="155">
        <v>-344837.76</v>
      </c>
      <c r="I58" s="155">
        <v>-350542.67</v>
      </c>
      <c r="J58" s="122"/>
      <c r="K58" s="122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36" t="s">
        <v>245</v>
      </c>
      <c r="AE58" s="137" t="s">
        <v>333</v>
      </c>
    </row>
    <row r="59" spans="1:31" s="120" customFormat="1" hidden="1" x14ac:dyDescent="0.25">
      <c r="A59" s="149"/>
      <c r="B59" s="132"/>
      <c r="C59" s="121"/>
      <c r="D59" s="122"/>
      <c r="E59" s="128">
        <v>82953</v>
      </c>
      <c r="F59" s="128">
        <v>83146.22</v>
      </c>
      <c r="G59" s="128">
        <v>83846.02</v>
      </c>
      <c r="H59" s="155">
        <v>117710.13</v>
      </c>
      <c r="I59" s="155">
        <v>96132.09</v>
      </c>
      <c r="J59" s="122"/>
      <c r="K59" s="122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36" t="s">
        <v>246</v>
      </c>
      <c r="AE59" s="137" t="s">
        <v>334</v>
      </c>
    </row>
    <row r="60" spans="1:31" s="120" customFormat="1" hidden="1" x14ac:dyDescent="0.25">
      <c r="A60" s="149"/>
      <c r="B60" s="132"/>
      <c r="C60" s="121"/>
      <c r="D60" s="122"/>
      <c r="E60" s="128">
        <v>20548</v>
      </c>
      <c r="F60" s="128">
        <v>20980.07</v>
      </c>
      <c r="G60" s="128">
        <v>20777.63</v>
      </c>
      <c r="H60" s="155">
        <v>22330.29</v>
      </c>
      <c r="I60" s="155">
        <v>22951.97</v>
      </c>
      <c r="J60" s="122"/>
      <c r="K60" s="122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36" t="s">
        <v>247</v>
      </c>
      <c r="AE60" s="137" t="s">
        <v>335</v>
      </c>
    </row>
    <row r="61" spans="1:31" s="120" customFormat="1" hidden="1" x14ac:dyDescent="0.25">
      <c r="A61" s="149"/>
      <c r="B61" s="132"/>
      <c r="C61" s="121"/>
      <c r="D61" s="122"/>
      <c r="E61" s="128">
        <v>8536</v>
      </c>
      <c r="F61" s="128">
        <v>9296.65</v>
      </c>
      <c r="G61" s="128">
        <v>11574.99</v>
      </c>
      <c r="H61" s="155">
        <v>15681.75</v>
      </c>
      <c r="I61" s="155">
        <v>33722.980000000003</v>
      </c>
      <c r="J61" s="122"/>
      <c r="K61" s="122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36" t="s">
        <v>248</v>
      </c>
      <c r="AE61" s="137" t="s">
        <v>336</v>
      </c>
    </row>
    <row r="62" spans="1:31" s="120" customFormat="1" hidden="1" x14ac:dyDescent="0.25">
      <c r="A62" s="149"/>
      <c r="B62" s="132"/>
      <c r="C62" s="121"/>
      <c r="D62" s="122"/>
      <c r="E62" s="128">
        <v>197918</v>
      </c>
      <c r="F62" s="128">
        <v>258620.39</v>
      </c>
      <c r="G62" s="128">
        <v>270536.40999999997</v>
      </c>
      <c r="H62" s="155">
        <v>270517.53999999998</v>
      </c>
      <c r="I62" s="155">
        <v>276934.64</v>
      </c>
      <c r="J62" s="122"/>
      <c r="K62" s="122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36" t="s">
        <v>249</v>
      </c>
      <c r="AE62" s="137" t="s">
        <v>337</v>
      </c>
    </row>
    <row r="63" spans="1:31" s="120" customFormat="1" hidden="1" x14ac:dyDescent="0.25">
      <c r="A63" s="149"/>
      <c r="B63" s="132"/>
      <c r="C63" s="121"/>
      <c r="D63" s="122"/>
      <c r="E63" s="128">
        <v>44068</v>
      </c>
      <c r="F63" s="128">
        <v>46839.49</v>
      </c>
      <c r="G63" s="128">
        <v>48326.34</v>
      </c>
      <c r="H63" s="155">
        <v>57052.46</v>
      </c>
      <c r="I63" s="155">
        <v>59096.65</v>
      </c>
      <c r="J63" s="122"/>
      <c r="K63" s="122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36" t="s">
        <v>250</v>
      </c>
      <c r="AE63" s="137" t="s">
        <v>338</v>
      </c>
    </row>
    <row r="64" spans="1:31" s="120" customFormat="1" hidden="1" x14ac:dyDescent="0.25">
      <c r="A64" s="149"/>
      <c r="B64" s="132"/>
      <c r="C64" s="121"/>
      <c r="D64" s="122"/>
      <c r="E64" s="128">
        <v>4061</v>
      </c>
      <c r="F64" s="128">
        <v>3768.79</v>
      </c>
      <c r="G64" s="128">
        <v>1770.58</v>
      </c>
      <c r="H64" s="155">
        <v>250.16</v>
      </c>
      <c r="I64" s="155">
        <v>254.88</v>
      </c>
      <c r="J64" s="122"/>
      <c r="K64" s="122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36" t="s">
        <v>251</v>
      </c>
      <c r="AE64" s="137" t="s">
        <v>339</v>
      </c>
    </row>
    <row r="65" spans="1:34" s="120" customFormat="1" hidden="1" x14ac:dyDescent="0.25">
      <c r="A65" s="149"/>
      <c r="B65" s="132"/>
      <c r="C65" s="121"/>
      <c r="D65" s="122"/>
      <c r="E65" s="128">
        <v>65923</v>
      </c>
      <c r="F65" s="128">
        <v>70402.86</v>
      </c>
      <c r="G65" s="128">
        <v>81859.45</v>
      </c>
      <c r="H65" s="155">
        <v>87033.24</v>
      </c>
      <c r="I65" s="155">
        <v>104613.32</v>
      </c>
      <c r="J65" s="122"/>
      <c r="K65" s="122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36" t="s">
        <v>252</v>
      </c>
      <c r="AE65" s="137" t="s">
        <v>340</v>
      </c>
    </row>
    <row r="66" spans="1:34" s="120" customFormat="1" hidden="1" x14ac:dyDescent="0.25">
      <c r="A66" s="149"/>
      <c r="B66" s="132"/>
      <c r="C66" s="121"/>
      <c r="D66" s="122"/>
      <c r="E66" s="128">
        <v>23329</v>
      </c>
      <c r="F66" s="128">
        <v>28131.5</v>
      </c>
      <c r="G66" s="128">
        <v>35982.39</v>
      </c>
      <c r="H66" s="155">
        <v>28555.57</v>
      </c>
      <c r="I66" s="155">
        <v>12872.02</v>
      </c>
      <c r="J66" s="122"/>
      <c r="K66" s="122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36" t="s">
        <v>253</v>
      </c>
      <c r="AE66" s="137" t="s">
        <v>341</v>
      </c>
    </row>
    <row r="67" spans="1:34" s="120" customFormat="1" hidden="1" x14ac:dyDescent="0.25">
      <c r="A67" s="149"/>
      <c r="B67" s="132"/>
      <c r="C67" s="121"/>
      <c r="D67" s="122"/>
      <c r="E67" s="128">
        <v>46674</v>
      </c>
      <c r="F67" s="128">
        <v>43154.8</v>
      </c>
      <c r="G67" s="128">
        <v>47303.59</v>
      </c>
      <c r="H67" s="155">
        <v>53740.5</v>
      </c>
      <c r="I67" s="155">
        <v>56160.82</v>
      </c>
      <c r="J67" s="122"/>
      <c r="K67" s="122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36" t="s">
        <v>254</v>
      </c>
      <c r="AE67" s="137" t="s">
        <v>342</v>
      </c>
    </row>
    <row r="68" spans="1:34" s="120" customFormat="1" hidden="1" x14ac:dyDescent="0.25">
      <c r="A68" s="149"/>
      <c r="B68" s="132"/>
      <c r="C68" s="121"/>
      <c r="D68" s="122"/>
      <c r="E68" s="128">
        <v>-593942</v>
      </c>
      <c r="F68" s="128">
        <v>-611195.77</v>
      </c>
      <c r="G68" s="128">
        <v>-603087.4</v>
      </c>
      <c r="H68" s="155">
        <v>-686264.63</v>
      </c>
      <c r="I68" s="155">
        <v>-679859.01</v>
      </c>
      <c r="J68" s="122"/>
      <c r="K68" s="122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36" t="s">
        <v>255</v>
      </c>
      <c r="AE68" s="137" t="s">
        <v>343</v>
      </c>
    </row>
    <row r="69" spans="1:34" s="120" customFormat="1" hidden="1" x14ac:dyDescent="0.25">
      <c r="A69" s="149"/>
      <c r="B69" s="132"/>
      <c r="C69" s="121"/>
      <c r="D69" s="122"/>
      <c r="E69" s="128"/>
      <c r="F69" s="128"/>
      <c r="G69" s="128"/>
      <c r="H69" s="155">
        <v>1212.22</v>
      </c>
      <c r="I69" s="155">
        <v>1224.1600000000001</v>
      </c>
      <c r="J69" s="122"/>
      <c r="K69" s="122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36" t="s">
        <v>415</v>
      </c>
      <c r="AE69" s="137" t="s">
        <v>416</v>
      </c>
      <c r="AH69" s="120" t="s">
        <v>495</v>
      </c>
    </row>
    <row r="70" spans="1:34" s="120" customFormat="1" hidden="1" x14ac:dyDescent="0.25">
      <c r="A70" s="149"/>
      <c r="B70" s="132"/>
      <c r="C70" s="121"/>
      <c r="D70" s="122"/>
      <c r="E70" s="128">
        <v>41943</v>
      </c>
      <c r="F70" s="128">
        <v>36893.949999999997</v>
      </c>
      <c r="G70" s="128">
        <v>-36325.42</v>
      </c>
      <c r="H70" s="155">
        <v>16519.32</v>
      </c>
      <c r="I70" s="155">
        <v>15000</v>
      </c>
      <c r="J70" s="122"/>
      <c r="K70" s="122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36" t="s">
        <v>256</v>
      </c>
      <c r="AE70" s="137" t="s">
        <v>344</v>
      </c>
    </row>
    <row r="71" spans="1:34" s="120" customFormat="1" hidden="1" x14ac:dyDescent="0.25">
      <c r="A71" s="149"/>
      <c r="B71" s="132"/>
      <c r="C71" s="121"/>
      <c r="D71" s="122"/>
      <c r="E71" s="128">
        <v>23531</v>
      </c>
      <c r="F71" s="128">
        <v>26634.94</v>
      </c>
      <c r="G71" s="128">
        <v>42908.79</v>
      </c>
      <c r="H71" s="155">
        <v>45314.78</v>
      </c>
      <c r="I71" s="155">
        <v>48968.23</v>
      </c>
      <c r="J71" s="122"/>
      <c r="K71" s="122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36" t="s">
        <v>257</v>
      </c>
      <c r="AE71" s="137" t="s">
        <v>345</v>
      </c>
    </row>
    <row r="72" spans="1:34" s="120" customFormat="1" hidden="1" x14ac:dyDescent="0.25">
      <c r="A72" s="149"/>
      <c r="B72" s="132"/>
      <c r="C72" s="121"/>
      <c r="D72" s="122"/>
      <c r="E72" s="128">
        <v>5482</v>
      </c>
      <c r="F72" s="128">
        <v>6130.98</v>
      </c>
      <c r="G72" s="128">
        <v>17850.96</v>
      </c>
      <c r="H72" s="155">
        <v>20869.72</v>
      </c>
      <c r="I72" s="155">
        <v>19425.78</v>
      </c>
      <c r="J72" s="122"/>
      <c r="K72" s="122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36" t="s">
        <v>258</v>
      </c>
      <c r="AE72" s="137" t="s">
        <v>346</v>
      </c>
    </row>
    <row r="73" spans="1:34" s="120" customFormat="1" hidden="1" x14ac:dyDescent="0.25">
      <c r="A73" s="149"/>
      <c r="B73" s="132"/>
      <c r="C73" s="121"/>
      <c r="D73" s="122"/>
      <c r="E73" s="128">
        <v>53027</v>
      </c>
      <c r="F73" s="128">
        <v>52034.14</v>
      </c>
      <c r="G73" s="128">
        <v>44817.4</v>
      </c>
      <c r="H73" s="155">
        <v>44074.21</v>
      </c>
      <c r="I73" s="155">
        <v>50744.5</v>
      </c>
      <c r="J73" s="122"/>
      <c r="K73" s="122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36" t="s">
        <v>259</v>
      </c>
      <c r="AE73" s="137" t="s">
        <v>347</v>
      </c>
    </row>
    <row r="74" spans="1:34" s="120" customFormat="1" hidden="1" x14ac:dyDescent="0.25">
      <c r="A74" s="149"/>
      <c r="B74" s="132"/>
      <c r="C74" s="121"/>
      <c r="D74" s="122"/>
      <c r="E74" s="128">
        <v>0</v>
      </c>
      <c r="F74" s="128">
        <v>0</v>
      </c>
      <c r="G74" s="128">
        <v>0</v>
      </c>
      <c r="H74" s="155">
        <v>0</v>
      </c>
      <c r="I74" s="155"/>
      <c r="J74" s="122"/>
      <c r="K74" s="122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36" t="s">
        <v>260</v>
      </c>
      <c r="AE74" s="137" t="s">
        <v>348</v>
      </c>
      <c r="AH74" s="120" t="s">
        <v>499</v>
      </c>
    </row>
    <row r="75" spans="1:34" s="120" customFormat="1" hidden="1" x14ac:dyDescent="0.25">
      <c r="A75" s="149"/>
      <c r="B75" s="132"/>
      <c r="C75" s="121"/>
      <c r="D75" s="122"/>
      <c r="E75" s="128">
        <v>12411</v>
      </c>
      <c r="F75" s="128">
        <v>12542.97</v>
      </c>
      <c r="G75" s="128">
        <v>4637.6099999999997</v>
      </c>
      <c r="H75" s="155">
        <v>18025.099999999999</v>
      </c>
      <c r="I75" s="155">
        <v>12869.15</v>
      </c>
      <c r="J75" s="122"/>
      <c r="K75" s="122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36" t="s">
        <v>261</v>
      </c>
      <c r="AE75" s="137" t="s">
        <v>349</v>
      </c>
    </row>
    <row r="76" spans="1:34" s="120" customFormat="1" hidden="1" x14ac:dyDescent="0.25">
      <c r="A76" s="149"/>
      <c r="B76" s="132"/>
      <c r="C76" s="121"/>
      <c r="D76" s="122"/>
      <c r="E76" s="128">
        <v>-136684</v>
      </c>
      <c r="F76" s="128">
        <v>-130038.98</v>
      </c>
      <c r="G76" s="128">
        <v>-154875.24</v>
      </c>
      <c r="H76" s="155">
        <v>-139918.13</v>
      </c>
      <c r="I76" s="155">
        <v>-143183.44</v>
      </c>
      <c r="J76" s="122"/>
      <c r="K76" s="122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36" t="s">
        <v>262</v>
      </c>
      <c r="AE76" s="137" t="s">
        <v>350</v>
      </c>
    </row>
    <row r="77" spans="1:34" s="120" customFormat="1" hidden="1" x14ac:dyDescent="0.25">
      <c r="A77" s="149"/>
      <c r="B77" s="132"/>
      <c r="C77" s="121"/>
      <c r="D77" s="122"/>
      <c r="E77" s="128">
        <v>8966</v>
      </c>
      <c r="F77" s="128">
        <v>11586.85</v>
      </c>
      <c r="G77" s="128">
        <v>11657.98</v>
      </c>
      <c r="H77" s="155">
        <v>12070.74</v>
      </c>
      <c r="I77" s="155">
        <v>12659.06</v>
      </c>
      <c r="J77" s="122"/>
      <c r="K77" s="122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36" t="s">
        <v>263</v>
      </c>
      <c r="AE77" s="137" t="s">
        <v>351</v>
      </c>
    </row>
    <row r="78" spans="1:34" s="120" customFormat="1" hidden="1" x14ac:dyDescent="0.25">
      <c r="A78" s="149"/>
      <c r="B78" s="132"/>
      <c r="C78" s="121"/>
      <c r="D78" s="122"/>
      <c r="E78" s="128">
        <v>16403</v>
      </c>
      <c r="F78" s="128">
        <v>16419.310000000001</v>
      </c>
      <c r="G78" s="128">
        <v>15246.12</v>
      </c>
      <c r="H78" s="155">
        <v>19038.96</v>
      </c>
      <c r="I78" s="155">
        <v>17185.88</v>
      </c>
      <c r="J78" s="122"/>
      <c r="K78" s="122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36" t="s">
        <v>264</v>
      </c>
      <c r="AE78" s="137" t="s">
        <v>352</v>
      </c>
    </row>
    <row r="79" spans="1:34" s="120" customFormat="1" hidden="1" x14ac:dyDescent="0.25">
      <c r="A79" s="149"/>
      <c r="B79" s="132"/>
      <c r="C79" s="121"/>
      <c r="D79" s="122"/>
      <c r="E79" s="128"/>
      <c r="F79" s="128"/>
      <c r="G79" s="128"/>
      <c r="H79" s="155"/>
      <c r="I79" s="155">
        <v>890.15</v>
      </c>
      <c r="J79" s="122"/>
      <c r="K79" s="122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6" t="s">
        <v>408</v>
      </c>
      <c r="AE79" s="137" t="s">
        <v>409</v>
      </c>
    </row>
    <row r="80" spans="1:34" s="120" customFormat="1" hidden="1" x14ac:dyDescent="0.25">
      <c r="A80" s="149"/>
      <c r="B80" s="132"/>
      <c r="C80" s="121"/>
      <c r="D80" s="122"/>
      <c r="E80" s="128">
        <v>4515</v>
      </c>
      <c r="F80" s="128">
        <v>6351.52</v>
      </c>
      <c r="G80" s="128">
        <v>5371.69</v>
      </c>
      <c r="H80" s="155">
        <v>3880.8</v>
      </c>
      <c r="I80" s="155">
        <v>2419.1999999999998</v>
      </c>
      <c r="J80" s="122"/>
      <c r="K80" s="122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6" t="s">
        <v>265</v>
      </c>
      <c r="AE80" s="137" t="s">
        <v>353</v>
      </c>
    </row>
    <row r="81" spans="1:34" s="120" customFormat="1" hidden="1" x14ac:dyDescent="0.25">
      <c r="A81" s="149"/>
      <c r="B81" s="132"/>
      <c r="C81" s="121"/>
      <c r="D81" s="122"/>
      <c r="E81" s="128">
        <v>137</v>
      </c>
      <c r="F81" s="128">
        <v>521.11</v>
      </c>
      <c r="G81" s="128">
        <v>3495.42</v>
      </c>
      <c r="H81" s="155">
        <v>4903.04</v>
      </c>
      <c r="I81" s="155">
        <v>4212.0200000000004</v>
      </c>
      <c r="J81" s="122"/>
      <c r="K81" s="122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36" t="s">
        <v>266</v>
      </c>
      <c r="AE81" s="137" t="s">
        <v>354</v>
      </c>
    </row>
    <row r="82" spans="1:34" s="120" customFormat="1" hidden="1" x14ac:dyDescent="0.25">
      <c r="A82" s="149"/>
      <c r="B82" s="132"/>
      <c r="C82" s="121"/>
      <c r="D82" s="122"/>
      <c r="E82" s="128">
        <v>2666</v>
      </c>
      <c r="F82" s="128">
        <v>3293</v>
      </c>
      <c r="G82" s="128">
        <v>3796.08</v>
      </c>
      <c r="H82" s="155">
        <v>4362.75</v>
      </c>
      <c r="I82" s="155">
        <v>4915.62</v>
      </c>
      <c r="J82" s="122"/>
      <c r="K82" s="122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36" t="s">
        <v>267</v>
      </c>
      <c r="AE82" s="137" t="s">
        <v>355</v>
      </c>
    </row>
    <row r="83" spans="1:34" s="120" customFormat="1" hidden="1" x14ac:dyDescent="0.25">
      <c r="A83" s="149"/>
      <c r="B83" s="132"/>
      <c r="C83" s="121"/>
      <c r="D83" s="122"/>
      <c r="E83" s="128">
        <v>1160</v>
      </c>
      <c r="F83" s="128">
        <v>1844</v>
      </c>
      <c r="G83" s="128">
        <v>2490</v>
      </c>
      <c r="H83" s="155">
        <v>2961.14</v>
      </c>
      <c r="I83" s="155">
        <v>3641</v>
      </c>
      <c r="J83" s="122"/>
      <c r="K83" s="122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36" t="s">
        <v>268</v>
      </c>
      <c r="AE83" s="137" t="s">
        <v>356</v>
      </c>
    </row>
    <row r="84" spans="1:34" s="120" customFormat="1" hidden="1" x14ac:dyDescent="0.25">
      <c r="A84" s="149"/>
      <c r="B84" s="132"/>
      <c r="C84" s="121"/>
      <c r="D84" s="122"/>
      <c r="E84" s="128"/>
      <c r="F84" s="128">
        <v>5000</v>
      </c>
      <c r="G84" s="128">
        <v>0</v>
      </c>
      <c r="H84" s="155">
        <v>0</v>
      </c>
      <c r="I84" s="155">
        <v>0</v>
      </c>
      <c r="J84" s="122"/>
      <c r="K84" s="122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36" t="s">
        <v>405</v>
      </c>
      <c r="AE84" s="137" t="s">
        <v>406</v>
      </c>
      <c r="AH84" s="120" t="s">
        <v>499</v>
      </c>
    </row>
    <row r="85" spans="1:34" s="120" customFormat="1" hidden="1" x14ac:dyDescent="0.25">
      <c r="A85" s="149"/>
      <c r="B85" s="132"/>
      <c r="C85" s="121"/>
      <c r="D85" s="122"/>
      <c r="E85" s="128">
        <v>623</v>
      </c>
      <c r="F85" s="128">
        <v>179</v>
      </c>
      <c r="G85" s="128">
        <v>143.9</v>
      </c>
      <c r="H85" s="155">
        <v>0</v>
      </c>
      <c r="I85" s="155">
        <v>0</v>
      </c>
      <c r="J85" s="122"/>
      <c r="K85" s="122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36" t="s">
        <v>269</v>
      </c>
      <c r="AE85" s="137" t="s">
        <v>357</v>
      </c>
      <c r="AH85" s="120" t="s">
        <v>499</v>
      </c>
    </row>
    <row r="86" spans="1:34" s="120" customFormat="1" hidden="1" x14ac:dyDescent="0.25">
      <c r="A86" s="149"/>
      <c r="B86" s="132"/>
      <c r="C86" s="121"/>
      <c r="D86" s="122"/>
      <c r="E86" s="128">
        <v>-34931</v>
      </c>
      <c r="F86" s="128">
        <v>-43021.79</v>
      </c>
      <c r="G86" s="128">
        <v>-62015.75</v>
      </c>
      <c r="H86" s="155">
        <v>-46598.43</v>
      </c>
      <c r="I86" s="155">
        <v>-44735.98</v>
      </c>
      <c r="J86" s="122"/>
      <c r="K86" s="122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36" t="s">
        <v>270</v>
      </c>
      <c r="AE86" s="137" t="s">
        <v>358</v>
      </c>
    </row>
    <row r="87" spans="1:34" s="120" customFormat="1" hidden="1" x14ac:dyDescent="0.25">
      <c r="A87" s="149"/>
      <c r="B87" s="132"/>
      <c r="C87" s="121"/>
      <c r="D87" s="122"/>
      <c r="E87" s="128">
        <v>18179</v>
      </c>
      <c r="F87" s="128">
        <v>21121.55</v>
      </c>
      <c r="G87" s="128">
        <v>22155.52</v>
      </c>
      <c r="H87" s="155">
        <v>29247.75</v>
      </c>
      <c r="I87" s="155">
        <v>23620.05</v>
      </c>
      <c r="J87" s="122"/>
      <c r="K87" s="122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36" t="s">
        <v>271</v>
      </c>
      <c r="AE87" s="137" t="s">
        <v>359</v>
      </c>
    </row>
    <row r="88" spans="1:34" s="120" customFormat="1" hidden="1" x14ac:dyDescent="0.25">
      <c r="A88" s="149"/>
      <c r="B88" s="132"/>
      <c r="C88" s="121"/>
      <c r="D88" s="122"/>
      <c r="E88" s="128">
        <v>2373</v>
      </c>
      <c r="F88" s="128">
        <v>566</v>
      </c>
      <c r="G88" s="128">
        <v>595</v>
      </c>
      <c r="H88" s="155">
        <v>320</v>
      </c>
      <c r="I88" s="155">
        <v>350</v>
      </c>
      <c r="J88" s="122"/>
      <c r="K88" s="122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36" t="s">
        <v>272</v>
      </c>
      <c r="AE88" s="137" t="s">
        <v>360</v>
      </c>
    </row>
    <row r="89" spans="1:34" s="120" customFormat="1" hidden="1" x14ac:dyDescent="0.25">
      <c r="A89" s="149"/>
      <c r="B89" s="132"/>
      <c r="C89" s="121"/>
      <c r="D89" s="122"/>
      <c r="E89" s="128">
        <v>14959</v>
      </c>
      <c r="F89" s="128">
        <v>6440.7</v>
      </c>
      <c r="G89" s="128">
        <v>5031.7</v>
      </c>
      <c r="H89" s="155">
        <v>2144</v>
      </c>
      <c r="I89" s="155">
        <v>2950.7</v>
      </c>
      <c r="J89" s="122"/>
      <c r="K89" s="122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36" t="s">
        <v>273</v>
      </c>
      <c r="AE89" s="137" t="s">
        <v>361</v>
      </c>
    </row>
    <row r="90" spans="1:34" s="120" customFormat="1" hidden="1" x14ac:dyDescent="0.25">
      <c r="A90" s="149"/>
      <c r="B90" s="132"/>
      <c r="C90" s="121"/>
      <c r="D90" s="122"/>
      <c r="E90" s="128"/>
      <c r="F90" s="128"/>
      <c r="G90" s="128"/>
      <c r="H90" s="155">
        <v>325.89</v>
      </c>
      <c r="I90" s="155">
        <v>10574.95</v>
      </c>
      <c r="J90" s="122"/>
      <c r="K90" s="122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36" t="s">
        <v>417</v>
      </c>
      <c r="AE90" s="137" t="s">
        <v>418</v>
      </c>
      <c r="AH90" s="120" t="s">
        <v>495</v>
      </c>
    </row>
    <row r="91" spans="1:34" s="120" customFormat="1" hidden="1" x14ac:dyDescent="0.25">
      <c r="A91" s="149"/>
      <c r="B91" s="132"/>
      <c r="C91" s="121"/>
      <c r="D91" s="122"/>
      <c r="E91" s="128">
        <v>5318</v>
      </c>
      <c r="F91" s="128">
        <v>6056.66</v>
      </c>
      <c r="G91" s="128">
        <v>9403.6</v>
      </c>
      <c r="H91" s="155">
        <v>10254.32</v>
      </c>
      <c r="I91" s="155">
        <v>28609.8</v>
      </c>
      <c r="J91" s="122"/>
      <c r="K91" s="122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36" t="s">
        <v>274</v>
      </c>
      <c r="AE91" s="137" t="s">
        <v>362</v>
      </c>
    </row>
    <row r="92" spans="1:34" s="120" customFormat="1" hidden="1" x14ac:dyDescent="0.25">
      <c r="A92" s="149"/>
      <c r="B92" s="132"/>
      <c r="C92" s="121"/>
      <c r="D92" s="122"/>
      <c r="E92" s="128">
        <v>2912</v>
      </c>
      <c r="F92" s="128">
        <v>42500.84</v>
      </c>
      <c r="G92" s="128">
        <v>9589.5400000000009</v>
      </c>
      <c r="H92" s="155">
        <v>81648.38</v>
      </c>
      <c r="I92" s="155">
        <v>19269.52</v>
      </c>
      <c r="J92" s="122"/>
      <c r="K92" s="122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36" t="s">
        <v>275</v>
      </c>
      <c r="AE92" s="137" t="s">
        <v>363</v>
      </c>
    </row>
    <row r="93" spans="1:34" s="120" customFormat="1" hidden="1" x14ac:dyDescent="0.25">
      <c r="A93" s="149"/>
      <c r="B93" s="132"/>
      <c r="C93" s="121"/>
      <c r="D93" s="122"/>
      <c r="E93" s="128">
        <v>5107</v>
      </c>
      <c r="F93" s="128">
        <v>4642.58</v>
      </c>
      <c r="G93" s="128">
        <v>6239.36</v>
      </c>
      <c r="H93" s="155">
        <v>6312.68</v>
      </c>
      <c r="I93" s="155">
        <v>9389.58</v>
      </c>
      <c r="J93" s="122"/>
      <c r="K93" s="122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36" t="s">
        <v>276</v>
      </c>
      <c r="AE93" s="137" t="s">
        <v>364</v>
      </c>
    </row>
    <row r="94" spans="1:34" s="120" customFormat="1" hidden="1" x14ac:dyDescent="0.25">
      <c r="A94" s="149"/>
      <c r="B94" s="132"/>
      <c r="C94" s="121"/>
      <c r="D94" s="122"/>
      <c r="E94" s="128">
        <v>12565</v>
      </c>
      <c r="F94" s="128">
        <v>14712.74</v>
      </c>
      <c r="G94" s="128">
        <v>15238.57</v>
      </c>
      <c r="H94" s="155">
        <v>19727.96</v>
      </c>
      <c r="I94" s="155">
        <v>22058.799999999999</v>
      </c>
      <c r="J94" s="122"/>
      <c r="K94" s="122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36" t="s">
        <v>277</v>
      </c>
      <c r="AE94" s="137" t="s">
        <v>365</v>
      </c>
    </row>
    <row r="95" spans="1:34" s="120" customFormat="1" hidden="1" x14ac:dyDescent="0.25">
      <c r="A95" s="149"/>
      <c r="B95" s="132"/>
      <c r="C95" s="121"/>
      <c r="D95" s="122"/>
      <c r="E95" s="128">
        <v>27336</v>
      </c>
      <c r="F95" s="128">
        <v>17413.48</v>
      </c>
      <c r="G95" s="128">
        <v>751.09</v>
      </c>
      <c r="H95" s="155">
        <v>967.71</v>
      </c>
      <c r="I95" s="155">
        <v>1962.08</v>
      </c>
      <c r="J95" s="122"/>
      <c r="K95" s="122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36" t="s">
        <v>278</v>
      </c>
      <c r="AE95" s="137" t="s">
        <v>366</v>
      </c>
    </row>
    <row r="96" spans="1:34" s="120" customFormat="1" hidden="1" x14ac:dyDescent="0.25">
      <c r="A96" s="149"/>
      <c r="B96" s="132"/>
      <c r="C96" s="121"/>
      <c r="D96" s="122"/>
      <c r="E96" s="128">
        <v>15078</v>
      </c>
      <c r="F96" s="128">
        <v>15419.13</v>
      </c>
      <c r="G96" s="128">
        <v>14896.62</v>
      </c>
      <c r="H96" s="155">
        <v>13740.42</v>
      </c>
      <c r="I96" s="155">
        <v>10535.8</v>
      </c>
      <c r="J96" s="122"/>
      <c r="K96" s="122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36" t="s">
        <v>279</v>
      </c>
      <c r="AE96" s="137" t="s">
        <v>367</v>
      </c>
    </row>
    <row r="97" spans="1:34" s="120" customFormat="1" hidden="1" x14ac:dyDescent="0.25">
      <c r="A97" s="149"/>
      <c r="B97" s="132"/>
      <c r="C97" s="121"/>
      <c r="D97" s="122"/>
      <c r="E97" s="128">
        <v>8603</v>
      </c>
      <c r="F97" s="128">
        <v>23355.119999999999</v>
      </c>
      <c r="G97" s="128">
        <v>-2505.0500000000002</v>
      </c>
      <c r="H97" s="155">
        <v>17556.990000000002</v>
      </c>
      <c r="I97" s="155">
        <v>8373.58</v>
      </c>
      <c r="J97" s="122"/>
      <c r="K97" s="122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36" t="s">
        <v>280</v>
      </c>
      <c r="AE97" s="137" t="s">
        <v>368</v>
      </c>
    </row>
    <row r="98" spans="1:34" s="120" customFormat="1" hidden="1" x14ac:dyDescent="0.25">
      <c r="A98" s="149"/>
      <c r="B98" s="132"/>
      <c r="C98" s="121"/>
      <c r="D98" s="122"/>
      <c r="E98" s="128">
        <v>29040</v>
      </c>
      <c r="F98" s="128">
        <v>29818.68</v>
      </c>
      <c r="G98" s="128">
        <v>12114.48</v>
      </c>
      <c r="H98" s="155">
        <v>22860.28</v>
      </c>
      <c r="I98" s="155">
        <v>18545.91</v>
      </c>
      <c r="J98" s="122"/>
      <c r="K98" s="122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36" t="s">
        <v>281</v>
      </c>
      <c r="AE98" s="137" t="s">
        <v>369</v>
      </c>
    </row>
    <row r="99" spans="1:34" s="120" customFormat="1" hidden="1" x14ac:dyDescent="0.25">
      <c r="A99" s="149"/>
      <c r="B99" s="132"/>
      <c r="C99" s="121"/>
      <c r="D99" s="122"/>
      <c r="E99" s="128">
        <v>444</v>
      </c>
      <c r="F99" s="128">
        <v>207.46</v>
      </c>
      <c r="G99" s="128">
        <v>417.91</v>
      </c>
      <c r="H99" s="155">
        <v>256.72000000000003</v>
      </c>
      <c r="I99" s="155">
        <v>64.260000000000005</v>
      </c>
      <c r="J99" s="122"/>
      <c r="K99" s="122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36" t="s">
        <v>282</v>
      </c>
      <c r="AE99" s="137" t="s">
        <v>370</v>
      </c>
    </row>
    <row r="100" spans="1:34" s="120" customFormat="1" hidden="1" x14ac:dyDescent="0.25">
      <c r="A100" s="149"/>
      <c r="B100" s="132"/>
      <c r="C100" s="121"/>
      <c r="D100" s="122"/>
      <c r="E100" s="128">
        <v>16489</v>
      </c>
      <c r="F100" s="128">
        <v>20528.87</v>
      </c>
      <c r="G100" s="128">
        <v>22712.2</v>
      </c>
      <c r="H100" s="155">
        <v>19207.25</v>
      </c>
      <c r="I100" s="155">
        <v>20013.87</v>
      </c>
      <c r="J100" s="122"/>
      <c r="K100" s="122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36" t="s">
        <v>283</v>
      </c>
      <c r="AE100" s="137" t="s">
        <v>371</v>
      </c>
    </row>
    <row r="101" spans="1:34" s="120" customFormat="1" hidden="1" x14ac:dyDescent="0.25">
      <c r="A101" s="149"/>
      <c r="B101" s="132"/>
      <c r="C101" s="121"/>
      <c r="D101" s="122"/>
      <c r="E101" s="128">
        <v>47806</v>
      </c>
      <c r="F101" s="128">
        <v>54435.94</v>
      </c>
      <c r="G101" s="128">
        <v>52240.41</v>
      </c>
      <c r="H101" s="155">
        <v>55517.15</v>
      </c>
      <c r="I101" s="155">
        <v>54001.440000000002</v>
      </c>
      <c r="J101" s="122"/>
      <c r="K101" s="122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36" t="s">
        <v>284</v>
      </c>
      <c r="AE101" s="137" t="s">
        <v>372</v>
      </c>
    </row>
    <row r="102" spans="1:34" s="120" customFormat="1" hidden="1" x14ac:dyDescent="0.25">
      <c r="A102" s="149"/>
      <c r="B102" s="132"/>
      <c r="C102" s="121"/>
      <c r="D102" s="122"/>
      <c r="E102" s="128">
        <v>6124</v>
      </c>
      <c r="F102" s="128">
        <v>6643.6</v>
      </c>
      <c r="G102" s="128">
        <v>6628.13</v>
      </c>
      <c r="H102" s="155">
        <v>6474.83</v>
      </c>
      <c r="I102" s="155">
        <v>5848.14</v>
      </c>
      <c r="J102" s="122"/>
      <c r="K102" s="122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36" t="s">
        <v>285</v>
      </c>
      <c r="AE102" s="137" t="s">
        <v>373</v>
      </c>
    </row>
    <row r="103" spans="1:34" s="120" customFormat="1" hidden="1" x14ac:dyDescent="0.25">
      <c r="A103" s="149"/>
      <c r="B103" s="132"/>
      <c r="C103" s="121"/>
      <c r="D103" s="122"/>
      <c r="E103" s="128">
        <v>30487</v>
      </c>
      <c r="F103" s="128">
        <v>3091</v>
      </c>
      <c r="G103" s="128">
        <v>7751.67</v>
      </c>
      <c r="H103" s="155">
        <v>14348.24</v>
      </c>
      <c r="I103" s="155">
        <v>11467.39</v>
      </c>
      <c r="J103" s="122"/>
      <c r="K103" s="122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36" t="s">
        <v>286</v>
      </c>
      <c r="AE103" s="137" t="s">
        <v>374</v>
      </c>
    </row>
    <row r="104" spans="1:34" s="120" customFormat="1" hidden="1" x14ac:dyDescent="0.25">
      <c r="A104" s="149"/>
      <c r="B104" s="132"/>
      <c r="C104" s="121"/>
      <c r="D104" s="122"/>
      <c r="E104" s="128">
        <v>17465</v>
      </c>
      <c r="F104" s="128">
        <v>8080.25</v>
      </c>
      <c r="G104" s="128">
        <v>9050.1</v>
      </c>
      <c r="H104" s="155">
        <v>14173.11</v>
      </c>
      <c r="I104" s="155">
        <v>10176.129999999999</v>
      </c>
      <c r="J104" s="122"/>
      <c r="K104" s="122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36" t="s">
        <v>287</v>
      </c>
      <c r="AE104" s="137" t="s">
        <v>375</v>
      </c>
    </row>
    <row r="105" spans="1:34" s="120" customFormat="1" hidden="1" x14ac:dyDescent="0.25">
      <c r="A105" s="149"/>
      <c r="B105" s="132"/>
      <c r="C105" s="121"/>
      <c r="D105" s="122"/>
      <c r="E105" s="128">
        <v>225157</v>
      </c>
      <c r="F105" s="128">
        <v>183456</v>
      </c>
      <c r="G105" s="128">
        <v>191519</v>
      </c>
      <c r="H105" s="155">
        <v>183768</v>
      </c>
      <c r="I105" s="155">
        <v>184039</v>
      </c>
      <c r="J105" s="122"/>
      <c r="K105" s="122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36" t="s">
        <v>288</v>
      </c>
      <c r="AE105" s="137" t="s">
        <v>376</v>
      </c>
    </row>
    <row r="106" spans="1:34" s="120" customFormat="1" hidden="1" x14ac:dyDescent="0.25">
      <c r="A106" s="149"/>
      <c r="B106" s="132"/>
      <c r="C106" s="121"/>
      <c r="D106" s="122"/>
      <c r="E106" s="128">
        <v>0</v>
      </c>
      <c r="F106" s="128">
        <v>480.81</v>
      </c>
      <c r="G106" s="128">
        <v>7169</v>
      </c>
      <c r="H106" s="155">
        <v>3030</v>
      </c>
      <c r="I106" s="155">
        <v>6708.57</v>
      </c>
      <c r="J106" s="122"/>
      <c r="K106" s="122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36" t="s">
        <v>289</v>
      </c>
      <c r="AE106" s="137" t="s">
        <v>377</v>
      </c>
    </row>
    <row r="107" spans="1:34" s="120" customFormat="1" hidden="1" x14ac:dyDescent="0.25">
      <c r="A107" s="149"/>
      <c r="B107" s="132"/>
      <c r="C107" s="121"/>
      <c r="D107" s="122"/>
      <c r="E107" s="128">
        <v>-49736</v>
      </c>
      <c r="F107" s="128">
        <v>-48551.92</v>
      </c>
      <c r="G107" s="128">
        <v>-46370.83</v>
      </c>
      <c r="H107" s="155">
        <v>-34606.980000000003</v>
      </c>
      <c r="I107" s="155">
        <v>-35301.730000000003</v>
      </c>
      <c r="J107" s="122"/>
      <c r="K107" s="122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36" t="s">
        <v>290</v>
      </c>
      <c r="AE107" s="137" t="s">
        <v>378</v>
      </c>
    </row>
    <row r="108" spans="1:34" s="120" customFormat="1" hidden="1" x14ac:dyDescent="0.25">
      <c r="A108" s="149"/>
      <c r="B108" s="132"/>
      <c r="C108" s="121"/>
      <c r="D108" s="122"/>
      <c r="E108" s="128">
        <v>619</v>
      </c>
      <c r="F108" s="128">
        <v>-501</v>
      </c>
      <c r="G108" s="128">
        <v>149.19999999999999</v>
      </c>
      <c r="H108" s="155">
        <v>852.32</v>
      </c>
      <c r="I108" s="155">
        <v>-1774.92</v>
      </c>
      <c r="J108" s="122"/>
      <c r="K108" s="122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36" t="s">
        <v>291</v>
      </c>
      <c r="AE108" s="137" t="s">
        <v>379</v>
      </c>
    </row>
    <row r="109" spans="1:34" s="120" customFormat="1" hidden="1" x14ac:dyDescent="0.25">
      <c r="A109" s="149"/>
      <c r="B109" s="132"/>
      <c r="C109" s="121"/>
      <c r="D109" s="122"/>
      <c r="E109" s="128">
        <v>-400007</v>
      </c>
      <c r="F109" s="128">
        <v>-386974.67</v>
      </c>
      <c r="G109" s="128">
        <v>-374622.22</v>
      </c>
      <c r="H109" s="155">
        <v>-481150.92</v>
      </c>
      <c r="I109" s="155">
        <v>-397864.76</v>
      </c>
      <c r="J109" s="122"/>
      <c r="K109" s="122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36" t="s">
        <v>292</v>
      </c>
      <c r="AE109" s="137" t="s">
        <v>380</v>
      </c>
    </row>
    <row r="110" spans="1:34" s="120" customFormat="1" hidden="1" x14ac:dyDescent="0.25">
      <c r="A110" s="149"/>
      <c r="B110" s="132"/>
      <c r="C110" s="121"/>
      <c r="D110" s="122"/>
      <c r="E110" s="128">
        <v>3192</v>
      </c>
      <c r="F110" s="128">
        <v>0</v>
      </c>
      <c r="G110" s="128">
        <v>0</v>
      </c>
      <c r="H110" s="155">
        <v>0</v>
      </c>
      <c r="I110" s="155">
        <v>0</v>
      </c>
      <c r="J110" s="122"/>
      <c r="K110" s="122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36" t="s">
        <v>293</v>
      </c>
      <c r="AE110" s="137" t="s">
        <v>381</v>
      </c>
      <c r="AH110" s="120" t="s">
        <v>499</v>
      </c>
    </row>
    <row r="111" spans="1:34" s="120" customFormat="1" hidden="1" x14ac:dyDescent="0.25">
      <c r="A111" s="149"/>
      <c r="B111" s="132"/>
      <c r="C111" s="121"/>
      <c r="D111" s="122"/>
      <c r="E111" s="128"/>
      <c r="F111" s="128"/>
      <c r="G111" s="128"/>
      <c r="H111" s="155"/>
      <c r="I111" s="155">
        <v>119.02</v>
      </c>
      <c r="J111" s="122"/>
      <c r="K111" s="122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36" t="s">
        <v>419</v>
      </c>
      <c r="AE111" s="137" t="s">
        <v>420</v>
      </c>
      <c r="AH111" s="120" t="s">
        <v>412</v>
      </c>
    </row>
    <row r="112" spans="1:34" s="120" customFormat="1" hidden="1" x14ac:dyDescent="0.25">
      <c r="A112" s="149"/>
      <c r="B112" s="132"/>
      <c r="C112" s="121"/>
      <c r="D112" s="122"/>
      <c r="E112" s="128">
        <v>0</v>
      </c>
      <c r="F112" s="128">
        <v>0</v>
      </c>
      <c r="G112" s="128">
        <v>0</v>
      </c>
      <c r="H112" s="155">
        <v>0</v>
      </c>
      <c r="I112" s="155">
        <v>0</v>
      </c>
      <c r="J112" s="122"/>
      <c r="K112" s="122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36" t="s">
        <v>294</v>
      </c>
      <c r="AE112" s="137" t="s">
        <v>382</v>
      </c>
      <c r="AH112" s="120" t="s">
        <v>499</v>
      </c>
    </row>
    <row r="113" spans="1:34" s="120" customFormat="1" hidden="1" x14ac:dyDescent="0.25">
      <c r="A113" s="149"/>
      <c r="B113" s="132"/>
      <c r="C113" s="121"/>
      <c r="D113" s="122"/>
      <c r="E113" s="128"/>
      <c r="F113" s="128"/>
      <c r="G113" s="128"/>
      <c r="H113" s="155"/>
      <c r="I113" s="155">
        <v>134.69999999999999</v>
      </c>
      <c r="J113" s="122"/>
      <c r="K113" s="122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36" t="s">
        <v>421</v>
      </c>
      <c r="AE113" s="137" t="s">
        <v>422</v>
      </c>
      <c r="AH113" s="120" t="s">
        <v>412</v>
      </c>
    </row>
    <row r="114" spans="1:34" s="120" customFormat="1" hidden="1" x14ac:dyDescent="0.25">
      <c r="A114" s="149"/>
      <c r="B114" s="132"/>
      <c r="C114" s="121"/>
      <c r="D114" s="122"/>
      <c r="E114" s="128">
        <v>0</v>
      </c>
      <c r="F114" s="128">
        <v>0</v>
      </c>
      <c r="G114" s="128">
        <v>672</v>
      </c>
      <c r="H114" s="155">
        <v>1275.79</v>
      </c>
      <c r="I114" s="155">
        <v>17553.61</v>
      </c>
      <c r="J114" s="122"/>
      <c r="K114" s="122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36" t="s">
        <v>295</v>
      </c>
      <c r="AE114" s="137" t="s">
        <v>383</v>
      </c>
    </row>
    <row r="115" spans="1:34" s="120" customFormat="1" hidden="1" x14ac:dyDescent="0.25">
      <c r="A115" s="149"/>
      <c r="B115" s="132"/>
      <c r="C115" s="121"/>
      <c r="D115" s="122"/>
      <c r="E115" s="128">
        <v>2850</v>
      </c>
      <c r="F115" s="128">
        <v>146.05000000000001</v>
      </c>
      <c r="G115" s="128">
        <v>6220</v>
      </c>
      <c r="H115" s="155">
        <v>74323.22</v>
      </c>
      <c r="I115" s="155">
        <v>173.11</v>
      </c>
      <c r="J115" s="122"/>
      <c r="K115" s="122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36" t="s">
        <v>296</v>
      </c>
      <c r="AE115" s="137" t="s">
        <v>384</v>
      </c>
    </row>
    <row r="116" spans="1:34" s="120" customFormat="1" hidden="1" x14ac:dyDescent="0.25">
      <c r="A116" s="149"/>
      <c r="B116" s="132"/>
      <c r="C116" s="121"/>
      <c r="D116" s="122"/>
      <c r="E116" s="128"/>
      <c r="F116" s="128"/>
      <c r="G116" s="128"/>
      <c r="H116" s="155"/>
      <c r="I116" s="155">
        <v>578.99</v>
      </c>
      <c r="J116" s="122"/>
      <c r="K116" s="122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36" t="s">
        <v>423</v>
      </c>
      <c r="AE116" s="137" t="s">
        <v>424</v>
      </c>
      <c r="AH116" s="120" t="s">
        <v>412</v>
      </c>
    </row>
    <row r="117" spans="1:34" s="120" customFormat="1" hidden="1" x14ac:dyDescent="0.25">
      <c r="A117" s="149"/>
      <c r="B117" s="132"/>
      <c r="C117" s="121"/>
      <c r="D117" s="122"/>
      <c r="E117" s="128">
        <v>0</v>
      </c>
      <c r="F117" s="128">
        <v>41.65</v>
      </c>
      <c r="G117" s="128">
        <v>0</v>
      </c>
      <c r="H117" s="155">
        <v>128.91999999999999</v>
      </c>
      <c r="I117" s="155">
        <v>1869.28</v>
      </c>
      <c r="J117" s="122"/>
      <c r="K117" s="122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36" t="s">
        <v>297</v>
      </c>
      <c r="AE117" s="137" t="s">
        <v>385</v>
      </c>
    </row>
    <row r="118" spans="1:34" s="120" customFormat="1" hidden="1" x14ac:dyDescent="0.25">
      <c r="A118" s="149"/>
      <c r="B118" s="132"/>
      <c r="C118" s="121"/>
      <c r="D118" s="122"/>
      <c r="E118" s="128">
        <v>13996</v>
      </c>
      <c r="F118" s="128">
        <v>57908.2</v>
      </c>
      <c r="G118" s="128">
        <v>128089.31</v>
      </c>
      <c r="H118" s="155">
        <v>55665.49</v>
      </c>
      <c r="I118" s="155">
        <v>42675.47</v>
      </c>
      <c r="J118" s="122"/>
      <c r="K118" s="122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36" t="s">
        <v>298</v>
      </c>
      <c r="AE118" s="137" t="s">
        <v>386</v>
      </c>
    </row>
    <row r="119" spans="1:34" s="120" customFormat="1" hidden="1" x14ac:dyDescent="0.25">
      <c r="A119" s="149"/>
      <c r="B119" s="132"/>
      <c r="C119" s="121"/>
      <c r="D119" s="122"/>
      <c r="E119" s="128">
        <v>59544</v>
      </c>
      <c r="F119" s="128">
        <v>127142.1</v>
      </c>
      <c r="G119" s="128">
        <v>45624.37</v>
      </c>
      <c r="H119" s="155">
        <v>77723.740000000005</v>
      </c>
      <c r="I119" s="155">
        <v>181963.91</v>
      </c>
      <c r="J119" s="122"/>
      <c r="K119" s="122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36" t="s">
        <v>299</v>
      </c>
      <c r="AE119" s="137" t="s">
        <v>387</v>
      </c>
    </row>
    <row r="120" spans="1:34" s="120" customFormat="1" hidden="1" x14ac:dyDescent="0.25">
      <c r="A120" s="149"/>
      <c r="B120" s="132"/>
      <c r="C120" s="121"/>
      <c r="D120" s="122"/>
      <c r="E120" s="128">
        <v>0</v>
      </c>
      <c r="F120" s="128">
        <v>2902.1</v>
      </c>
      <c r="G120" s="128">
        <v>9968.51</v>
      </c>
      <c r="H120" s="155">
        <v>30915.87</v>
      </c>
      <c r="I120" s="155">
        <v>38610.269999999997</v>
      </c>
      <c r="J120" s="122"/>
      <c r="K120" s="122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36" t="s">
        <v>300</v>
      </c>
      <c r="AE120" s="137" t="s">
        <v>388</v>
      </c>
    </row>
    <row r="121" spans="1:34" s="120" customFormat="1" hidden="1" x14ac:dyDescent="0.25">
      <c r="A121" s="149"/>
      <c r="B121" s="132"/>
      <c r="C121" s="121"/>
      <c r="D121" s="122"/>
      <c r="E121" s="128">
        <v>22459</v>
      </c>
      <c r="F121" s="128">
        <v>29872.68</v>
      </c>
      <c r="G121" s="128">
        <v>3754.78</v>
      </c>
      <c r="H121" s="155">
        <v>20243.04</v>
      </c>
      <c r="I121" s="155">
        <v>12258.38</v>
      </c>
      <c r="J121" s="122"/>
      <c r="K121" s="122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36" t="s">
        <v>301</v>
      </c>
      <c r="AE121" s="137" t="s">
        <v>389</v>
      </c>
    </row>
    <row r="122" spans="1:34" s="120" customFormat="1" hidden="1" x14ac:dyDescent="0.25">
      <c r="A122" s="149"/>
      <c r="B122" s="132"/>
      <c r="C122" s="121"/>
      <c r="D122" s="122"/>
      <c r="E122" s="128">
        <v>41634</v>
      </c>
      <c r="F122" s="128">
        <v>71557.399999999994</v>
      </c>
      <c r="G122" s="128">
        <v>115840.17</v>
      </c>
      <c r="H122" s="155">
        <v>168937.3</v>
      </c>
      <c r="I122" s="155">
        <v>123549.69</v>
      </c>
      <c r="J122" s="122"/>
      <c r="K122" s="122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36" t="s">
        <v>302</v>
      </c>
      <c r="AE122" s="137" t="s">
        <v>390</v>
      </c>
    </row>
    <row r="123" spans="1:34" s="120" customFormat="1" hidden="1" x14ac:dyDescent="0.25">
      <c r="A123" s="149"/>
      <c r="B123" s="132"/>
      <c r="C123" s="121"/>
      <c r="D123" s="122"/>
      <c r="E123" s="128">
        <v>2314</v>
      </c>
      <c r="F123" s="128">
        <v>0</v>
      </c>
      <c r="G123" s="128">
        <v>637.65</v>
      </c>
      <c r="H123" s="155">
        <v>680.53</v>
      </c>
      <c r="I123" s="155">
        <v>5752.65</v>
      </c>
      <c r="J123" s="122"/>
      <c r="K123" s="122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36" t="s">
        <v>303</v>
      </c>
      <c r="AE123" s="137" t="s">
        <v>391</v>
      </c>
    </row>
    <row r="124" spans="1:34" s="120" customFormat="1" hidden="1" x14ac:dyDescent="0.25">
      <c r="A124" s="149"/>
      <c r="B124" s="132"/>
      <c r="C124" s="121"/>
      <c r="D124" s="122"/>
      <c r="E124" s="128">
        <v>12004</v>
      </c>
      <c r="F124" s="128">
        <v>26085.81</v>
      </c>
      <c r="G124" s="128">
        <v>1017.9</v>
      </c>
      <c r="H124" s="155">
        <v>21733.53</v>
      </c>
      <c r="I124" s="155">
        <v>21825.93</v>
      </c>
      <c r="J124" s="122"/>
      <c r="K124" s="122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36" t="s">
        <v>304</v>
      </c>
      <c r="AE124" s="137" t="s">
        <v>392</v>
      </c>
    </row>
    <row r="125" spans="1:34" s="120" customFormat="1" hidden="1" x14ac:dyDescent="0.25">
      <c r="A125" s="149"/>
      <c r="B125" s="132"/>
      <c r="C125" s="121"/>
      <c r="D125" s="122"/>
      <c r="E125" s="128">
        <v>2197</v>
      </c>
      <c r="F125" s="128">
        <v>321.23</v>
      </c>
      <c r="G125" s="128">
        <v>3552.6</v>
      </c>
      <c r="H125" s="155">
        <v>6149.57</v>
      </c>
      <c r="I125" s="155">
        <v>4535.4799999999996</v>
      </c>
      <c r="J125" s="122"/>
      <c r="K125" s="122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36" t="s">
        <v>305</v>
      </c>
      <c r="AE125" s="137" t="s">
        <v>393</v>
      </c>
    </row>
    <row r="126" spans="1:34" s="120" customFormat="1" hidden="1" x14ac:dyDescent="0.25">
      <c r="A126" s="149"/>
      <c r="B126" s="132"/>
      <c r="C126" s="121"/>
      <c r="D126" s="122"/>
      <c r="E126" s="128">
        <v>24536</v>
      </c>
      <c r="F126" s="128">
        <v>18950.77</v>
      </c>
      <c r="G126" s="128">
        <v>37357.33</v>
      </c>
      <c r="H126" s="155">
        <v>18775.310000000001</v>
      </c>
      <c r="I126" s="155">
        <v>4044.78</v>
      </c>
      <c r="J126" s="122"/>
      <c r="K126" s="122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36" t="s">
        <v>306</v>
      </c>
      <c r="AE126" s="137" t="s">
        <v>394</v>
      </c>
    </row>
    <row r="127" spans="1:34" s="120" customFormat="1" hidden="1" x14ac:dyDescent="0.25">
      <c r="A127" s="149"/>
      <c r="B127" s="132"/>
      <c r="C127" s="121"/>
      <c r="D127" s="122"/>
      <c r="E127" s="128">
        <v>68712</v>
      </c>
      <c r="F127" s="128">
        <v>23291.55</v>
      </c>
      <c r="G127" s="128">
        <v>116624.14</v>
      </c>
      <c r="H127" s="155">
        <v>69227.92</v>
      </c>
      <c r="I127" s="155">
        <v>-230321.58</v>
      </c>
      <c r="J127" s="122"/>
      <c r="K127" s="122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36" t="s">
        <v>307</v>
      </c>
      <c r="AE127" s="137" t="s">
        <v>395</v>
      </c>
    </row>
    <row r="128" spans="1:34" s="120" customFormat="1" hidden="1" x14ac:dyDescent="0.25">
      <c r="A128" s="149"/>
      <c r="B128" s="132"/>
      <c r="C128" s="121"/>
      <c r="D128" s="122"/>
      <c r="E128" s="128">
        <v>-283305</v>
      </c>
      <c r="F128" s="128">
        <v>-346813.25</v>
      </c>
      <c r="G128" s="128">
        <v>-490047.67</v>
      </c>
      <c r="H128" s="155">
        <v>-554377.67000000004</v>
      </c>
      <c r="I128" s="155">
        <v>-525001.5</v>
      </c>
      <c r="J128" s="122"/>
      <c r="K128" s="122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36" t="s">
        <v>308</v>
      </c>
      <c r="AE128" s="137" t="s">
        <v>396</v>
      </c>
    </row>
    <row r="129" spans="1:34" s="26" customFormat="1" x14ac:dyDescent="0.25">
      <c r="A129" s="149">
        <v>6</v>
      </c>
      <c r="B129" s="52" t="s">
        <v>40</v>
      </c>
      <c r="C129" s="49">
        <v>117663</v>
      </c>
      <c r="D129" s="49">
        <v>75252</v>
      </c>
      <c r="E129" s="50">
        <v>76951</v>
      </c>
      <c r="F129" s="50">
        <f>F130</f>
        <v>251222</v>
      </c>
      <c r="G129" s="50">
        <f t="shared" ref="G129:I129" si="5">G130</f>
        <v>157543.82</v>
      </c>
      <c r="H129" s="50">
        <f t="shared" si="5"/>
        <v>74880.11</v>
      </c>
      <c r="I129" s="50">
        <f t="shared" si="5"/>
        <v>73264.45</v>
      </c>
      <c r="J129" s="50">
        <f>80029*(1+$C$243)</f>
        <v>83230.16</v>
      </c>
      <c r="K129" s="50">
        <f t="shared" ref="K129:AC129" si="6">J129*(1+$C$243)</f>
        <v>86559.366400000014</v>
      </c>
      <c r="L129" s="50">
        <f t="shared" si="6"/>
        <v>90021.741056000013</v>
      </c>
      <c r="M129" s="50">
        <f t="shared" si="6"/>
        <v>93622.610698240023</v>
      </c>
      <c r="N129" s="50">
        <f t="shared" si="6"/>
        <v>97367.51512616963</v>
      </c>
      <c r="O129" s="50">
        <f t="shared" si="6"/>
        <v>101262.21573121642</v>
      </c>
      <c r="P129" s="50">
        <f t="shared" si="6"/>
        <v>105312.70436046508</v>
      </c>
      <c r="Q129" s="50">
        <f t="shared" si="6"/>
        <v>109525.21253488369</v>
      </c>
      <c r="R129" s="50">
        <f t="shared" si="6"/>
        <v>113906.22103627904</v>
      </c>
      <c r="S129" s="50">
        <f t="shared" si="6"/>
        <v>118462.4698777302</v>
      </c>
      <c r="T129" s="50">
        <f t="shared" si="6"/>
        <v>123200.96867283942</v>
      </c>
      <c r="U129" s="50">
        <f t="shared" si="6"/>
        <v>128129.00741975299</v>
      </c>
      <c r="V129" s="50">
        <f t="shared" si="6"/>
        <v>133254.1677165431</v>
      </c>
      <c r="W129" s="50">
        <f t="shared" si="6"/>
        <v>138584.33442520484</v>
      </c>
      <c r="X129" s="50">
        <f t="shared" si="6"/>
        <v>144127.70780221303</v>
      </c>
      <c r="Y129" s="50">
        <f t="shared" si="6"/>
        <v>149892.81611430156</v>
      </c>
      <c r="Z129" s="50">
        <f t="shared" si="6"/>
        <v>155888.52875887364</v>
      </c>
      <c r="AA129" s="50">
        <f t="shared" si="6"/>
        <v>162124.06990922859</v>
      </c>
      <c r="AB129" s="50">
        <f t="shared" si="6"/>
        <v>168609.03270559775</v>
      </c>
      <c r="AC129" s="50">
        <f t="shared" si="6"/>
        <v>175353.39401382167</v>
      </c>
      <c r="AD129" s="51" t="s">
        <v>122</v>
      </c>
    </row>
    <row r="130" spans="1:34" s="120" customFormat="1" hidden="1" x14ac:dyDescent="0.25">
      <c r="A130" s="149"/>
      <c r="B130" s="132"/>
      <c r="C130" s="121"/>
      <c r="D130" s="121"/>
      <c r="E130" s="122"/>
      <c r="F130" s="123">
        <v>251222</v>
      </c>
      <c r="G130" s="123">
        <v>157543.82</v>
      </c>
      <c r="H130" s="122">
        <v>74880.11</v>
      </c>
      <c r="I130" s="156">
        <v>73264.45</v>
      </c>
      <c r="J130" s="122"/>
      <c r="K130" s="122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 t="s">
        <v>150</v>
      </c>
      <c r="AE130" s="137" t="s">
        <v>399</v>
      </c>
      <c r="AH130" s="120" t="s">
        <v>494</v>
      </c>
    </row>
    <row r="131" spans="1:34" s="26" customFormat="1" x14ac:dyDescent="0.25">
      <c r="A131" s="149">
        <v>7</v>
      </c>
      <c r="B131" s="164" t="s">
        <v>144</v>
      </c>
      <c r="C131" s="49">
        <f>396000</f>
        <v>396000</v>
      </c>
      <c r="D131" s="49">
        <v>745784</v>
      </c>
      <c r="E131" s="86" t="e">
        <f>#REF!</f>
        <v>#REF!</v>
      </c>
      <c r="F131" s="86" t="e">
        <f>#REF!</f>
        <v>#REF!</v>
      </c>
      <c r="G131" s="86" t="e">
        <f>#REF!</f>
        <v>#REF!</v>
      </c>
      <c r="H131" s="50">
        <v>1029087.3322628338</v>
      </c>
      <c r="I131" s="50">
        <v>1439219.6453340694</v>
      </c>
      <c r="J131" s="50">
        <f t="shared" ref="J131:AC131" si="7">I131*(1+$C$242)</f>
        <v>1482396.2346940916</v>
      </c>
      <c r="K131" s="50">
        <f t="shared" si="7"/>
        <v>1526868.1217349144</v>
      </c>
      <c r="L131" s="50">
        <f t="shared" si="7"/>
        <v>1572674.1653869618</v>
      </c>
      <c r="M131" s="50">
        <f t="shared" si="7"/>
        <v>1619854.3903485707</v>
      </c>
      <c r="N131" s="50">
        <f t="shared" si="7"/>
        <v>1668450.0220590278</v>
      </c>
      <c r="O131" s="50">
        <f t="shared" si="7"/>
        <v>1718503.5227207986</v>
      </c>
      <c r="P131" s="50">
        <f t="shared" si="7"/>
        <v>1770058.6284024226</v>
      </c>
      <c r="Q131" s="50">
        <f t="shared" si="7"/>
        <v>1823160.3872544954</v>
      </c>
      <c r="R131" s="50">
        <f t="shared" si="7"/>
        <v>1877855.1988721304</v>
      </c>
      <c r="S131" s="50">
        <f t="shared" si="7"/>
        <v>1934190.8548382942</v>
      </c>
      <c r="T131" s="50">
        <f t="shared" si="7"/>
        <v>1992216.5804834431</v>
      </c>
      <c r="U131" s="50">
        <f t="shared" si="7"/>
        <v>2051983.0778979464</v>
      </c>
      <c r="V131" s="50">
        <f t="shared" si="7"/>
        <v>2113542.570234885</v>
      </c>
      <c r="W131" s="50">
        <f t="shared" si="7"/>
        <v>2176948.8473419314</v>
      </c>
      <c r="X131" s="50">
        <f t="shared" si="7"/>
        <v>2242257.3127621897</v>
      </c>
      <c r="Y131" s="50">
        <f t="shared" si="7"/>
        <v>2309525.0321450555</v>
      </c>
      <c r="Z131" s="50">
        <f t="shared" si="7"/>
        <v>2378810.7831094074</v>
      </c>
      <c r="AA131" s="50">
        <f t="shared" si="7"/>
        <v>2450175.1066026897</v>
      </c>
      <c r="AB131" s="50">
        <f t="shared" si="7"/>
        <v>2523680.3598007704</v>
      </c>
      <c r="AC131" s="50">
        <f t="shared" si="7"/>
        <v>2599390.7705947934</v>
      </c>
      <c r="AD131" s="51" t="s">
        <v>119</v>
      </c>
    </row>
    <row r="132" spans="1:34" s="26" customFormat="1" x14ac:dyDescent="0.25">
      <c r="A132" s="149">
        <v>8</v>
      </c>
      <c r="B132" s="164" t="s">
        <v>173</v>
      </c>
      <c r="C132" s="49">
        <v>0</v>
      </c>
      <c r="D132" s="49">
        <v>0</v>
      </c>
      <c r="E132" s="49" t="e">
        <f t="shared" ref="E132:AC132" si="8">E201-E131</f>
        <v>#REF!</v>
      </c>
      <c r="F132" s="49" t="e">
        <f t="shared" si="8"/>
        <v>#REF!</v>
      </c>
      <c r="G132" s="49" t="e">
        <f t="shared" si="8"/>
        <v>#REF!</v>
      </c>
      <c r="H132" s="49">
        <f t="shared" si="8"/>
        <v>-108337.33226283384</v>
      </c>
      <c r="I132" s="49">
        <f t="shared" si="8"/>
        <v>-589094.64533406938</v>
      </c>
      <c r="J132" s="49">
        <f t="shared" si="8"/>
        <v>-1364146.2346940916</v>
      </c>
      <c r="K132" s="49">
        <f t="shared" si="8"/>
        <v>-1085118.1217349144</v>
      </c>
      <c r="L132" s="49">
        <f t="shared" si="8"/>
        <v>-1221674.1653869618</v>
      </c>
      <c r="M132" s="49">
        <f t="shared" si="8"/>
        <v>-1351104.3903485707</v>
      </c>
      <c r="N132" s="49">
        <f t="shared" si="8"/>
        <v>-1118450.0220590278</v>
      </c>
      <c r="O132" s="49">
        <f t="shared" si="8"/>
        <v>-1356403.5227207986</v>
      </c>
      <c r="P132" s="49">
        <f t="shared" si="8"/>
        <v>-785008.62840242265</v>
      </c>
      <c r="Q132" s="49">
        <f t="shared" si="8"/>
        <v>-1533160.3872544954</v>
      </c>
      <c r="R132" s="49">
        <f t="shared" si="8"/>
        <v>-1710355.1988721304</v>
      </c>
      <c r="S132" s="49">
        <f t="shared" si="8"/>
        <v>-1411690.8548382942</v>
      </c>
      <c r="T132" s="49">
        <f t="shared" si="8"/>
        <v>-1546123.3986652612</v>
      </c>
      <c r="U132" s="49">
        <f t="shared" si="8"/>
        <v>-1642620.0613690207</v>
      </c>
      <c r="V132" s="49">
        <f t="shared" si="8"/>
        <v>-1677714.7340215116</v>
      </c>
      <c r="W132" s="49">
        <f t="shared" si="8"/>
        <v>-1741659.389654615</v>
      </c>
      <c r="X132" s="49">
        <f t="shared" si="8"/>
        <v>-1799305.1771032989</v>
      </c>
      <c r="Y132" s="49">
        <f t="shared" si="8"/>
        <v>-1850736.338698993</v>
      </c>
      <c r="Z132" s="49">
        <f t="shared" si="8"/>
        <v>-1928314.0266227936</v>
      </c>
      <c r="AA132" s="49">
        <f t="shared" si="8"/>
        <v>-1991642.2813445656</v>
      </c>
      <c r="AB132" s="49">
        <f t="shared" si="8"/>
        <v>-2113012.7322464534</v>
      </c>
      <c r="AC132" s="49">
        <f t="shared" si="8"/>
        <v>-2177753.3587173563</v>
      </c>
      <c r="AD132" s="51" t="s">
        <v>168</v>
      </c>
    </row>
    <row r="133" spans="1:34" x14ac:dyDescent="0.25">
      <c r="A133" s="149">
        <v>9</v>
      </c>
      <c r="B133" s="164" t="s">
        <v>174</v>
      </c>
      <c r="C133" s="100">
        <v>0</v>
      </c>
      <c r="D133" s="100">
        <v>0</v>
      </c>
      <c r="E133" s="101">
        <v>0</v>
      </c>
      <c r="F133" s="100">
        <f t="shared" ref="F133:G133" si="9">-F201</f>
        <v>0</v>
      </c>
      <c r="G133" s="100">
        <f t="shared" si="9"/>
        <v>0</v>
      </c>
      <c r="H133" s="100">
        <f>-H201</f>
        <v>-920750</v>
      </c>
      <c r="I133" s="100">
        <f>-I201</f>
        <v>-850125</v>
      </c>
      <c r="J133" s="100">
        <f>-SUM('System Improvements'!E7:E25)</f>
        <v>-118250</v>
      </c>
      <c r="K133" s="100">
        <f>-SUM('System Improvements'!F7:F25)</f>
        <v>-441750</v>
      </c>
      <c r="L133" s="100">
        <f>-SUM('System Improvements'!G7:G25)</f>
        <v>-351000</v>
      </c>
      <c r="M133" s="100">
        <f>-SUM('System Improvements'!H7:H25)</f>
        <v>-268750</v>
      </c>
      <c r="N133" s="100">
        <f>-SUM('System Improvements'!I7:I25)</f>
        <v>-550000</v>
      </c>
      <c r="O133" s="100">
        <f>-SUM('System Improvements'!J7:J25)</f>
        <v>-362100</v>
      </c>
      <c r="P133" s="100">
        <f>-SUM('System Improvements'!K7:K25)</f>
        <v>-985050</v>
      </c>
      <c r="Q133" s="100">
        <f>-SUM('System Improvements'!L7:L25)</f>
        <v>-290000</v>
      </c>
      <c r="R133" s="100">
        <f>-SUM('System Improvements'!M7:M25)</f>
        <v>-167500</v>
      </c>
      <c r="S133" s="100">
        <f>-SUM('System Improvements'!N7:N25)</f>
        <v>-522500</v>
      </c>
      <c r="T133" s="100">
        <f>-T201</f>
        <v>-446093.18181818182</v>
      </c>
      <c r="U133" s="100">
        <f t="shared" ref="U133:AC133" si="10">-U201</f>
        <v>-409363.01652892563</v>
      </c>
      <c r="V133" s="100">
        <f t="shared" si="10"/>
        <v>-435827.8362133734</v>
      </c>
      <c r="W133" s="100">
        <f t="shared" si="10"/>
        <v>-435289.45768731646</v>
      </c>
      <c r="X133" s="100">
        <f t="shared" si="10"/>
        <v>-442952.13565889071</v>
      </c>
      <c r="Y133" s="100">
        <f t="shared" si="10"/>
        <v>-458788.69344606256</v>
      </c>
      <c r="Z133" s="100">
        <f t="shared" si="10"/>
        <v>-450496.75648661371</v>
      </c>
      <c r="AA133" s="100">
        <f t="shared" si="10"/>
        <v>-458532.82525812404</v>
      </c>
      <c r="AB133" s="100">
        <f t="shared" si="10"/>
        <v>-410667.62755431718</v>
      </c>
      <c r="AC133" s="100">
        <f t="shared" si="10"/>
        <v>-421637.41187743691</v>
      </c>
      <c r="AD133" s="102" t="s">
        <v>169</v>
      </c>
    </row>
    <row r="134" spans="1:34" s="142" customFormat="1" hidden="1" x14ac:dyDescent="0.25">
      <c r="A134" s="150"/>
      <c r="B134" s="138"/>
      <c r="C134" s="139"/>
      <c r="D134" s="139"/>
      <c r="E134" s="139"/>
      <c r="F134" s="128"/>
      <c r="G134" s="139"/>
      <c r="H134" s="159">
        <v>329908</v>
      </c>
      <c r="I134" s="159">
        <v>410529</v>
      </c>
      <c r="AD134" s="158" t="s">
        <v>425</v>
      </c>
      <c r="AE134" s="142" t="s">
        <v>426</v>
      </c>
      <c r="AH134" s="142" t="s">
        <v>495</v>
      </c>
    </row>
    <row r="135" spans="1:34" s="142" customFormat="1" hidden="1" x14ac:dyDescent="0.25">
      <c r="A135" s="150"/>
      <c r="B135" s="138"/>
      <c r="C135" s="139"/>
      <c r="D135" s="139"/>
      <c r="E135" s="139"/>
      <c r="F135" s="128"/>
      <c r="G135" s="139"/>
      <c r="H135" s="159">
        <v>2127.42</v>
      </c>
      <c r="I135" s="159">
        <v>2127.42</v>
      </c>
      <c r="J135" s="139"/>
      <c r="K135" s="13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40" t="s">
        <v>427</v>
      </c>
      <c r="AE135" s="141" t="s">
        <v>428</v>
      </c>
      <c r="AH135" s="142" t="s">
        <v>495</v>
      </c>
    </row>
    <row r="136" spans="1:34" s="142" customFormat="1" hidden="1" x14ac:dyDescent="0.25">
      <c r="A136" s="150"/>
      <c r="B136" s="138"/>
      <c r="C136" s="139"/>
      <c r="D136" s="139"/>
      <c r="E136" s="139"/>
      <c r="F136" s="128"/>
      <c r="G136" s="139"/>
      <c r="H136" s="159">
        <v>124279.25</v>
      </c>
      <c r="I136" s="159">
        <v>72768.12</v>
      </c>
      <c r="J136" s="139"/>
      <c r="K136" s="13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40" t="s">
        <v>429</v>
      </c>
      <c r="AE136" s="141" t="s">
        <v>430</v>
      </c>
      <c r="AH136" s="142" t="s">
        <v>495</v>
      </c>
    </row>
    <row r="137" spans="1:34" s="142" customFormat="1" hidden="1" x14ac:dyDescent="0.25">
      <c r="A137" s="150"/>
      <c r="B137" s="138"/>
      <c r="C137" s="139"/>
      <c r="D137" s="139"/>
      <c r="E137" s="139"/>
      <c r="F137" s="128"/>
      <c r="G137" s="139"/>
      <c r="H137" s="159">
        <v>0.19</v>
      </c>
      <c r="I137" s="159">
        <v>0.13</v>
      </c>
      <c r="J137" s="139"/>
      <c r="K137" s="13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40" t="s">
        <v>431</v>
      </c>
      <c r="AE137" s="141" t="s">
        <v>432</v>
      </c>
      <c r="AH137" s="142" t="s">
        <v>495</v>
      </c>
    </row>
    <row r="138" spans="1:34" s="142" customFormat="1" hidden="1" x14ac:dyDescent="0.25">
      <c r="A138" s="150"/>
      <c r="B138" s="138"/>
      <c r="C138" s="139"/>
      <c r="D138" s="139"/>
      <c r="E138" s="139"/>
      <c r="F138" s="128"/>
      <c r="G138" s="139"/>
      <c r="H138" s="159">
        <v>-4043562.8</v>
      </c>
      <c r="I138" s="159">
        <v>-4557382.3899999997</v>
      </c>
      <c r="J138" s="139"/>
      <c r="K138" s="13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40" t="s">
        <v>433</v>
      </c>
      <c r="AE138" s="141" t="s">
        <v>434</v>
      </c>
      <c r="AH138" s="142" t="s">
        <v>495</v>
      </c>
    </row>
    <row r="139" spans="1:34" s="142" customFormat="1" hidden="1" x14ac:dyDescent="0.25">
      <c r="A139" s="150"/>
      <c r="B139" s="138"/>
      <c r="C139" s="139"/>
      <c r="D139" s="139"/>
      <c r="E139" s="139"/>
      <c r="F139" s="128"/>
      <c r="G139" s="139"/>
      <c r="H139" s="159">
        <v>1306434.46</v>
      </c>
      <c r="I139" s="159">
        <v>3277631.46</v>
      </c>
      <c r="J139" s="139"/>
      <c r="K139" s="13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40" t="s">
        <v>435</v>
      </c>
      <c r="AE139" s="141" t="s">
        <v>436</v>
      </c>
      <c r="AH139" s="142" t="s">
        <v>495</v>
      </c>
    </row>
    <row r="140" spans="1:34" s="142" customFormat="1" hidden="1" x14ac:dyDescent="0.25">
      <c r="A140" s="150"/>
      <c r="B140" s="138"/>
      <c r="C140" s="139"/>
      <c r="D140" s="139"/>
      <c r="E140" s="139"/>
      <c r="F140" s="128"/>
      <c r="G140" s="139"/>
      <c r="H140" s="159">
        <v>570200</v>
      </c>
      <c r="I140" s="159">
        <v>570200</v>
      </c>
      <c r="J140" s="139"/>
      <c r="K140" s="13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40" t="s">
        <v>437</v>
      </c>
      <c r="AE140" s="141" t="s">
        <v>438</v>
      </c>
      <c r="AH140" s="142" t="s">
        <v>495</v>
      </c>
    </row>
    <row r="141" spans="1:34" s="142" customFormat="1" hidden="1" x14ac:dyDescent="0.25">
      <c r="A141" s="150"/>
      <c r="B141" s="138"/>
      <c r="C141" s="139"/>
      <c r="D141" s="139"/>
      <c r="E141" s="139"/>
      <c r="F141" s="128"/>
      <c r="G141" s="139"/>
      <c r="H141" s="159">
        <v>400016</v>
      </c>
      <c r="I141" s="159">
        <v>434209</v>
      </c>
      <c r="AD141" s="158" t="s">
        <v>439</v>
      </c>
      <c r="AE141" s="142" t="s">
        <v>440</v>
      </c>
      <c r="AH141" s="142" t="s">
        <v>495</v>
      </c>
    </row>
    <row r="142" spans="1:34" s="142" customFormat="1" hidden="1" x14ac:dyDescent="0.25">
      <c r="A142" s="150"/>
      <c r="B142" s="138"/>
      <c r="C142" s="139"/>
      <c r="D142" s="139"/>
      <c r="E142" s="139"/>
      <c r="F142" s="128"/>
      <c r="G142" s="139"/>
      <c r="H142" s="159">
        <v>1526149</v>
      </c>
      <c r="I142" s="159">
        <v>1526149</v>
      </c>
      <c r="J142" s="139"/>
      <c r="K142" s="13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40" t="s">
        <v>441</v>
      </c>
      <c r="AE142" s="141" t="s">
        <v>442</v>
      </c>
      <c r="AH142" s="142" t="s">
        <v>495</v>
      </c>
    </row>
    <row r="143" spans="1:34" s="142" customFormat="1" hidden="1" x14ac:dyDescent="0.25">
      <c r="A143" s="150"/>
      <c r="B143" s="138"/>
      <c r="C143" s="139"/>
      <c r="D143" s="139"/>
      <c r="E143" s="139"/>
      <c r="F143" s="128"/>
      <c r="G143" s="139"/>
      <c r="H143" s="157">
        <v>767968</v>
      </c>
      <c r="I143" s="157">
        <v>767968</v>
      </c>
      <c r="J143" s="139"/>
      <c r="K143" s="13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40" t="s">
        <v>55</v>
      </c>
      <c r="AE143" s="141" t="s">
        <v>56</v>
      </c>
      <c r="AG143" s="142" t="s">
        <v>54</v>
      </c>
    </row>
    <row r="144" spans="1:34" s="142" customFormat="1" hidden="1" x14ac:dyDescent="0.25">
      <c r="A144" s="150"/>
      <c r="B144" s="138"/>
      <c r="C144" s="139"/>
      <c r="D144" s="139"/>
      <c r="E144" s="139"/>
      <c r="F144" s="128"/>
      <c r="G144" s="139"/>
      <c r="H144" s="157">
        <v>11009962.57</v>
      </c>
      <c r="I144" s="157">
        <v>11147995.57</v>
      </c>
      <c r="J144" s="139"/>
      <c r="K144" s="13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40" t="s">
        <v>57</v>
      </c>
      <c r="AE144" s="141" t="s">
        <v>58</v>
      </c>
      <c r="AG144" s="142" t="s">
        <v>54</v>
      </c>
    </row>
    <row r="145" spans="1:37" s="142" customFormat="1" hidden="1" x14ac:dyDescent="0.25">
      <c r="A145" s="150"/>
      <c r="B145" s="138"/>
      <c r="C145" s="139"/>
      <c r="D145" s="139"/>
      <c r="E145" s="139"/>
      <c r="F145" s="128"/>
      <c r="G145" s="139"/>
      <c r="H145" s="157">
        <v>860490.68</v>
      </c>
      <c r="I145" s="157">
        <v>860490.68</v>
      </c>
      <c r="J145" s="139"/>
      <c r="K145" s="13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40" t="s">
        <v>69</v>
      </c>
      <c r="AE145" s="141" t="s">
        <v>70</v>
      </c>
      <c r="AG145" s="142" t="s">
        <v>54</v>
      </c>
    </row>
    <row r="146" spans="1:37" s="142" customFormat="1" ht="15" hidden="1" customHeight="1" x14ac:dyDescent="0.25">
      <c r="A146" s="150"/>
      <c r="B146" s="138"/>
      <c r="C146" s="139"/>
      <c r="D146" s="139"/>
      <c r="E146" s="139"/>
      <c r="F146" s="128"/>
      <c r="G146" s="139"/>
      <c r="H146" s="157">
        <v>10054876.6</v>
      </c>
      <c r="I146" s="157">
        <v>11903986.6</v>
      </c>
      <c r="J146" s="139"/>
      <c r="K146" s="13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40" t="s">
        <v>59</v>
      </c>
      <c r="AE146" s="141" t="s">
        <v>60</v>
      </c>
      <c r="AG146" s="142" t="s">
        <v>61</v>
      </c>
    </row>
    <row r="147" spans="1:37" s="142" customFormat="1" hidden="1" x14ac:dyDescent="0.25">
      <c r="A147" s="150"/>
      <c r="B147" s="138"/>
      <c r="C147" s="139"/>
      <c r="D147" s="139"/>
      <c r="E147" s="139"/>
      <c r="F147" s="128"/>
      <c r="G147" s="139"/>
      <c r="H147" s="157">
        <v>198194</v>
      </c>
      <c r="I147" s="157">
        <v>198194</v>
      </c>
      <c r="J147" s="139"/>
      <c r="K147" s="13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40" t="s">
        <v>93</v>
      </c>
      <c r="AE147" s="141" t="s">
        <v>94</v>
      </c>
      <c r="AG147" s="142" t="s">
        <v>64</v>
      </c>
    </row>
    <row r="148" spans="1:37" s="142" customFormat="1" hidden="1" x14ac:dyDescent="0.25">
      <c r="A148" s="150"/>
      <c r="B148" s="138"/>
      <c r="C148" s="139"/>
      <c r="D148" s="139"/>
      <c r="E148" s="139"/>
      <c r="F148" s="128"/>
      <c r="G148" s="139"/>
      <c r="H148" s="157">
        <v>2243520.41</v>
      </c>
      <c r="I148" s="157">
        <v>2300671.41</v>
      </c>
      <c r="J148" s="139"/>
      <c r="K148" s="13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40" t="s">
        <v>81</v>
      </c>
      <c r="AE148" s="141" t="s">
        <v>82</v>
      </c>
      <c r="AG148" s="142" t="s">
        <v>54</v>
      </c>
    </row>
    <row r="149" spans="1:37" s="142" customFormat="1" hidden="1" x14ac:dyDescent="0.25">
      <c r="A149" s="150"/>
      <c r="B149" s="138"/>
      <c r="C149" s="139"/>
      <c r="D149" s="139"/>
      <c r="E149" s="139"/>
      <c r="F149" s="128"/>
      <c r="G149" s="139"/>
      <c r="H149" s="157">
        <v>8219933</v>
      </c>
      <c r="I149" s="157">
        <v>8220837</v>
      </c>
      <c r="J149" s="139"/>
      <c r="K149" s="13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40" t="s">
        <v>71</v>
      </c>
      <c r="AE149" s="141" t="s">
        <v>72</v>
      </c>
      <c r="AG149" s="142" t="s">
        <v>54</v>
      </c>
    </row>
    <row r="150" spans="1:37" s="142" customFormat="1" hidden="1" x14ac:dyDescent="0.25">
      <c r="A150" s="150"/>
      <c r="B150" s="138"/>
      <c r="C150" s="139"/>
      <c r="D150" s="139"/>
      <c r="E150" s="139"/>
      <c r="F150" s="128"/>
      <c r="G150" s="139"/>
      <c r="H150" s="159">
        <v>4624642</v>
      </c>
      <c r="I150" s="159">
        <v>4705430</v>
      </c>
      <c r="AD150" s="158" t="s">
        <v>443</v>
      </c>
      <c r="AE150" s="142" t="s">
        <v>444</v>
      </c>
      <c r="AH150" s="142" t="s">
        <v>495</v>
      </c>
    </row>
    <row r="151" spans="1:37" s="142" customFormat="1" hidden="1" x14ac:dyDescent="0.25">
      <c r="A151" s="150"/>
      <c r="B151" s="138"/>
      <c r="C151" s="139"/>
      <c r="D151" s="139"/>
      <c r="E151" s="139"/>
      <c r="F151" s="128"/>
      <c r="G151" s="139"/>
      <c r="H151" s="157">
        <v>1326718.82</v>
      </c>
      <c r="I151" s="157">
        <v>1355694.82</v>
      </c>
      <c r="J151" s="139"/>
      <c r="K151" s="13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40" t="s">
        <v>62</v>
      </c>
      <c r="AE151" s="141" t="s">
        <v>63</v>
      </c>
      <c r="AG151" s="142" t="s">
        <v>64</v>
      </c>
    </row>
    <row r="152" spans="1:37" s="142" customFormat="1" hidden="1" x14ac:dyDescent="0.25">
      <c r="A152" s="150"/>
      <c r="B152" s="138"/>
      <c r="C152" s="139"/>
      <c r="D152" s="139"/>
      <c r="E152" s="139"/>
      <c r="F152" s="128"/>
      <c r="G152" s="139"/>
      <c r="H152" s="157">
        <v>1660402</v>
      </c>
      <c r="I152" s="157">
        <v>1660402</v>
      </c>
      <c r="J152" s="139"/>
      <c r="K152" s="13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40" t="s">
        <v>73</v>
      </c>
      <c r="AE152" s="141" t="s">
        <v>74</v>
      </c>
      <c r="AG152" s="142" t="s">
        <v>54</v>
      </c>
    </row>
    <row r="153" spans="1:37" s="142" customFormat="1" hidden="1" x14ac:dyDescent="0.25">
      <c r="A153" s="150"/>
      <c r="B153" s="138"/>
      <c r="C153" s="139"/>
      <c r="D153" s="139"/>
      <c r="E153" s="139"/>
      <c r="F153" s="128"/>
      <c r="G153" s="139"/>
      <c r="H153" s="157">
        <v>2307110.7599999998</v>
      </c>
      <c r="I153" s="157">
        <v>2307110.7599999998</v>
      </c>
      <c r="J153" s="139"/>
      <c r="K153" s="13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40" t="s">
        <v>75</v>
      </c>
      <c r="AE153" s="141" t="s">
        <v>76</v>
      </c>
      <c r="AG153" s="142" t="s">
        <v>64</v>
      </c>
    </row>
    <row r="154" spans="1:37" s="142" customFormat="1" hidden="1" x14ac:dyDescent="0.25">
      <c r="A154" s="150"/>
      <c r="B154" s="138"/>
      <c r="C154" s="139"/>
      <c r="D154" s="139"/>
      <c r="E154" s="139"/>
      <c r="F154" s="128"/>
      <c r="G154" s="139"/>
      <c r="H154" s="157">
        <v>33236.160000000003</v>
      </c>
      <c r="I154" s="157">
        <v>33236.160000000003</v>
      </c>
      <c r="J154" s="139"/>
      <c r="K154" s="13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40" t="s">
        <v>83</v>
      </c>
      <c r="AE154" s="141" t="s">
        <v>84</v>
      </c>
      <c r="AG154" s="142" t="s">
        <v>54</v>
      </c>
    </row>
    <row r="155" spans="1:37" s="142" customFormat="1" hidden="1" x14ac:dyDescent="0.25">
      <c r="A155" s="150"/>
      <c r="B155" s="138"/>
      <c r="C155" s="139"/>
      <c r="D155" s="139"/>
      <c r="E155" s="139"/>
      <c r="F155" s="128"/>
      <c r="G155" s="139"/>
      <c r="H155" s="157">
        <v>345156.4</v>
      </c>
      <c r="I155" s="157">
        <v>345156.4</v>
      </c>
      <c r="J155" s="139"/>
      <c r="K155" s="13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40" t="s">
        <v>85</v>
      </c>
      <c r="AE155" s="141" t="s">
        <v>86</v>
      </c>
      <c r="AG155" s="142" t="s">
        <v>64</v>
      </c>
    </row>
    <row r="156" spans="1:37" s="142" customFormat="1" hidden="1" x14ac:dyDescent="0.25">
      <c r="A156" s="150"/>
      <c r="B156" s="138"/>
      <c r="C156" s="139"/>
      <c r="D156" s="139"/>
      <c r="E156" s="139"/>
      <c r="F156" s="128"/>
      <c r="G156" s="139"/>
      <c r="H156" s="157">
        <v>4143193.94</v>
      </c>
      <c r="I156" s="157">
        <v>4143193.94</v>
      </c>
      <c r="J156" s="139"/>
      <c r="K156" s="13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40" t="s">
        <v>87</v>
      </c>
      <c r="AE156" s="141" t="s">
        <v>88</v>
      </c>
      <c r="AG156" s="142" t="s">
        <v>54</v>
      </c>
    </row>
    <row r="157" spans="1:37" s="142" customFormat="1" hidden="1" x14ac:dyDescent="0.25">
      <c r="A157" s="150"/>
      <c r="B157" s="138"/>
      <c r="C157" s="139"/>
      <c r="D157" s="139"/>
      <c r="E157" s="139"/>
      <c r="F157" s="128"/>
      <c r="G157" s="139"/>
      <c r="H157" s="157">
        <v>2035483.39</v>
      </c>
      <c r="I157" s="157">
        <v>2035483.39</v>
      </c>
      <c r="J157" s="139"/>
      <c r="K157" s="13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40" t="s">
        <v>89</v>
      </c>
      <c r="AE157" s="141" t="s">
        <v>90</v>
      </c>
      <c r="AG157" s="142" t="s">
        <v>61</v>
      </c>
    </row>
    <row r="158" spans="1:37" s="142" customFormat="1" hidden="1" x14ac:dyDescent="0.25">
      <c r="A158" s="150"/>
      <c r="B158" s="138"/>
      <c r="C158" s="139"/>
      <c r="D158" s="139"/>
      <c r="E158" s="139"/>
      <c r="F158" s="128"/>
      <c r="G158" s="139"/>
      <c r="H158" s="157">
        <v>6406059.4400000004</v>
      </c>
      <c r="I158" s="157">
        <v>6406059.4400000004</v>
      </c>
      <c r="J158" s="139"/>
      <c r="K158" s="13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40" t="s">
        <v>91</v>
      </c>
      <c r="AE158" s="141" t="s">
        <v>92</v>
      </c>
      <c r="AG158" s="142" t="s">
        <v>64</v>
      </c>
    </row>
    <row r="159" spans="1:37" s="142" customFormat="1" hidden="1" x14ac:dyDescent="0.25">
      <c r="A159" s="150"/>
      <c r="B159" s="138"/>
      <c r="C159" s="139"/>
      <c r="D159" s="139"/>
      <c r="E159" s="139"/>
      <c r="F159" s="128"/>
      <c r="G159" s="139"/>
      <c r="H159" s="159">
        <v>968248</v>
      </c>
      <c r="I159" s="159">
        <v>968248</v>
      </c>
      <c r="AD159" s="158" t="s">
        <v>445</v>
      </c>
      <c r="AE159" s="142" t="s">
        <v>446</v>
      </c>
      <c r="AH159" s="142" t="s">
        <v>495</v>
      </c>
    </row>
    <row r="160" spans="1:37" s="142" customFormat="1" hidden="1" x14ac:dyDescent="0.25">
      <c r="A160" s="150"/>
      <c r="B160" s="138"/>
      <c r="C160" s="139"/>
      <c r="D160" s="139"/>
      <c r="E160" s="139"/>
      <c r="F160" s="128"/>
      <c r="G160" s="139"/>
      <c r="H160" s="159">
        <v>-18254679.109999999</v>
      </c>
      <c r="I160" s="159">
        <v>-20119922.109999999</v>
      </c>
      <c r="AD160" s="158" t="s">
        <v>447</v>
      </c>
      <c r="AE160" s="142" t="s">
        <v>448</v>
      </c>
      <c r="AH160" s="142" t="s">
        <v>495</v>
      </c>
      <c r="AK160" s="160"/>
    </row>
    <row r="161" spans="1:37" s="142" customFormat="1" hidden="1" x14ac:dyDescent="0.25">
      <c r="A161" s="150"/>
      <c r="B161" s="138"/>
      <c r="C161" s="139"/>
      <c r="D161" s="139"/>
      <c r="E161" s="139"/>
      <c r="F161" s="128"/>
      <c r="G161" s="139"/>
      <c r="H161" s="157">
        <v>485350</v>
      </c>
      <c r="I161" s="157">
        <v>485350</v>
      </c>
      <c r="J161" s="139"/>
      <c r="K161" s="13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40" t="s">
        <v>95</v>
      </c>
      <c r="AE161" s="141" t="s">
        <v>96</v>
      </c>
      <c r="AG161" s="142" t="s">
        <v>54</v>
      </c>
      <c r="AK161" s="160"/>
    </row>
    <row r="162" spans="1:37" s="142" customFormat="1" hidden="1" x14ac:dyDescent="0.25">
      <c r="A162" s="150"/>
      <c r="B162" s="138"/>
      <c r="C162" s="139"/>
      <c r="D162" s="139"/>
      <c r="E162" s="139"/>
      <c r="F162" s="128"/>
      <c r="G162" s="139"/>
      <c r="H162" s="157">
        <v>143370</v>
      </c>
      <c r="I162" s="157">
        <v>143370</v>
      </c>
      <c r="J162" s="139"/>
      <c r="K162" s="13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40" t="s">
        <v>77</v>
      </c>
      <c r="AE162" s="141" t="s">
        <v>78</v>
      </c>
      <c r="AG162" s="142" t="s">
        <v>54</v>
      </c>
      <c r="AK162" s="160"/>
    </row>
    <row r="163" spans="1:37" s="142" customFormat="1" hidden="1" x14ac:dyDescent="0.25">
      <c r="A163" s="150"/>
      <c r="B163" s="138"/>
      <c r="C163" s="139"/>
      <c r="D163" s="139"/>
      <c r="E163" s="139"/>
      <c r="F163" s="128"/>
      <c r="G163" s="139"/>
      <c r="H163" s="157">
        <v>586780</v>
      </c>
      <c r="I163" s="157">
        <v>586780</v>
      </c>
      <c r="J163" s="139"/>
      <c r="K163" s="13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40" t="s">
        <v>79</v>
      </c>
      <c r="AE163" s="141" t="s">
        <v>80</v>
      </c>
      <c r="AG163" s="142" t="s">
        <v>64</v>
      </c>
      <c r="AK163" s="160"/>
    </row>
    <row r="164" spans="1:37" s="142" customFormat="1" hidden="1" x14ac:dyDescent="0.25">
      <c r="A164" s="150"/>
      <c r="B164" s="138"/>
      <c r="C164" s="139"/>
      <c r="D164" s="139"/>
      <c r="E164" s="139"/>
      <c r="F164" s="128"/>
      <c r="G164" s="139"/>
      <c r="H164" s="157">
        <v>16385810.210000001</v>
      </c>
      <c r="I164" s="157">
        <v>17026714.210000001</v>
      </c>
      <c r="J164" s="139"/>
      <c r="K164" s="13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40" t="s">
        <v>97</v>
      </c>
      <c r="AE164" s="141" t="s">
        <v>98</v>
      </c>
      <c r="AG164" s="142" t="s">
        <v>54</v>
      </c>
      <c r="AK164" s="160"/>
    </row>
    <row r="165" spans="1:37" s="142" customFormat="1" hidden="1" x14ac:dyDescent="0.25">
      <c r="A165" s="150"/>
      <c r="B165" s="138"/>
      <c r="C165" s="139"/>
      <c r="D165" s="139"/>
      <c r="E165" s="139"/>
      <c r="F165" s="128"/>
      <c r="G165" s="139"/>
      <c r="H165" s="157">
        <v>2549130.0099999998</v>
      </c>
      <c r="I165" s="157">
        <v>2648420.0099999998</v>
      </c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40" t="s">
        <v>99</v>
      </c>
      <c r="AE165" s="141" t="s">
        <v>100</v>
      </c>
      <c r="AG165" s="142" t="s">
        <v>64</v>
      </c>
    </row>
    <row r="166" spans="1:37" s="142" customFormat="1" hidden="1" x14ac:dyDescent="0.25">
      <c r="A166" s="150"/>
      <c r="B166" s="138"/>
      <c r="C166" s="139"/>
      <c r="D166" s="139"/>
      <c r="E166" s="139"/>
      <c r="F166" s="128"/>
      <c r="G166" s="139"/>
      <c r="H166" s="157">
        <v>79999.98</v>
      </c>
      <c r="I166" s="157">
        <v>79999.98</v>
      </c>
      <c r="J166" s="139"/>
      <c r="K166" s="13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40" t="s">
        <v>52</v>
      </c>
      <c r="AE166" s="141" t="s">
        <v>53</v>
      </c>
      <c r="AG166" s="142" t="s">
        <v>54</v>
      </c>
    </row>
    <row r="167" spans="1:37" s="142" customFormat="1" hidden="1" x14ac:dyDescent="0.25">
      <c r="A167" s="150"/>
      <c r="B167" s="138"/>
      <c r="C167" s="139"/>
      <c r="D167" s="139"/>
      <c r="E167" s="139"/>
      <c r="F167" s="128"/>
      <c r="G167" s="139"/>
      <c r="H167" s="159">
        <v>1308316.75</v>
      </c>
      <c r="I167" s="159">
        <v>1788316.75</v>
      </c>
      <c r="AD167" s="158" t="s">
        <v>449</v>
      </c>
      <c r="AE167" s="142" t="s">
        <v>450</v>
      </c>
      <c r="AH167" s="142" t="s">
        <v>495</v>
      </c>
    </row>
    <row r="168" spans="1:37" s="142" customFormat="1" hidden="1" x14ac:dyDescent="0.25">
      <c r="A168" s="150"/>
      <c r="B168" s="138"/>
      <c r="C168" s="139"/>
      <c r="D168" s="139"/>
      <c r="E168" s="139"/>
      <c r="F168" s="128"/>
      <c r="G168" s="139"/>
      <c r="H168" s="159">
        <v>-0.17</v>
      </c>
      <c r="I168" s="159">
        <v>-0.17</v>
      </c>
      <c r="AD168" s="158" t="s">
        <v>451</v>
      </c>
      <c r="AE168" s="142" t="s">
        <v>452</v>
      </c>
      <c r="AH168" s="142" t="s">
        <v>495</v>
      </c>
    </row>
    <row r="169" spans="1:37" s="142" customFormat="1" hidden="1" x14ac:dyDescent="0.25">
      <c r="A169" s="150"/>
      <c r="B169" s="138"/>
      <c r="C169" s="139"/>
      <c r="D169" s="139"/>
      <c r="E169" s="139"/>
      <c r="F169" s="128"/>
      <c r="G169" s="139"/>
      <c r="H169" s="159">
        <v>258610.95</v>
      </c>
      <c r="I169" s="159">
        <v>260462.95</v>
      </c>
      <c r="AD169" s="158" t="s">
        <v>462</v>
      </c>
      <c r="AE169" s="142" t="s">
        <v>463</v>
      </c>
      <c r="AH169" s="142" t="s">
        <v>495</v>
      </c>
    </row>
    <row r="170" spans="1:37" s="142" customFormat="1" hidden="1" x14ac:dyDescent="0.25">
      <c r="A170" s="150"/>
      <c r="B170" s="138"/>
      <c r="C170" s="139"/>
      <c r="D170" s="139"/>
      <c r="E170" s="139"/>
      <c r="F170" s="128"/>
      <c r="G170" s="139"/>
      <c r="H170" s="159">
        <v>-16371</v>
      </c>
      <c r="I170" s="159">
        <v>0.48</v>
      </c>
      <c r="AD170" s="158" t="s">
        <v>464</v>
      </c>
      <c r="AE170" s="142" t="s">
        <v>465</v>
      </c>
      <c r="AH170" s="142" t="s">
        <v>495</v>
      </c>
    </row>
    <row r="171" spans="1:37" s="142" customFormat="1" hidden="1" x14ac:dyDescent="0.25">
      <c r="A171" s="150"/>
      <c r="B171" s="138"/>
      <c r="C171" s="139"/>
      <c r="D171" s="139"/>
      <c r="E171" s="139"/>
      <c r="F171" s="128"/>
      <c r="G171" s="139"/>
      <c r="H171" s="157">
        <v>225201.19</v>
      </c>
      <c r="I171" s="157">
        <v>198019.63</v>
      </c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40" t="s">
        <v>107</v>
      </c>
      <c r="AE171" s="141" t="s">
        <v>108</v>
      </c>
      <c r="AG171" s="142" t="s">
        <v>61</v>
      </c>
    </row>
    <row r="172" spans="1:37" s="142" customFormat="1" hidden="1" x14ac:dyDescent="0.25">
      <c r="A172" s="150"/>
      <c r="B172" s="138"/>
      <c r="C172" s="139"/>
      <c r="D172" s="139"/>
      <c r="E172" s="139"/>
      <c r="F172" s="128"/>
      <c r="G172" s="139"/>
      <c r="H172" s="157">
        <v>186674.27</v>
      </c>
      <c r="I172" s="157">
        <v>188088.13</v>
      </c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40" t="s">
        <v>103</v>
      </c>
      <c r="AE172" s="141" t="s">
        <v>104</v>
      </c>
      <c r="AG172" s="142" t="s">
        <v>61</v>
      </c>
    </row>
    <row r="173" spans="1:37" s="142" customFormat="1" hidden="1" x14ac:dyDescent="0.25">
      <c r="A173" s="150"/>
      <c r="B173" s="138"/>
      <c r="C173" s="139"/>
      <c r="D173" s="139"/>
      <c r="E173" s="139"/>
      <c r="F173" s="128"/>
      <c r="G173" s="139"/>
      <c r="H173" s="157">
        <v>0.03</v>
      </c>
      <c r="I173" s="157">
        <v>0.03</v>
      </c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40" t="s">
        <v>109</v>
      </c>
      <c r="AE173" s="141" t="s">
        <v>110</v>
      </c>
      <c r="AG173" s="142" t="s">
        <v>61</v>
      </c>
    </row>
    <row r="174" spans="1:37" s="142" customFormat="1" hidden="1" x14ac:dyDescent="0.25">
      <c r="A174" s="150"/>
      <c r="B174" s="138"/>
      <c r="C174" s="139"/>
      <c r="D174" s="139"/>
      <c r="E174" s="139"/>
      <c r="F174" s="128"/>
      <c r="G174" s="139"/>
      <c r="H174" s="157">
        <v>356877.71</v>
      </c>
      <c r="I174" s="157">
        <v>356877.71</v>
      </c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40" t="s">
        <v>101</v>
      </c>
      <c r="AE174" s="141" t="s">
        <v>102</v>
      </c>
      <c r="AG174" s="142" t="s">
        <v>61</v>
      </c>
    </row>
    <row r="175" spans="1:37" s="142" customFormat="1" hidden="1" x14ac:dyDescent="0.25">
      <c r="A175" s="150"/>
      <c r="B175" s="138"/>
      <c r="C175" s="139"/>
      <c r="D175" s="139"/>
      <c r="E175" s="139"/>
      <c r="F175" s="128"/>
      <c r="G175" s="139"/>
      <c r="H175" s="157">
        <v>3224.16</v>
      </c>
      <c r="I175" s="157">
        <v>3331</v>
      </c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40" t="s">
        <v>105</v>
      </c>
      <c r="AE175" s="141" t="s">
        <v>106</v>
      </c>
      <c r="AG175" s="142" t="s">
        <v>61</v>
      </c>
    </row>
    <row r="176" spans="1:37" s="142" customFormat="1" hidden="1" x14ac:dyDescent="0.25">
      <c r="A176" s="150"/>
      <c r="B176" s="138"/>
      <c r="C176" s="139"/>
      <c r="D176" s="139"/>
      <c r="E176" s="139"/>
      <c r="F176" s="128"/>
      <c r="G176" s="139"/>
      <c r="H176" s="142">
        <v>-1041594.06</v>
      </c>
      <c r="I176" s="159">
        <v>-1040776.06</v>
      </c>
      <c r="AD176" s="158" t="s">
        <v>466</v>
      </c>
      <c r="AE176" s="142" t="s">
        <v>448</v>
      </c>
      <c r="AH176" s="142" t="s">
        <v>495</v>
      </c>
    </row>
    <row r="177" spans="1:34" s="142" customFormat="1" hidden="1" x14ac:dyDescent="0.25">
      <c r="A177" s="150"/>
      <c r="B177" s="138"/>
      <c r="C177" s="139"/>
      <c r="D177" s="139"/>
      <c r="E177" s="139"/>
      <c r="F177" s="128"/>
      <c r="G177" s="139"/>
      <c r="H177" s="159">
        <v>0.44</v>
      </c>
      <c r="I177" s="142">
        <v>0.44</v>
      </c>
      <c r="AD177" s="158" t="s">
        <v>467</v>
      </c>
      <c r="AE177" s="142" t="s">
        <v>442</v>
      </c>
      <c r="AH177" s="142" t="s">
        <v>495</v>
      </c>
    </row>
    <row r="178" spans="1:34" s="142" customFormat="1" hidden="1" x14ac:dyDescent="0.25">
      <c r="A178" s="150"/>
      <c r="B178" s="138"/>
      <c r="C178" s="139"/>
      <c r="D178" s="139"/>
      <c r="E178" s="139"/>
      <c r="F178" s="128"/>
      <c r="G178" s="139"/>
      <c r="H178" s="159">
        <v>512067.9</v>
      </c>
      <c r="I178" s="157">
        <v>512067.9</v>
      </c>
      <c r="J178" s="139"/>
      <c r="K178" s="13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40" t="s">
        <v>65</v>
      </c>
      <c r="AE178" s="141" t="s">
        <v>66</v>
      </c>
      <c r="AG178" s="142" t="s">
        <v>61</v>
      </c>
    </row>
    <row r="179" spans="1:34" s="142" customFormat="1" hidden="1" x14ac:dyDescent="0.25">
      <c r="A179" s="150"/>
      <c r="B179" s="138"/>
      <c r="C179" s="139"/>
      <c r="D179" s="139"/>
      <c r="E179" s="139"/>
      <c r="F179" s="128"/>
      <c r="G179" s="139"/>
      <c r="H179" s="159">
        <v>0.25</v>
      </c>
      <c r="I179" s="157">
        <v>0.25</v>
      </c>
      <c r="J179" s="139"/>
      <c r="K179" s="13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40" t="s">
        <v>67</v>
      </c>
      <c r="AE179" s="141" t="s">
        <v>68</v>
      </c>
      <c r="AG179" s="142" t="s">
        <v>61</v>
      </c>
    </row>
    <row r="180" spans="1:34" s="142" customFormat="1" hidden="1" x14ac:dyDescent="0.25">
      <c r="A180" s="150"/>
      <c r="B180" s="138"/>
      <c r="C180" s="139"/>
      <c r="D180" s="139"/>
      <c r="E180" s="139"/>
      <c r="F180" s="128"/>
      <c r="G180" s="139"/>
      <c r="H180" s="159">
        <v>0.22</v>
      </c>
      <c r="I180" s="159">
        <v>-0.25</v>
      </c>
      <c r="AD180" s="158" t="s">
        <v>468</v>
      </c>
      <c r="AE180" s="142" t="s">
        <v>469</v>
      </c>
      <c r="AH180" s="142" t="s">
        <v>495</v>
      </c>
    </row>
    <row r="181" spans="1:34" s="142" customFormat="1" hidden="1" x14ac:dyDescent="0.25">
      <c r="A181" s="150"/>
      <c r="B181" s="138"/>
      <c r="C181" s="139"/>
      <c r="D181" s="139"/>
      <c r="E181" s="139"/>
      <c r="F181" s="128"/>
      <c r="G181" s="139"/>
      <c r="H181" s="159">
        <v>-0.31</v>
      </c>
      <c r="I181" s="159">
        <v>-0.06</v>
      </c>
      <c r="AD181" s="158" t="s">
        <v>470</v>
      </c>
      <c r="AE181" s="142" t="s">
        <v>471</v>
      </c>
      <c r="AH181" s="142" t="s">
        <v>495</v>
      </c>
    </row>
    <row r="182" spans="1:34" s="142" customFormat="1" hidden="1" x14ac:dyDescent="0.25">
      <c r="A182" s="150"/>
      <c r="B182" s="138"/>
      <c r="C182" s="139"/>
      <c r="D182" s="139"/>
      <c r="E182" s="139"/>
      <c r="F182" s="128"/>
      <c r="G182" s="139"/>
      <c r="H182" s="159">
        <v>-0.38</v>
      </c>
      <c r="I182" s="159">
        <v>0.37</v>
      </c>
      <c r="AD182" s="158" t="s">
        <v>472</v>
      </c>
      <c r="AE182" s="142" t="s">
        <v>473</v>
      </c>
      <c r="AH182" s="142" t="s">
        <v>495</v>
      </c>
    </row>
    <row r="183" spans="1:34" s="142" customFormat="1" hidden="1" x14ac:dyDescent="0.25">
      <c r="A183" s="150"/>
      <c r="B183" s="138"/>
      <c r="C183" s="139"/>
      <c r="D183" s="139"/>
      <c r="E183" s="139"/>
      <c r="F183" s="128"/>
      <c r="G183" s="139"/>
      <c r="H183" s="159">
        <v>0.34</v>
      </c>
      <c r="I183" s="159">
        <v>0.34</v>
      </c>
      <c r="AD183" s="158" t="s">
        <v>474</v>
      </c>
      <c r="AE183" s="142" t="s">
        <v>475</v>
      </c>
      <c r="AH183" s="142" t="s">
        <v>495</v>
      </c>
    </row>
    <row r="184" spans="1:34" s="142" customFormat="1" hidden="1" x14ac:dyDescent="0.25">
      <c r="A184" s="150"/>
      <c r="B184" s="138"/>
      <c r="C184" s="139"/>
      <c r="D184" s="139"/>
      <c r="E184" s="139"/>
      <c r="F184" s="128"/>
      <c r="G184" s="139"/>
      <c r="H184" s="159">
        <v>-0.09</v>
      </c>
      <c r="I184" s="159">
        <v>-0.09</v>
      </c>
      <c r="AD184" s="158" t="s">
        <v>476</v>
      </c>
      <c r="AE184" s="142" t="s">
        <v>477</v>
      </c>
      <c r="AH184" s="142" t="s">
        <v>495</v>
      </c>
    </row>
    <row r="185" spans="1:34" s="142" customFormat="1" hidden="1" x14ac:dyDescent="0.25">
      <c r="A185" s="150"/>
      <c r="B185" s="138"/>
      <c r="C185" s="139"/>
      <c r="D185" s="139"/>
      <c r="E185" s="139"/>
      <c r="F185" s="128"/>
      <c r="G185" s="139"/>
      <c r="H185" s="159">
        <v>-0.27</v>
      </c>
      <c r="I185" s="159">
        <v>-0.27</v>
      </c>
      <c r="AD185" s="158" t="s">
        <v>480</v>
      </c>
      <c r="AE185" s="142" t="s">
        <v>479</v>
      </c>
      <c r="AH185" s="142" t="s">
        <v>495</v>
      </c>
    </row>
    <row r="186" spans="1:34" s="142" customFormat="1" hidden="1" x14ac:dyDescent="0.25">
      <c r="A186" s="150"/>
      <c r="B186" s="138"/>
      <c r="C186" s="139"/>
      <c r="D186" s="139"/>
      <c r="E186" s="139"/>
      <c r="F186" s="128"/>
      <c r="G186" s="139"/>
      <c r="H186" s="159">
        <v>-0.45</v>
      </c>
      <c r="I186" s="159">
        <v>0.35</v>
      </c>
      <c r="AD186" s="158" t="s">
        <v>493</v>
      </c>
      <c r="AE186" s="142" t="s">
        <v>444</v>
      </c>
      <c r="AH186" s="142" t="s">
        <v>495</v>
      </c>
    </row>
    <row r="187" spans="1:34" s="142" customFormat="1" hidden="1" x14ac:dyDescent="0.25">
      <c r="A187" s="150"/>
      <c r="B187" s="138"/>
      <c r="C187" s="139"/>
      <c r="D187" s="139"/>
      <c r="E187" s="139"/>
      <c r="F187" s="128"/>
      <c r="G187" s="139"/>
      <c r="H187" s="159">
        <v>-0.21</v>
      </c>
      <c r="I187" s="159">
        <v>0.31</v>
      </c>
      <c r="AD187" s="158" t="s">
        <v>478</v>
      </c>
      <c r="AE187" s="142" t="s">
        <v>481</v>
      </c>
      <c r="AH187" s="142" t="s">
        <v>495</v>
      </c>
    </row>
    <row r="188" spans="1:34" s="142" customFormat="1" hidden="1" x14ac:dyDescent="0.25">
      <c r="A188" s="150"/>
      <c r="B188" s="138"/>
      <c r="C188" s="139"/>
      <c r="D188" s="139"/>
      <c r="E188" s="139"/>
      <c r="F188" s="128"/>
      <c r="G188" s="139"/>
      <c r="H188" s="159">
        <v>10000</v>
      </c>
      <c r="I188" s="159">
        <v>10000</v>
      </c>
      <c r="AD188" s="158" t="s">
        <v>482</v>
      </c>
      <c r="AE188" s="142" t="s">
        <v>483</v>
      </c>
      <c r="AH188" s="142" t="s">
        <v>495</v>
      </c>
    </row>
    <row r="189" spans="1:34" s="142" customFormat="1" hidden="1" x14ac:dyDescent="0.25">
      <c r="A189" s="150"/>
      <c r="B189" s="138"/>
      <c r="C189" s="139"/>
      <c r="D189" s="139"/>
      <c r="E189" s="139"/>
      <c r="F189" s="128"/>
      <c r="G189" s="139"/>
      <c r="H189" s="159">
        <v>9636.58</v>
      </c>
      <c r="I189" s="159">
        <v>9636.58</v>
      </c>
      <c r="AD189" s="158" t="s">
        <v>484</v>
      </c>
      <c r="AE189" s="142" t="s">
        <v>485</v>
      </c>
      <c r="AH189" s="142" t="s">
        <v>495</v>
      </c>
    </row>
    <row r="190" spans="1:34" s="142" customFormat="1" hidden="1" x14ac:dyDescent="0.25">
      <c r="A190" s="150"/>
      <c r="B190" s="138"/>
      <c r="C190" s="139"/>
      <c r="D190" s="139"/>
      <c r="E190" s="139"/>
      <c r="F190" s="128"/>
      <c r="G190" s="139"/>
      <c r="H190" s="159">
        <v>33000.6</v>
      </c>
      <c r="I190" s="159">
        <v>33000.6</v>
      </c>
      <c r="AD190" s="158" t="s">
        <v>486</v>
      </c>
      <c r="AE190" s="142" t="s">
        <v>487</v>
      </c>
      <c r="AH190" s="142" t="s">
        <v>495</v>
      </c>
    </row>
    <row r="191" spans="1:34" s="142" customFormat="1" hidden="1" x14ac:dyDescent="0.25">
      <c r="A191" s="150"/>
      <c r="B191" s="138"/>
      <c r="C191" s="139"/>
      <c r="D191" s="139"/>
      <c r="E191" s="139"/>
      <c r="F191" s="128"/>
      <c r="G191" s="139"/>
      <c r="H191" s="159">
        <v>15510</v>
      </c>
      <c r="I191" s="159">
        <v>15510</v>
      </c>
      <c r="AD191" s="158" t="s">
        <v>488</v>
      </c>
      <c r="AE191" s="142" t="s">
        <v>489</v>
      </c>
      <c r="AH191" s="142" t="s">
        <v>495</v>
      </c>
    </row>
    <row r="192" spans="1:34" s="142" customFormat="1" hidden="1" x14ac:dyDescent="0.25">
      <c r="A192" s="150"/>
      <c r="B192" s="138"/>
      <c r="C192" s="139"/>
      <c r="D192" s="139"/>
      <c r="E192" s="139"/>
      <c r="F192" s="128"/>
      <c r="G192" s="139"/>
      <c r="H192" s="159">
        <v>0.05</v>
      </c>
      <c r="I192" s="159">
        <v>0.05</v>
      </c>
      <c r="AD192" s="158" t="s">
        <v>490</v>
      </c>
      <c r="AE192" s="142" t="s">
        <v>491</v>
      </c>
      <c r="AH192" s="142" t="s">
        <v>495</v>
      </c>
    </row>
    <row r="193" spans="1:34" s="142" customFormat="1" hidden="1" x14ac:dyDescent="0.25">
      <c r="A193" s="150"/>
      <c r="B193" s="138"/>
      <c r="C193" s="139"/>
      <c r="D193" s="139"/>
      <c r="E193" s="139"/>
      <c r="F193" s="128"/>
      <c r="G193" s="139"/>
      <c r="H193" s="159">
        <v>-0.5</v>
      </c>
      <c r="I193" s="159">
        <v>0.34</v>
      </c>
      <c r="AD193" s="158" t="s">
        <v>492</v>
      </c>
      <c r="AE193" s="142" t="s">
        <v>452</v>
      </c>
      <c r="AH193" s="142" t="s">
        <v>495</v>
      </c>
    </row>
    <row r="194" spans="1:34" s="26" customFormat="1" x14ac:dyDescent="0.25">
      <c r="A194" s="149">
        <v>10</v>
      </c>
      <c r="B194" s="164" t="s">
        <v>145</v>
      </c>
      <c r="C194" s="49">
        <v>0</v>
      </c>
      <c r="D194" s="49">
        <v>645000</v>
      </c>
      <c r="E194" s="86">
        <f>D194</f>
        <v>645000</v>
      </c>
      <c r="F194" s="49">
        <f>E194</f>
        <v>645000</v>
      </c>
      <c r="G194" s="49">
        <f t="shared" ref="G194:AC194" si="11">F194</f>
        <v>645000</v>
      </c>
      <c r="H194" s="49">
        <f t="shared" si="11"/>
        <v>645000</v>
      </c>
      <c r="I194" s="49">
        <f>H194</f>
        <v>645000</v>
      </c>
      <c r="J194" s="49">
        <f t="shared" si="11"/>
        <v>645000</v>
      </c>
      <c r="K194" s="49">
        <f t="shared" si="11"/>
        <v>645000</v>
      </c>
      <c r="L194" s="49">
        <f t="shared" si="11"/>
        <v>645000</v>
      </c>
      <c r="M194" s="49">
        <f t="shared" si="11"/>
        <v>645000</v>
      </c>
      <c r="N194" s="49">
        <f t="shared" si="11"/>
        <v>645000</v>
      </c>
      <c r="O194" s="49">
        <f t="shared" si="11"/>
        <v>645000</v>
      </c>
      <c r="P194" s="49">
        <f t="shared" si="11"/>
        <v>645000</v>
      </c>
      <c r="Q194" s="49">
        <f t="shared" si="11"/>
        <v>645000</v>
      </c>
      <c r="R194" s="49">
        <f t="shared" si="11"/>
        <v>645000</v>
      </c>
      <c r="S194" s="49">
        <f t="shared" si="11"/>
        <v>645000</v>
      </c>
      <c r="T194" s="49">
        <f t="shared" si="11"/>
        <v>645000</v>
      </c>
      <c r="U194" s="49">
        <f t="shared" si="11"/>
        <v>645000</v>
      </c>
      <c r="V194" s="49">
        <f t="shared" si="11"/>
        <v>645000</v>
      </c>
      <c r="W194" s="49">
        <f t="shared" si="11"/>
        <v>645000</v>
      </c>
      <c r="X194" s="49">
        <f t="shared" si="11"/>
        <v>645000</v>
      </c>
      <c r="Y194" s="49">
        <f t="shared" si="11"/>
        <v>645000</v>
      </c>
      <c r="Z194" s="49">
        <f t="shared" si="11"/>
        <v>645000</v>
      </c>
      <c r="AA194" s="49">
        <f t="shared" si="11"/>
        <v>645000</v>
      </c>
      <c r="AB194" s="49">
        <f t="shared" si="11"/>
        <v>645000</v>
      </c>
      <c r="AC194" s="49">
        <f t="shared" si="11"/>
        <v>645000</v>
      </c>
      <c r="AD194" s="51" t="s">
        <v>397</v>
      </c>
    </row>
    <row r="195" spans="1:34" s="26" customFormat="1" x14ac:dyDescent="0.25">
      <c r="A195" s="149">
        <v>11</v>
      </c>
      <c r="B195" s="26" t="s">
        <v>176</v>
      </c>
      <c r="C195" s="49">
        <f>'Loan Repayment Schedule'!K2</f>
        <v>455887.2</v>
      </c>
      <c r="D195" s="49">
        <f>'Loan Repayment Schedule'!L2</f>
        <v>455789.4</v>
      </c>
      <c r="E195" s="86">
        <f>'Loan Repayment Schedule'!M2</f>
        <v>455737.59999999998</v>
      </c>
      <c r="F195" s="49">
        <f>'Loan Repayment Schedule'!N2</f>
        <v>457936.4</v>
      </c>
      <c r="G195" s="49">
        <f>'Loan Repayment Schedule'!O2</f>
        <v>457985.8</v>
      </c>
      <c r="H195" s="49">
        <f>'Loan Repayment Schedule'!P2</f>
        <v>458085.8</v>
      </c>
      <c r="I195" s="49">
        <f>'Loan Repayment Schedule'!Q2</f>
        <v>458036.4</v>
      </c>
      <c r="J195" s="49">
        <f>'Loan Repayment Schedule'!R2</f>
        <v>458042.2</v>
      </c>
      <c r="K195" s="49">
        <f>'Loan Repayment Schedule'!S2</f>
        <v>460099.2</v>
      </c>
      <c r="L195" s="49">
        <f>'Loan Repayment Schedule'!T2</f>
        <v>458024</v>
      </c>
      <c r="M195" s="49">
        <f>'Loan Repayment Schedule'!U2</f>
        <v>0</v>
      </c>
      <c r="N195" s="49">
        <f>'Loan Repayment Schedule'!V2</f>
        <v>0</v>
      </c>
      <c r="O195" s="49">
        <f>'Loan Repayment Schedule'!W2</f>
        <v>0</v>
      </c>
      <c r="P195" s="49">
        <f>'Loan Repayment Schedule'!X2</f>
        <v>0</v>
      </c>
      <c r="Q195" s="49">
        <f>'Loan Repayment Schedule'!Y2</f>
        <v>0</v>
      </c>
      <c r="R195" s="49">
        <f>'Loan Repayment Schedule'!Z2</f>
        <v>0</v>
      </c>
      <c r="S195" s="49">
        <f>'Loan Repayment Schedule'!AA2</f>
        <v>0</v>
      </c>
      <c r="T195" s="49">
        <f>'Loan Repayment Schedule'!AB2</f>
        <v>0</v>
      </c>
      <c r="U195" s="49">
        <f>'Loan Repayment Schedule'!AC2</f>
        <v>0</v>
      </c>
      <c r="V195" s="49">
        <v>0</v>
      </c>
      <c r="W195" s="49">
        <f>'Loan Repayment Schedule'!AE2</f>
        <v>0</v>
      </c>
      <c r="X195" s="49">
        <f>'Loan Repayment Schedule'!AF2</f>
        <v>0</v>
      </c>
      <c r="Y195" s="49">
        <f>'Loan Repayment Schedule'!AG2</f>
        <v>0</v>
      </c>
      <c r="Z195" s="49">
        <f>'Loan Repayment Schedule'!AH2</f>
        <v>0</v>
      </c>
      <c r="AA195" s="49">
        <f>'Loan Repayment Schedule'!AI2</f>
        <v>0</v>
      </c>
      <c r="AB195" s="49">
        <f>'Loan Repayment Schedule'!AJ2</f>
        <v>0</v>
      </c>
      <c r="AC195" s="49">
        <f>'Loan Repayment Schedule'!AK2</f>
        <v>0</v>
      </c>
      <c r="AD195" s="51" t="s">
        <v>120</v>
      </c>
      <c r="AE195" s="26" t="s">
        <v>149</v>
      </c>
    </row>
    <row r="196" spans="1:34" s="26" customFormat="1" x14ac:dyDescent="0.25">
      <c r="A196" s="149">
        <v>12</v>
      </c>
      <c r="B196" s="26" t="s">
        <v>519</v>
      </c>
      <c r="C196" s="49">
        <f>'Loan Repayment Schedule'!K3</f>
        <v>0</v>
      </c>
      <c r="D196" s="49">
        <f>'Loan Repayment Schedule'!L3</f>
        <v>0</v>
      </c>
      <c r="E196" s="86">
        <f>'Loan Repayment Schedule'!M3</f>
        <v>0</v>
      </c>
      <c r="F196" s="49">
        <f>'Loan Repayment Schedule'!N3</f>
        <v>0</v>
      </c>
      <c r="G196" s="49">
        <f>'Loan Repayment Schedule'!O3</f>
        <v>0</v>
      </c>
      <c r="H196" s="49">
        <f>'Loan Repayment Schedule'!P3</f>
        <v>0</v>
      </c>
      <c r="I196" s="49">
        <f>'Loan Repayment Schedule'!Q3</f>
        <v>0</v>
      </c>
      <c r="J196" s="49">
        <f>'Loan Repayment Schedule'!R3</f>
        <v>0</v>
      </c>
      <c r="K196" s="49">
        <f>'Loan Repayment Schedule'!S3</f>
        <v>0</v>
      </c>
      <c r="L196" s="49">
        <f>'Loan Repayment Schedule'!T3</f>
        <v>0</v>
      </c>
      <c r="M196" s="49">
        <f>'[1]Loan Schedule 2'!L9</f>
        <v>396425.73962632404</v>
      </c>
      <c r="N196" s="49">
        <f>'[1]Loan Schedule 2'!M9</f>
        <v>396722.39566513745</v>
      </c>
      <c r="O196" s="49">
        <f>'[1]Loan Schedule 2'!N9</f>
        <v>396448.02364801912</v>
      </c>
      <c r="P196" s="49">
        <f>'[1]Loan Schedule 2'!O9</f>
        <v>396541.80223931849</v>
      </c>
      <c r="Q196" s="49">
        <f>'[1]Loan Schedule 2'!P9</f>
        <v>396528.80322666309</v>
      </c>
      <c r="R196" s="49">
        <f>'[1]Loan Schedule 2'!Q9</f>
        <v>401515.78158179822</v>
      </c>
      <c r="S196" s="49">
        <f>'[1]Loan Schedule 2'!R9</f>
        <v>401742.80005281488</v>
      </c>
      <c r="T196" s="49">
        <f>'[1]Loan Schedule 2'!S9</f>
        <v>401863.04091987689</v>
      </c>
      <c r="U196" s="49">
        <f>'[1]Loan Schedule 2'!T9</f>
        <v>396759.07145084359</v>
      </c>
      <c r="V196" s="49">
        <f>'[1]Loan Schedule 2'!U9</f>
        <v>396644.40158920537</v>
      </c>
      <c r="W196" s="49">
        <f>'[1]Loan Schedule 2'!V9</f>
        <v>0</v>
      </c>
      <c r="X196" s="49">
        <f>'Loan Repayment Schedule'!AF3</f>
        <v>0</v>
      </c>
      <c r="Y196" s="49">
        <f>'Loan Repayment Schedule'!AG3</f>
        <v>0</v>
      </c>
      <c r="Z196" s="49">
        <f>'Loan Repayment Schedule'!AH3</f>
        <v>0</v>
      </c>
      <c r="AA196" s="49">
        <f>'Loan Repayment Schedule'!AI3</f>
        <v>0</v>
      </c>
      <c r="AB196" s="49">
        <f>'Loan Repayment Schedule'!AJ3</f>
        <v>0</v>
      </c>
      <c r="AC196" s="49">
        <f>'Loan Repayment Schedule'!AK3</f>
        <v>0</v>
      </c>
      <c r="AD196" s="51" t="s">
        <v>120</v>
      </c>
      <c r="AE196" s="26" t="s">
        <v>149</v>
      </c>
    </row>
    <row r="197" spans="1:34" s="120" customFormat="1" hidden="1" x14ac:dyDescent="0.25">
      <c r="A197" s="149"/>
      <c r="C197" s="143">
        <v>455887.2</v>
      </c>
      <c r="D197" s="143">
        <v>455789.4</v>
      </c>
      <c r="E197" s="143">
        <v>455737.59999999998</v>
      </c>
      <c r="F197" s="128"/>
      <c r="G197" s="128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4"/>
      <c r="AE197" s="138" t="s">
        <v>398</v>
      </c>
    </row>
    <row r="198" spans="1:34" s="26" customFormat="1" x14ac:dyDescent="0.25">
      <c r="A198" s="149">
        <v>12</v>
      </c>
      <c r="B198" s="26" t="s">
        <v>41</v>
      </c>
      <c r="C198" s="49">
        <v>1702</v>
      </c>
      <c r="D198" s="53">
        <v>0</v>
      </c>
      <c r="E198" s="86">
        <v>17096</v>
      </c>
      <c r="F198" s="49">
        <f>F199</f>
        <v>0</v>
      </c>
      <c r="G198" s="49">
        <f t="shared" ref="G198:AC198" si="12">G199</f>
        <v>59.94</v>
      </c>
      <c r="H198" s="49">
        <f t="shared" si="12"/>
        <v>0</v>
      </c>
      <c r="I198" s="49">
        <f t="shared" si="12"/>
        <v>0</v>
      </c>
      <c r="J198" s="49">
        <f t="shared" si="12"/>
        <v>0</v>
      </c>
      <c r="K198" s="49">
        <f t="shared" si="12"/>
        <v>0</v>
      </c>
      <c r="L198" s="49">
        <f t="shared" si="12"/>
        <v>0</v>
      </c>
      <c r="M198" s="49">
        <f t="shared" si="12"/>
        <v>0</v>
      </c>
      <c r="N198" s="49">
        <f t="shared" si="12"/>
        <v>0</v>
      </c>
      <c r="O198" s="49">
        <f t="shared" si="12"/>
        <v>0</v>
      </c>
      <c r="P198" s="49">
        <f t="shared" si="12"/>
        <v>0</v>
      </c>
      <c r="Q198" s="49">
        <f t="shared" si="12"/>
        <v>0</v>
      </c>
      <c r="R198" s="49">
        <f t="shared" si="12"/>
        <v>0</v>
      </c>
      <c r="S198" s="49">
        <f t="shared" si="12"/>
        <v>0</v>
      </c>
      <c r="T198" s="49">
        <f t="shared" si="12"/>
        <v>0</v>
      </c>
      <c r="U198" s="49">
        <f t="shared" si="12"/>
        <v>0</v>
      </c>
      <c r="V198" s="49">
        <f t="shared" si="12"/>
        <v>0</v>
      </c>
      <c r="W198" s="49">
        <f t="shared" si="12"/>
        <v>0</v>
      </c>
      <c r="X198" s="49">
        <f t="shared" si="12"/>
        <v>0</v>
      </c>
      <c r="Y198" s="49">
        <f t="shared" si="12"/>
        <v>0</v>
      </c>
      <c r="Z198" s="49">
        <f t="shared" si="12"/>
        <v>0</v>
      </c>
      <c r="AA198" s="49">
        <f t="shared" si="12"/>
        <v>0</v>
      </c>
      <c r="AB198" s="49">
        <f t="shared" si="12"/>
        <v>0</v>
      </c>
      <c r="AC198" s="49">
        <f t="shared" si="12"/>
        <v>0</v>
      </c>
      <c r="AD198" s="51" t="s">
        <v>121</v>
      </c>
    </row>
    <row r="199" spans="1:34" s="120" customFormat="1" hidden="1" x14ac:dyDescent="0.25">
      <c r="A199" s="149"/>
      <c r="C199" s="121"/>
      <c r="D199" s="145"/>
      <c r="E199" s="121"/>
      <c r="F199" s="128">
        <v>0</v>
      </c>
      <c r="G199" s="128">
        <v>59.94</v>
      </c>
      <c r="H199" s="121">
        <v>0</v>
      </c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9" t="s">
        <v>148</v>
      </c>
      <c r="AH199" s="120" t="s">
        <v>499</v>
      </c>
    </row>
    <row r="200" spans="1:34" s="26" customFormat="1" x14ac:dyDescent="0.25">
      <c r="A200" s="149">
        <v>13</v>
      </c>
      <c r="B200" s="26" t="s">
        <v>114</v>
      </c>
      <c r="C200" s="49">
        <v>0</v>
      </c>
      <c r="D200" s="49">
        <v>0</v>
      </c>
      <c r="E200" s="86">
        <v>0</v>
      </c>
      <c r="F200" s="86">
        <v>0</v>
      </c>
      <c r="G200" s="86">
        <v>0</v>
      </c>
      <c r="H200" s="86">
        <v>129600</v>
      </c>
      <c r="I200" s="86">
        <v>569000</v>
      </c>
      <c r="J200" s="49">
        <f>'System Improvements'!E42</f>
        <v>846600</v>
      </c>
      <c r="K200" s="49">
        <f>'System Improvements'!F42</f>
        <v>582841.59999999998</v>
      </c>
      <c r="L200" s="49">
        <f>'System Improvements'!G42</f>
        <v>577083.19999999995</v>
      </c>
      <c r="M200" s="49">
        <f>'System Improvements'!H42</f>
        <v>662324.80000000005</v>
      </c>
      <c r="N200" s="49">
        <f>'System Improvements'!I42</f>
        <v>566566.40000000002</v>
      </c>
      <c r="O200" s="49">
        <f>'System Improvements'!J42</f>
        <v>608808</v>
      </c>
      <c r="P200" s="49">
        <f>'System Improvements'!K42</f>
        <v>565049.59999999998</v>
      </c>
      <c r="Q200" s="49">
        <f>'System Improvements'!L42</f>
        <v>1893049.6</v>
      </c>
      <c r="R200" s="49">
        <f>'System Improvements'!M42</f>
        <v>224049.59999999998</v>
      </c>
      <c r="S200" s="49">
        <f>'System Improvements'!N42</f>
        <v>266049.59999999998</v>
      </c>
      <c r="T200" s="49">
        <f>AVERAGE(I200:S200)</f>
        <v>669220.21818181803</v>
      </c>
      <c r="U200" s="49">
        <f>AVERAGE(J200:T200)</f>
        <v>678331.14710743784</v>
      </c>
      <c r="V200" s="49">
        <f t="shared" ref="V200:AC201" si="13">AVERAGE(K200:U200)</f>
        <v>663033.97866265953</v>
      </c>
      <c r="W200" s="49">
        <f t="shared" si="13"/>
        <v>670324.19490471948</v>
      </c>
      <c r="X200" s="49">
        <f t="shared" si="13"/>
        <v>678800.64898696681</v>
      </c>
      <c r="Y200" s="49">
        <f t="shared" si="13"/>
        <v>680298.45344032755</v>
      </c>
      <c r="Z200" s="49">
        <f t="shared" si="13"/>
        <v>690637.73102581175</v>
      </c>
      <c r="AA200" s="49">
        <f t="shared" si="13"/>
        <v>698076.7974827037</v>
      </c>
      <c r="AB200" s="49">
        <f t="shared" si="13"/>
        <v>710170.17907204048</v>
      </c>
      <c r="AC200" s="49">
        <f t="shared" si="13"/>
        <v>602635.68626040767</v>
      </c>
      <c r="AD200" s="51"/>
    </row>
    <row r="201" spans="1:34" s="26" customFormat="1" x14ac:dyDescent="0.25">
      <c r="A201" s="149">
        <v>14</v>
      </c>
      <c r="B201" s="164" t="s">
        <v>166</v>
      </c>
      <c r="C201" s="49">
        <v>0</v>
      </c>
      <c r="D201" s="49">
        <v>0</v>
      </c>
      <c r="E201" s="86">
        <v>0</v>
      </c>
      <c r="F201" s="86">
        <v>0</v>
      </c>
      <c r="G201" s="86">
        <v>0</v>
      </c>
      <c r="H201" s="86">
        <v>920750</v>
      </c>
      <c r="I201" s="86">
        <v>850125</v>
      </c>
      <c r="J201" s="49">
        <f>'System Improvements'!E26</f>
        <v>118250</v>
      </c>
      <c r="K201" s="49">
        <f>'System Improvements'!F26</f>
        <v>441750</v>
      </c>
      <c r="L201" s="49">
        <f>'System Improvements'!G26</f>
        <v>351000</v>
      </c>
      <c r="M201" s="49">
        <f>'System Improvements'!H26</f>
        <v>268750</v>
      </c>
      <c r="N201" s="49">
        <f>'System Improvements'!I26</f>
        <v>550000</v>
      </c>
      <c r="O201" s="49">
        <f>'System Improvements'!J26</f>
        <v>362100</v>
      </c>
      <c r="P201" s="49">
        <f>'System Improvements'!K26</f>
        <v>985050</v>
      </c>
      <c r="Q201" s="49">
        <f>'System Improvements'!L26</f>
        <v>290000</v>
      </c>
      <c r="R201" s="49">
        <f>'System Improvements'!M26</f>
        <v>167500</v>
      </c>
      <c r="S201" s="49">
        <f>'System Improvements'!N26</f>
        <v>522500</v>
      </c>
      <c r="T201" s="49">
        <f>AVERAGE(I201:S201)</f>
        <v>446093.18181818182</v>
      </c>
      <c r="U201" s="49">
        <f>AVERAGE(J201:T201)</f>
        <v>409363.01652892563</v>
      </c>
      <c r="V201" s="49">
        <f t="shared" si="13"/>
        <v>435827.8362133734</v>
      </c>
      <c r="W201" s="49">
        <f t="shared" si="13"/>
        <v>435289.45768731646</v>
      </c>
      <c r="X201" s="49">
        <f t="shared" si="13"/>
        <v>442952.13565889071</v>
      </c>
      <c r="Y201" s="49">
        <f t="shared" si="13"/>
        <v>458788.69344606256</v>
      </c>
      <c r="Z201" s="49">
        <f t="shared" si="13"/>
        <v>450496.75648661371</v>
      </c>
      <c r="AA201" s="49">
        <f t="shared" si="13"/>
        <v>458532.82525812404</v>
      </c>
      <c r="AB201" s="49">
        <f t="shared" si="13"/>
        <v>410667.62755431718</v>
      </c>
      <c r="AC201" s="49">
        <f t="shared" si="13"/>
        <v>421637.41187743691</v>
      </c>
      <c r="AD201" s="51" t="s">
        <v>167</v>
      </c>
    </row>
    <row r="202" spans="1:34" s="18" customFormat="1" ht="15.75" thickBot="1" x14ac:dyDescent="0.3">
      <c r="A202" s="152">
        <v>15</v>
      </c>
      <c r="B202" s="18" t="s">
        <v>45</v>
      </c>
      <c r="C202" s="19">
        <f>SUM(C9:C200)-C195</f>
        <v>3510681.2</v>
      </c>
      <c r="D202" s="19">
        <f>SUM(D9:D200)</f>
        <v>5096875.8000000007</v>
      </c>
      <c r="E202" s="87" t="e">
        <f t="shared" ref="E202:L202" si="14">E201+E200+E198+E195+E194+E133+E132+E131+E129+E34+E12+E9</f>
        <v>#REF!</v>
      </c>
      <c r="F202" s="87" t="e">
        <f t="shared" si="14"/>
        <v>#REF!</v>
      </c>
      <c r="G202" s="87" t="e">
        <f t="shared" si="14"/>
        <v>#REF!</v>
      </c>
      <c r="H202" s="87">
        <f t="shared" si="14"/>
        <v>5553956.8599999994</v>
      </c>
      <c r="I202" s="87">
        <f t="shared" si="14"/>
        <v>6090286.7199999988</v>
      </c>
      <c r="J202" s="87">
        <f t="shared" si="14"/>
        <v>5735377.2687999979</v>
      </c>
      <c r="K202" s="87">
        <f t="shared" si="14"/>
        <v>5931275.1725519979</v>
      </c>
      <c r="L202" s="87">
        <f t="shared" si="14"/>
        <v>5971776.8454840779</v>
      </c>
      <c r="M202" s="87">
        <f>M201+M200+M198+M195+M196+M194+M133+M132+M131+M129+M34+M12+M9</f>
        <v>6057429.5259006657</v>
      </c>
      <c r="N202" s="87">
        <f t="shared" ref="N202:AC202" si="15">N201+N200+N198+N195+N196+N194+N133+N132+N131+N129+N34+N12+N9</f>
        <v>6392846.4730104804</v>
      </c>
      <c r="O202" s="87">
        <f t="shared" si="15"/>
        <v>6402114.4856558032</v>
      </c>
      <c r="P202" s="87">
        <f t="shared" si="15"/>
        <v>7142383.2346230987</v>
      </c>
      <c r="Q202" s="87">
        <f t="shared" si="15"/>
        <v>7942304.7317583524</v>
      </c>
      <c r="R202" s="87">
        <f t="shared" si="15"/>
        <v>6329004.2307928903</v>
      </c>
      <c r="S202" s="87">
        <f t="shared" si="15"/>
        <v>6905907.374796628</v>
      </c>
      <c r="T202" s="87">
        <f t="shared" si="15"/>
        <v>7419175.7433646508</v>
      </c>
      <c r="U202" s="87">
        <f t="shared" si="15"/>
        <v>7579799.0302023133</v>
      </c>
      <c r="V202" s="87">
        <f t="shared" si="15"/>
        <v>7791424.3595746681</v>
      </c>
      <c r="W202" s="87">
        <f t="shared" si="15"/>
        <v>7609603.793101253</v>
      </c>
      <c r="X202" s="87">
        <f t="shared" si="15"/>
        <v>7841598.860601116</v>
      </c>
      <c r="Y202" s="87">
        <f t="shared" si="15"/>
        <v>8082868.2856003027</v>
      </c>
      <c r="Z202" s="87">
        <f t="shared" si="15"/>
        <v>8317236.3280869517</v>
      </c>
      <c r="AA202" s="87">
        <f t="shared" si="15"/>
        <v>8573736.0769397523</v>
      </c>
      <c r="AB202" s="87">
        <f t="shared" si="15"/>
        <v>8788023.2751946989</v>
      </c>
      <c r="AC202" s="87">
        <f t="shared" si="15"/>
        <v>8950895.1603364255</v>
      </c>
      <c r="AD202" s="60"/>
    </row>
    <row r="203" spans="1:34" s="26" customFormat="1" ht="15.75" thickTop="1" x14ac:dyDescent="0.25">
      <c r="A203" s="149">
        <v>16</v>
      </c>
      <c r="C203" s="50"/>
      <c r="D203" s="50"/>
      <c r="E203" s="85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48"/>
    </row>
    <row r="204" spans="1:34" s="2" customFormat="1" x14ac:dyDescent="0.25">
      <c r="A204" s="151">
        <v>17</v>
      </c>
      <c r="B204" s="61" t="s">
        <v>117</v>
      </c>
      <c r="C204" s="62"/>
      <c r="D204" s="62"/>
      <c r="E204" s="88"/>
      <c r="F204" s="62"/>
      <c r="G204" s="62"/>
      <c r="H204" s="62"/>
      <c r="AD204" s="63"/>
    </row>
    <row r="205" spans="1:34" s="26" customFormat="1" x14ac:dyDescent="0.25">
      <c r="A205" s="149">
        <v>18</v>
      </c>
      <c r="D205" s="50"/>
      <c r="E205" s="85"/>
      <c r="F205" s="50"/>
      <c r="G205" s="50"/>
      <c r="H205" s="50"/>
      <c r="AD205" s="48"/>
    </row>
    <row r="206" spans="1:34" s="26" customFormat="1" x14ac:dyDescent="0.25">
      <c r="A206" s="149">
        <v>19</v>
      </c>
      <c r="B206" s="26" t="s">
        <v>180</v>
      </c>
      <c r="C206" s="49">
        <v>4788325</v>
      </c>
      <c r="D206" s="49">
        <v>4814831</v>
      </c>
      <c r="E206" s="86">
        <v>4671310</v>
      </c>
      <c r="F206" s="49">
        <v>5410310.5700000003</v>
      </c>
      <c r="G206" s="49">
        <v>5435788.4500000002</v>
      </c>
      <c r="H206" s="49">
        <f>H207</f>
        <v>5336926.42</v>
      </c>
      <c r="I206" s="49">
        <f>I207</f>
        <v>5424679.7300000004</v>
      </c>
      <c r="J206" s="49">
        <f>J211</f>
        <v>5526839.9774015993</v>
      </c>
      <c r="K206" s="49">
        <f>K211</f>
        <v>5609742.5770626226</v>
      </c>
      <c r="L206" s="49">
        <f t="shared" ref="L206:AC206" si="16">L211</f>
        <v>5978583.1515044896</v>
      </c>
      <c r="M206" s="49">
        <f t="shared" si="16"/>
        <v>6068261.8987770565</v>
      </c>
      <c r="N206" s="49">
        <f t="shared" si="16"/>
        <v>6159285.8272587117</v>
      </c>
      <c r="O206" s="49">
        <f t="shared" si="16"/>
        <v>6564258.8704009708</v>
      </c>
      <c r="P206" s="49">
        <f t="shared" si="16"/>
        <v>6652876.3651513848</v>
      </c>
      <c r="Q206" s="49">
        <f t="shared" si="16"/>
        <v>6742690.1960809287</v>
      </c>
      <c r="R206" s="49">
        <f t="shared" si="16"/>
        <v>7100052.7764732176</v>
      </c>
      <c r="S206" s="49">
        <f t="shared" si="16"/>
        <v>7188803.4361791331</v>
      </c>
      <c r="T206" s="49">
        <f t="shared" si="16"/>
        <v>7260691.470540924</v>
      </c>
      <c r="U206" s="49">
        <f t="shared" si="16"/>
        <v>7626630.3206561869</v>
      </c>
      <c r="V206" s="49">
        <f t="shared" si="16"/>
        <v>7702896.623862749</v>
      </c>
      <c r="W206" s="49">
        <f t="shared" si="16"/>
        <v>7779925.5901013771</v>
      </c>
      <c r="X206" s="49">
        <f t="shared" si="16"/>
        <v>8151806.0333082229</v>
      </c>
      <c r="Y206" s="49">
        <f t="shared" si="16"/>
        <v>8212944.5785580352</v>
      </c>
      <c r="Z206" s="49">
        <f t="shared" si="16"/>
        <v>8254009.3014508244</v>
      </c>
      <c r="AA206" s="49">
        <f t="shared" si="16"/>
        <v>8627090.5218763985</v>
      </c>
      <c r="AB206" s="49">
        <f t="shared" si="16"/>
        <v>8648658.2481810898</v>
      </c>
      <c r="AC206" s="49">
        <f t="shared" si="16"/>
        <v>8670279.8938015439</v>
      </c>
      <c r="AD206" s="51" t="s">
        <v>123</v>
      </c>
    </row>
    <row r="207" spans="1:34" s="26" customFormat="1" hidden="1" x14ac:dyDescent="0.25">
      <c r="A207" s="149"/>
      <c r="B207" s="120"/>
      <c r="C207" s="121"/>
      <c r="D207" s="121"/>
      <c r="E207" s="121"/>
      <c r="F207" s="121"/>
      <c r="G207" s="121"/>
      <c r="H207" s="121">
        <v>5336926.42</v>
      </c>
      <c r="I207" s="121">
        <v>5424679.7300000004</v>
      </c>
      <c r="J207" s="121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34" t="s">
        <v>147</v>
      </c>
      <c r="AE207" s="26" t="s">
        <v>453</v>
      </c>
      <c r="AH207" s="233" t="s">
        <v>500</v>
      </c>
    </row>
    <row r="208" spans="1:34" s="26" customFormat="1" x14ac:dyDescent="0.25">
      <c r="A208" s="149">
        <v>21</v>
      </c>
      <c r="B208" s="54" t="s">
        <v>138</v>
      </c>
      <c r="C208" s="24">
        <v>9162.8799999999992</v>
      </c>
      <c r="D208" s="24">
        <v>9092</v>
      </c>
      <c r="E208" s="24">
        <v>9215</v>
      </c>
      <c r="F208" s="24">
        <f>'[2]PopulationGrowth Tables 1-3'!K7</f>
        <v>9400</v>
      </c>
      <c r="G208" s="24">
        <f>'[2]PopulationGrowth Tables 1-3'!L7</f>
        <v>9370</v>
      </c>
      <c r="H208" s="24">
        <v>9925</v>
      </c>
      <c r="I208" s="24">
        <v>10076</v>
      </c>
      <c r="J208" s="24">
        <v>10277.52</v>
      </c>
      <c r="K208" s="24">
        <v>10431.682799999999</v>
      </c>
      <c r="L208" s="24">
        <v>10588.158041999997</v>
      </c>
      <c r="M208" s="24">
        <v>10746.980412629997</v>
      </c>
      <c r="N208" s="24">
        <v>10908.185118819445</v>
      </c>
      <c r="O208" s="24">
        <v>11071.807895601736</v>
      </c>
      <c r="P208" s="24">
        <v>11221.27730219236</v>
      </c>
      <c r="Q208" s="24">
        <v>11372.764545771957</v>
      </c>
      <c r="R208" s="24">
        <v>11514.924102594106</v>
      </c>
      <c r="S208" s="24">
        <v>11658.860653876533</v>
      </c>
      <c r="T208" s="24">
        <v>11775.449260415298</v>
      </c>
      <c r="U208" s="24">
        <v>11893.203753019452</v>
      </c>
      <c r="V208" s="24">
        <v>12012.135790549646</v>
      </c>
      <c r="W208" s="24">
        <v>12132.257148455143</v>
      </c>
      <c r="X208" s="24">
        <v>12223.249077068556</v>
      </c>
      <c r="Y208" s="24">
        <v>12314.923445146571</v>
      </c>
      <c r="Z208" s="24">
        <v>12376.498062372302</v>
      </c>
      <c r="AA208" s="24">
        <v>12438.380552684162</v>
      </c>
      <c r="AB208" s="24">
        <v>12469.476504065873</v>
      </c>
      <c r="AC208" s="24">
        <v>12500.650195326038</v>
      </c>
      <c r="AD208" s="51"/>
      <c r="AH208" s="233"/>
    </row>
    <row r="209" spans="1:35" s="26" customFormat="1" x14ac:dyDescent="0.25">
      <c r="A209" s="149">
        <v>22</v>
      </c>
      <c r="B209" s="26" t="s">
        <v>42</v>
      </c>
      <c r="C209" s="49">
        <f>(C208*C249*12)</f>
        <v>1979182.0800000001</v>
      </c>
      <c r="D209" s="49">
        <f>(D208*D249*12)</f>
        <v>1963872</v>
      </c>
      <c r="E209" s="86">
        <v>1933489.238410596</v>
      </c>
      <c r="F209" s="49">
        <f t="shared" ref="F209:AC209" si="17">(F208*F249*12)</f>
        <v>2030400</v>
      </c>
      <c r="G209" s="49">
        <f t="shared" si="17"/>
        <v>2104876.7999999998</v>
      </c>
      <c r="H209" s="49">
        <f t="shared" si="17"/>
        <v>2229552</v>
      </c>
      <c r="I209" s="49">
        <f t="shared" si="17"/>
        <v>2263472.64</v>
      </c>
      <c r="J209" s="49">
        <f t="shared" si="17"/>
        <v>2308742.0927999998</v>
      </c>
      <c r="K209" s="49">
        <f t="shared" si="17"/>
        <v>2343373.2241919995</v>
      </c>
      <c r="L209" s="49">
        <f t="shared" si="17"/>
        <v>2497450.0136826229</v>
      </c>
      <c r="M209" s="49">
        <f t="shared" si="17"/>
        <v>2534911.7638878622</v>
      </c>
      <c r="N209" s="49">
        <f t="shared" si="17"/>
        <v>2572935.44034618</v>
      </c>
      <c r="O209" s="49">
        <f t="shared" si="17"/>
        <v>2742105.9455489414</v>
      </c>
      <c r="P209" s="49">
        <f t="shared" si="17"/>
        <v>2779124.3758138521</v>
      </c>
      <c r="Q209" s="49">
        <f t="shared" si="17"/>
        <v>2816642.5548873395</v>
      </c>
      <c r="R209" s="49">
        <f t="shared" si="17"/>
        <v>2965924.6102963677</v>
      </c>
      <c r="S209" s="49">
        <f t="shared" si="17"/>
        <v>3002998.6679250724</v>
      </c>
      <c r="T209" s="49">
        <f t="shared" si="17"/>
        <v>3033028.6546043232</v>
      </c>
      <c r="U209" s="49">
        <f t="shared" si="17"/>
        <v>3185893.2987963809</v>
      </c>
      <c r="V209" s="49">
        <f t="shared" si="17"/>
        <v>3217752.2317843451</v>
      </c>
      <c r="W209" s="49">
        <f t="shared" si="17"/>
        <v>3249929.7541021891</v>
      </c>
      <c r="X209" s="49">
        <f t="shared" si="17"/>
        <v>3405276.3963482734</v>
      </c>
      <c r="Y209" s="49">
        <f t="shared" si="17"/>
        <v>3430815.9693208854</v>
      </c>
      <c r="Z209" s="49">
        <f t="shared" si="17"/>
        <v>3447970.0491674896</v>
      </c>
      <c r="AA209" s="49">
        <f t="shared" si="17"/>
        <v>3603818.2953898599</v>
      </c>
      <c r="AB209" s="49">
        <f t="shared" si="17"/>
        <v>3612827.8411283344</v>
      </c>
      <c r="AC209" s="49">
        <f t="shared" si="17"/>
        <v>3621859.9107311554</v>
      </c>
      <c r="AD209" s="119"/>
      <c r="AH209" s="233"/>
    </row>
    <row r="210" spans="1:35" s="26" customFormat="1" ht="15" customHeight="1" x14ac:dyDescent="0.25">
      <c r="A210" s="149">
        <v>23</v>
      </c>
      <c r="B210" s="55" t="s">
        <v>179</v>
      </c>
      <c r="C210" s="49">
        <f>(C208*0.64*((129*C$250)+(122*C$251)+(30*C$252)+(3*C$253)))</f>
        <v>2802521.82528</v>
      </c>
      <c r="D210" s="49">
        <f>(D208*0.64*((129*D$250)+(122*D$251)+(30*D$252)+(3*D$253)))</f>
        <v>2780842.7519999999</v>
      </c>
      <c r="E210" s="86">
        <v>2737820.7615894037</v>
      </c>
      <c r="F210" s="49">
        <f>F206-F209</f>
        <v>3379910.5700000003</v>
      </c>
      <c r="G210" s="49">
        <f>G206-G209</f>
        <v>3330911.6500000004</v>
      </c>
      <c r="H210" s="49">
        <f>H206-H209</f>
        <v>3107374.42</v>
      </c>
      <c r="I210" s="49">
        <f>I206-I209</f>
        <v>3161207.0900000003</v>
      </c>
      <c r="J210" s="49">
        <f>(J208*0.63*((129*J$250)+(122*J$251)+(30*J$252)+(3*J$253)))</f>
        <v>3218097.8846015995</v>
      </c>
      <c r="K210" s="49">
        <f t="shared" ref="K210:AC210" si="18">(K208*0.63*((129*K$250)+(122*K$251)+(30*K$252)+(3*K$253)))</f>
        <v>3266369.3528706231</v>
      </c>
      <c r="L210" s="49">
        <f t="shared" si="18"/>
        <v>3481133.1378218667</v>
      </c>
      <c r="M210" s="49">
        <f t="shared" si="18"/>
        <v>3533350.1348891947</v>
      </c>
      <c r="N210" s="49">
        <f t="shared" si="18"/>
        <v>3586350.3869125317</v>
      </c>
      <c r="O210" s="49">
        <f t="shared" si="18"/>
        <v>3822152.9248520299</v>
      </c>
      <c r="P210" s="49">
        <f t="shared" si="18"/>
        <v>3873751.9893375328</v>
      </c>
      <c r="Q210" s="49">
        <f t="shared" si="18"/>
        <v>3926047.6411935897</v>
      </c>
      <c r="R210" s="49">
        <f t="shared" si="18"/>
        <v>4134128.16617685</v>
      </c>
      <c r="S210" s="49">
        <f t="shared" si="18"/>
        <v>4185804.7682540603</v>
      </c>
      <c r="T210" s="49">
        <f t="shared" si="18"/>
        <v>4227662.8159366008</v>
      </c>
      <c r="U210" s="49">
        <f t="shared" si="18"/>
        <v>4440737.021859806</v>
      </c>
      <c r="V210" s="49">
        <f t="shared" si="18"/>
        <v>4485144.3920784043</v>
      </c>
      <c r="W210" s="49">
        <f t="shared" si="18"/>
        <v>4529995.835999188</v>
      </c>
      <c r="X210" s="49">
        <f t="shared" si="18"/>
        <v>4746529.6369599495</v>
      </c>
      <c r="Y210" s="49">
        <f t="shared" si="18"/>
        <v>4782128.6092371494</v>
      </c>
      <c r="Z210" s="49">
        <f t="shared" si="18"/>
        <v>4806039.2522833347</v>
      </c>
      <c r="AA210" s="49">
        <f t="shared" si="18"/>
        <v>5023272.2264865395</v>
      </c>
      <c r="AB210" s="49">
        <f t="shared" si="18"/>
        <v>5035830.4070527554</v>
      </c>
      <c r="AC210" s="49">
        <f t="shared" si="18"/>
        <v>5048419.9830703875</v>
      </c>
      <c r="AD210" s="119"/>
      <c r="AH210" s="233"/>
    </row>
    <row r="211" spans="1:35" s="26" customFormat="1" ht="15" customHeight="1" x14ac:dyDescent="0.25">
      <c r="A211" s="149">
        <v>24</v>
      </c>
      <c r="B211" s="28" t="s">
        <v>165</v>
      </c>
      <c r="C211" s="49">
        <f t="shared" ref="C211:J211" si="19">C209+C210</f>
        <v>4781703.9052799996</v>
      </c>
      <c r="D211" s="49">
        <f t="shared" si="19"/>
        <v>4744714.7520000003</v>
      </c>
      <c r="E211" s="86">
        <f t="shared" si="19"/>
        <v>4671310</v>
      </c>
      <c r="F211" s="49">
        <f t="shared" si="19"/>
        <v>5410310.5700000003</v>
      </c>
      <c r="G211" s="49">
        <f t="shared" si="19"/>
        <v>5435788.4500000002</v>
      </c>
      <c r="H211" s="49">
        <f t="shared" si="19"/>
        <v>5336926.42</v>
      </c>
      <c r="I211" s="49">
        <f t="shared" si="19"/>
        <v>5424679.7300000004</v>
      </c>
      <c r="J211" s="49">
        <f t="shared" si="19"/>
        <v>5526839.9774015993</v>
      </c>
      <c r="K211" s="49">
        <f>K209+K210</f>
        <v>5609742.5770626226</v>
      </c>
      <c r="L211" s="49">
        <f t="shared" ref="L211:AC211" si="20">L209+L210</f>
        <v>5978583.1515044896</v>
      </c>
      <c r="M211" s="49">
        <f t="shared" si="20"/>
        <v>6068261.8987770565</v>
      </c>
      <c r="N211" s="49">
        <f t="shared" si="20"/>
        <v>6159285.8272587117</v>
      </c>
      <c r="O211" s="49">
        <f t="shared" si="20"/>
        <v>6564258.8704009708</v>
      </c>
      <c r="P211" s="49">
        <f t="shared" si="20"/>
        <v>6652876.3651513848</v>
      </c>
      <c r="Q211" s="49">
        <f t="shared" si="20"/>
        <v>6742690.1960809287</v>
      </c>
      <c r="R211" s="49">
        <f t="shared" si="20"/>
        <v>7100052.7764732176</v>
      </c>
      <c r="S211" s="49">
        <f t="shared" si="20"/>
        <v>7188803.4361791331</v>
      </c>
      <c r="T211" s="49">
        <f t="shared" si="20"/>
        <v>7260691.470540924</v>
      </c>
      <c r="U211" s="49">
        <f t="shared" si="20"/>
        <v>7626630.3206561869</v>
      </c>
      <c r="V211" s="49">
        <f t="shared" si="20"/>
        <v>7702896.623862749</v>
      </c>
      <c r="W211" s="49">
        <f t="shared" si="20"/>
        <v>7779925.5901013771</v>
      </c>
      <c r="X211" s="49">
        <f t="shared" si="20"/>
        <v>8151806.0333082229</v>
      </c>
      <c r="Y211" s="49">
        <f t="shared" si="20"/>
        <v>8212944.5785580352</v>
      </c>
      <c r="Z211" s="49">
        <f t="shared" si="20"/>
        <v>8254009.3014508244</v>
      </c>
      <c r="AA211" s="49">
        <f t="shared" si="20"/>
        <v>8627090.5218763985</v>
      </c>
      <c r="AB211" s="49">
        <f t="shared" si="20"/>
        <v>8648658.2481810898</v>
      </c>
      <c r="AC211" s="49">
        <f t="shared" si="20"/>
        <v>8670279.8938015439</v>
      </c>
      <c r="AD211" s="51"/>
      <c r="AH211" s="233"/>
    </row>
    <row r="212" spans="1:35" s="26" customFormat="1" x14ac:dyDescent="0.25">
      <c r="A212" s="149">
        <v>25</v>
      </c>
      <c r="B212" s="26" t="s">
        <v>43</v>
      </c>
      <c r="C212" s="49">
        <v>0</v>
      </c>
      <c r="D212" s="49">
        <v>0</v>
      </c>
      <c r="E212" s="86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1" t="s">
        <v>124</v>
      </c>
    </row>
    <row r="213" spans="1:35" s="26" customFormat="1" x14ac:dyDescent="0.25">
      <c r="A213" s="149">
        <v>26</v>
      </c>
      <c r="B213" s="26" t="s">
        <v>44</v>
      </c>
      <c r="C213" s="49">
        <v>6700</v>
      </c>
      <c r="D213" s="49">
        <v>8000</v>
      </c>
      <c r="E213" s="86">
        <v>7000</v>
      </c>
      <c r="F213" s="86">
        <v>13400</v>
      </c>
      <c r="G213" s="86">
        <f>G214</f>
        <v>17600</v>
      </c>
      <c r="H213" s="49">
        <f>H214</f>
        <v>11000</v>
      </c>
      <c r="I213" s="49">
        <f>I214</f>
        <v>10700</v>
      </c>
      <c r="J213" s="49">
        <v>7000</v>
      </c>
      <c r="K213" s="49">
        <v>7000</v>
      </c>
      <c r="L213" s="49">
        <v>7000</v>
      </c>
      <c r="M213" s="49">
        <v>7000</v>
      </c>
      <c r="N213" s="49">
        <v>7000</v>
      </c>
      <c r="O213" s="49">
        <v>7000</v>
      </c>
      <c r="P213" s="49">
        <v>7000</v>
      </c>
      <c r="Q213" s="49">
        <v>7000</v>
      </c>
      <c r="R213" s="49">
        <v>7000</v>
      </c>
      <c r="S213" s="49">
        <v>7000</v>
      </c>
      <c r="T213" s="49">
        <v>7000</v>
      </c>
      <c r="U213" s="49">
        <v>7000</v>
      </c>
      <c r="V213" s="49">
        <v>7000</v>
      </c>
      <c r="W213" s="49">
        <v>7000</v>
      </c>
      <c r="X213" s="49">
        <v>7000</v>
      </c>
      <c r="Y213" s="49">
        <v>7000</v>
      </c>
      <c r="Z213" s="49">
        <v>7000</v>
      </c>
      <c r="AA213" s="49">
        <v>7000</v>
      </c>
      <c r="AB213" s="49">
        <v>7000</v>
      </c>
      <c r="AC213" s="49">
        <v>7000</v>
      </c>
      <c r="AD213" s="51" t="s">
        <v>123</v>
      </c>
    </row>
    <row r="214" spans="1:35" s="120" customFormat="1" hidden="1" x14ac:dyDescent="0.25">
      <c r="A214" s="149"/>
      <c r="C214" s="121"/>
      <c r="D214" s="121"/>
      <c r="E214" s="121"/>
      <c r="F214" s="121"/>
      <c r="G214" s="128">
        <v>17600</v>
      </c>
      <c r="H214" s="121">
        <v>11000</v>
      </c>
      <c r="I214" s="121">
        <v>10700</v>
      </c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9" t="s">
        <v>151</v>
      </c>
    </row>
    <row r="215" spans="1:35" s="26" customFormat="1" x14ac:dyDescent="0.25">
      <c r="A215" s="149">
        <v>27</v>
      </c>
      <c r="B215" s="26" t="s">
        <v>140</v>
      </c>
      <c r="C215" s="49">
        <v>143714</v>
      </c>
      <c r="D215" s="49">
        <v>133550</v>
      </c>
      <c r="E215" s="86">
        <v>61566</v>
      </c>
      <c r="F215" s="86">
        <v>85688.93</v>
      </c>
      <c r="G215" s="49">
        <f>G216</f>
        <v>151125.20000000001</v>
      </c>
      <c r="H215" s="49">
        <f t="shared" ref="H215:I215" si="21">H216</f>
        <v>76595.83</v>
      </c>
      <c r="I215" s="49">
        <f t="shared" si="21"/>
        <v>86826.51</v>
      </c>
      <c r="J215" s="49">
        <f>(575*(J208-I208))</f>
        <v>115874.00000000025</v>
      </c>
      <c r="K215" s="49">
        <f t="shared" ref="K215:AC215" si="22">(575*(K208-J208))</f>
        <v>88643.609999998996</v>
      </c>
      <c r="L215" s="49">
        <f t="shared" si="22"/>
        <v>89973.264149999202</v>
      </c>
      <c r="M215" s="49">
        <f t="shared" si="22"/>
        <v>91322.863112249746</v>
      </c>
      <c r="N215" s="49">
        <f t="shared" si="22"/>
        <v>92692.706058932701</v>
      </c>
      <c r="O215" s="49">
        <f t="shared" si="22"/>
        <v>94083.096649817395</v>
      </c>
      <c r="P215" s="49">
        <f t="shared" si="22"/>
        <v>85944.908789608919</v>
      </c>
      <c r="Q215" s="49">
        <f t="shared" si="22"/>
        <v>87105.16505826822</v>
      </c>
      <c r="R215" s="49">
        <f t="shared" si="22"/>
        <v>81741.745172735769</v>
      </c>
      <c r="S215" s="49">
        <f t="shared" si="22"/>
        <v>82763.516987394993</v>
      </c>
      <c r="T215" s="49">
        <f t="shared" si="22"/>
        <v>67038.44875979035</v>
      </c>
      <c r="U215" s="49">
        <f t="shared" si="22"/>
        <v>67708.833247388378</v>
      </c>
      <c r="V215" s="49">
        <f t="shared" si="22"/>
        <v>68385.921579861591</v>
      </c>
      <c r="W215" s="49">
        <f t="shared" si="22"/>
        <v>69069.78079566051</v>
      </c>
      <c r="X215" s="49">
        <f t="shared" si="22"/>
        <v>52320.358952712835</v>
      </c>
      <c r="Y215" s="49">
        <f t="shared" si="22"/>
        <v>52712.761644858394</v>
      </c>
      <c r="Z215" s="49">
        <f t="shared" si="22"/>
        <v>35405.40490479552</v>
      </c>
      <c r="AA215" s="49">
        <f t="shared" si="22"/>
        <v>35582.431929319639</v>
      </c>
      <c r="AB215" s="49">
        <f t="shared" si="22"/>
        <v>17880.172044483606</v>
      </c>
      <c r="AC215" s="49">
        <f t="shared" si="22"/>
        <v>17924.872474594624</v>
      </c>
      <c r="AD215" s="51" t="s">
        <v>125</v>
      </c>
      <c r="AE215" s="49"/>
    </row>
    <row r="216" spans="1:35" s="120" customFormat="1" hidden="1" x14ac:dyDescent="0.25">
      <c r="A216" s="149"/>
      <c r="C216" s="121"/>
      <c r="D216" s="121"/>
      <c r="E216" s="121"/>
      <c r="F216" s="121"/>
      <c r="G216" s="162">
        <v>151125.20000000001</v>
      </c>
      <c r="H216" s="162">
        <v>76595.83</v>
      </c>
      <c r="I216" s="121">
        <v>86826.51</v>
      </c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9" t="s">
        <v>400</v>
      </c>
      <c r="AE216" s="121" t="s">
        <v>497</v>
      </c>
    </row>
    <row r="217" spans="1:35" s="26" customFormat="1" x14ac:dyDescent="0.25">
      <c r="A217" s="149">
        <v>28</v>
      </c>
      <c r="B217" s="26" t="s">
        <v>47</v>
      </c>
      <c r="C217" s="56"/>
      <c r="D217" s="50"/>
      <c r="E217" s="85"/>
      <c r="F217" s="50"/>
      <c r="G217" s="50"/>
      <c r="H217" s="50"/>
      <c r="I217" s="185"/>
      <c r="AD217" s="48"/>
      <c r="AE217" s="50"/>
    </row>
    <row r="218" spans="1:35" s="26" customFormat="1" x14ac:dyDescent="0.25">
      <c r="A218" s="149">
        <v>29</v>
      </c>
      <c r="B218" s="57" t="s">
        <v>46</v>
      </c>
      <c r="C218" s="49">
        <f>56804+0</f>
        <v>56804</v>
      </c>
      <c r="D218" s="49">
        <v>19465</v>
      </c>
      <c r="E218" s="86">
        <v>75525</v>
      </c>
      <c r="F218" s="86">
        <v>70332.289999999994</v>
      </c>
      <c r="G218" s="86">
        <f>G219</f>
        <v>67511.83</v>
      </c>
      <c r="H218" s="86">
        <f t="shared" ref="H218:I218" si="23">H219</f>
        <v>89082</v>
      </c>
      <c r="I218" s="86">
        <f t="shared" si="23"/>
        <v>61863.96</v>
      </c>
      <c r="J218" s="49">
        <f t="shared" ref="J218:AC218" si="24">IF($C$241*I233&lt;0,0,$C$241*I233)</f>
        <v>0</v>
      </c>
      <c r="K218" s="49">
        <f t="shared" si="24"/>
        <v>0</v>
      </c>
      <c r="L218" s="49">
        <f t="shared" si="24"/>
        <v>0</v>
      </c>
      <c r="M218" s="49">
        <f t="shared" si="24"/>
        <v>4763.3871051123269</v>
      </c>
      <c r="N218" s="49">
        <f t="shared" si="24"/>
        <v>5067.5586928125658</v>
      </c>
      <c r="O218" s="49">
        <f t="shared" si="24"/>
        <v>0</v>
      </c>
      <c r="P218" s="49">
        <f t="shared" si="24"/>
        <v>9546.8544418495421</v>
      </c>
      <c r="Q218" s="49">
        <f t="shared" si="24"/>
        <v>0</v>
      </c>
      <c r="R218" s="49">
        <f t="shared" si="24"/>
        <v>0</v>
      </c>
      <c r="S218" s="49">
        <f t="shared" si="24"/>
        <v>27443.828725591906</v>
      </c>
      <c r="T218" s="49">
        <f t="shared" si="24"/>
        <v>13653.252212864756</v>
      </c>
      <c r="U218" s="49">
        <f t="shared" si="24"/>
        <v>0</v>
      </c>
      <c r="V218" s="49">
        <f t="shared" si="24"/>
        <v>5296.3537110378684</v>
      </c>
      <c r="W218" s="49">
        <f t="shared" si="24"/>
        <v>1414.786187369423</v>
      </c>
      <c r="X218" s="49">
        <f t="shared" si="24"/>
        <v>9084.3409194946289</v>
      </c>
      <c r="Y218" s="49">
        <f t="shared" si="24"/>
        <v>13008.506177379442</v>
      </c>
      <c r="Z218" s="49">
        <f t="shared" si="24"/>
        <v>7734.0768233991039</v>
      </c>
      <c r="AA218" s="49">
        <f t="shared" si="24"/>
        <v>1257.5236527620348</v>
      </c>
      <c r="AB218" s="49">
        <f t="shared" si="24"/>
        <v>4565.9820155618527</v>
      </c>
      <c r="AC218" s="49">
        <f t="shared" si="24"/>
        <v>0</v>
      </c>
      <c r="AD218" s="51" t="s">
        <v>126</v>
      </c>
    </row>
    <row r="219" spans="1:35" s="120" customFormat="1" hidden="1" x14ac:dyDescent="0.25">
      <c r="A219" s="149"/>
      <c r="B219" s="146"/>
      <c r="C219" s="121"/>
      <c r="D219" s="121"/>
      <c r="E219" s="121"/>
      <c r="F219" s="121"/>
      <c r="G219" s="128">
        <v>67511.83</v>
      </c>
      <c r="H219" s="128">
        <v>89082</v>
      </c>
      <c r="I219" s="145">
        <v>61863.96</v>
      </c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9" t="s">
        <v>146</v>
      </c>
    </row>
    <row r="220" spans="1:35" s="26" customFormat="1" x14ac:dyDescent="0.25">
      <c r="A220" s="149">
        <v>30</v>
      </c>
      <c r="B220" s="57" t="s">
        <v>111</v>
      </c>
      <c r="C220" s="49">
        <v>0</v>
      </c>
      <c r="D220" s="49">
        <v>0</v>
      </c>
      <c r="E220" s="86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51" t="s">
        <v>127</v>
      </c>
    </row>
    <row r="221" spans="1:35" s="26" customFormat="1" x14ac:dyDescent="0.25">
      <c r="A221" s="149">
        <v>31</v>
      </c>
      <c r="B221" s="57" t="s">
        <v>112</v>
      </c>
      <c r="C221" s="49">
        <v>55693</v>
      </c>
      <c r="D221" s="49">
        <f>42796+15000</f>
        <v>57796</v>
      </c>
      <c r="E221" s="86">
        <f>E228+E229+E230</f>
        <v>122615</v>
      </c>
      <c r="F221" s="86">
        <f>F228+F229+F230</f>
        <v>133234.66999999998</v>
      </c>
      <c r="G221" s="86">
        <f>G228+G229+G230</f>
        <v>79619.709999999992</v>
      </c>
      <c r="H221" s="49">
        <f>SUM(H224:H230)</f>
        <v>559186.64</v>
      </c>
      <c r="I221" s="49">
        <f>SUM(I224:I230)</f>
        <v>285493.21999999997</v>
      </c>
      <c r="J221" s="49">
        <v>55000</v>
      </c>
      <c r="K221" s="49">
        <v>55000</v>
      </c>
      <c r="L221" s="49">
        <v>55000</v>
      </c>
      <c r="M221" s="49">
        <v>55000</v>
      </c>
      <c r="N221" s="49">
        <v>55000</v>
      </c>
      <c r="O221" s="49">
        <v>55001</v>
      </c>
      <c r="P221" s="49">
        <v>55002</v>
      </c>
      <c r="Q221" s="49">
        <v>55003</v>
      </c>
      <c r="R221" s="49">
        <v>55004</v>
      </c>
      <c r="S221" s="49">
        <v>55005</v>
      </c>
      <c r="T221" s="49">
        <v>55005</v>
      </c>
      <c r="U221" s="49">
        <v>55005</v>
      </c>
      <c r="V221" s="49">
        <v>55005</v>
      </c>
      <c r="W221" s="49">
        <v>55005</v>
      </c>
      <c r="X221" s="49">
        <v>55005</v>
      </c>
      <c r="Y221" s="49">
        <v>55005</v>
      </c>
      <c r="Z221" s="49">
        <v>55005</v>
      </c>
      <c r="AA221" s="49">
        <v>55005</v>
      </c>
      <c r="AB221" s="49">
        <v>55005</v>
      </c>
      <c r="AC221" s="49">
        <v>55005</v>
      </c>
      <c r="AD221" s="51" t="s">
        <v>128</v>
      </c>
    </row>
    <row r="222" spans="1:35" s="26" customFormat="1" x14ac:dyDescent="0.25">
      <c r="A222" s="149">
        <v>32</v>
      </c>
      <c r="B222" s="58" t="s">
        <v>139</v>
      </c>
      <c r="C222" s="59">
        <v>274049</v>
      </c>
      <c r="D222" s="59">
        <v>216377</v>
      </c>
      <c r="E222" s="59">
        <v>179224</v>
      </c>
      <c r="F222" s="59">
        <v>335845.75</v>
      </c>
      <c r="G222" s="59">
        <v>1168140.3</v>
      </c>
      <c r="H222" s="59">
        <v>495432.5</v>
      </c>
      <c r="I222" s="59">
        <v>528178.09</v>
      </c>
      <c r="J222" s="59">
        <f>2045*(J208-I208)</f>
        <v>412108.4000000009</v>
      </c>
      <c r="K222" s="59">
        <f>1827*(K208-J208)</f>
        <v>281655.43559999677</v>
      </c>
      <c r="L222" s="59">
        <f t="shared" ref="L222:S222" si="25">1827*(L208-K208)</f>
        <v>285880.26713399746</v>
      </c>
      <c r="M222" s="59">
        <f t="shared" si="25"/>
        <v>290168.47114100918</v>
      </c>
      <c r="N222" s="59">
        <f t="shared" si="25"/>
        <v>294520.99820812186</v>
      </c>
      <c r="O222" s="59">
        <f t="shared" si="25"/>
        <v>298938.81318124587</v>
      </c>
      <c r="P222" s="59">
        <f t="shared" si="25"/>
        <v>273080.60584107041</v>
      </c>
      <c r="Q222" s="59">
        <f t="shared" si="25"/>
        <v>276767.19401992357</v>
      </c>
      <c r="R222" s="59">
        <f t="shared" si="25"/>
        <v>259725.51031406655</v>
      </c>
      <c r="S222" s="59">
        <f t="shared" si="25"/>
        <v>262972.07919299247</v>
      </c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1" t="s">
        <v>129</v>
      </c>
      <c r="AE222" s="26" t="s">
        <v>152</v>
      </c>
      <c r="AH222" s="228"/>
      <c r="AI222" s="228"/>
    </row>
    <row r="223" spans="1:35" s="26" customFormat="1" x14ac:dyDescent="0.25">
      <c r="A223" s="149">
        <v>33</v>
      </c>
      <c r="B223" s="58" t="s">
        <v>113</v>
      </c>
      <c r="C223" s="59">
        <v>58935</v>
      </c>
      <c r="D223" s="59">
        <v>63920</v>
      </c>
      <c r="E223" s="59">
        <v>55510</v>
      </c>
      <c r="F223" s="59">
        <v>101270</v>
      </c>
      <c r="G223" s="59">
        <v>136943</v>
      </c>
      <c r="H223" s="59">
        <v>90271</v>
      </c>
      <c r="I223" s="59">
        <v>96233</v>
      </c>
      <c r="J223" s="59">
        <f>730*(J208-I208)</f>
        <v>147109.60000000033</v>
      </c>
      <c r="K223" s="59">
        <f>730*(K208-J208)</f>
        <v>112538.84399999872</v>
      </c>
      <c r="L223" s="59">
        <f t="shared" ref="L223:S223" si="26">730*(L208-K208)</f>
        <v>114226.92665999899</v>
      </c>
      <c r="M223" s="59">
        <f t="shared" si="26"/>
        <v>115940.33055989968</v>
      </c>
      <c r="N223" s="59">
        <f t="shared" si="26"/>
        <v>117679.43551829718</v>
      </c>
      <c r="O223" s="59">
        <f t="shared" si="26"/>
        <v>119444.62705107252</v>
      </c>
      <c r="P223" s="59">
        <f t="shared" si="26"/>
        <v>109112.66681115566</v>
      </c>
      <c r="Q223" s="59">
        <f t="shared" si="26"/>
        <v>110585.68781310575</v>
      </c>
      <c r="R223" s="59">
        <f t="shared" si="26"/>
        <v>103776.4764801689</v>
      </c>
      <c r="S223" s="59">
        <f t="shared" si="26"/>
        <v>105073.68243617105</v>
      </c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1" t="s">
        <v>125</v>
      </c>
      <c r="AE223" s="26" t="s">
        <v>153</v>
      </c>
      <c r="AH223" s="228"/>
      <c r="AI223" s="228"/>
    </row>
    <row r="224" spans="1:35" s="120" customFormat="1" hidden="1" x14ac:dyDescent="0.25">
      <c r="A224" s="149"/>
      <c r="B224" s="147"/>
      <c r="C224" s="148"/>
      <c r="D224" s="148"/>
      <c r="H224" s="120">
        <v>5946.64</v>
      </c>
      <c r="I224" s="156">
        <v>2321.37</v>
      </c>
      <c r="AD224" s="129" t="s">
        <v>454</v>
      </c>
      <c r="AE224" s="120" t="s">
        <v>455</v>
      </c>
      <c r="AH224" s="120" t="s">
        <v>495</v>
      </c>
    </row>
    <row r="225" spans="1:34" s="120" customFormat="1" hidden="1" x14ac:dyDescent="0.25">
      <c r="A225" s="149"/>
      <c r="B225" s="147"/>
      <c r="C225" s="148"/>
      <c r="D225" s="148"/>
      <c r="E225" s="121"/>
      <c r="F225" s="128"/>
      <c r="G225" s="128"/>
      <c r="H225" s="161">
        <v>17936</v>
      </c>
      <c r="I225" s="161">
        <v>38400</v>
      </c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29" t="s">
        <v>456</v>
      </c>
      <c r="AE225" s="120" t="s">
        <v>457</v>
      </c>
      <c r="AH225" s="120" t="s">
        <v>495</v>
      </c>
    </row>
    <row r="226" spans="1:34" s="120" customFormat="1" hidden="1" x14ac:dyDescent="0.25">
      <c r="A226" s="149"/>
      <c r="B226" s="147"/>
      <c r="C226" s="148"/>
      <c r="D226" s="148"/>
      <c r="E226" s="121"/>
      <c r="F226" s="128"/>
      <c r="G226" s="128"/>
      <c r="H226" s="161">
        <v>58579</v>
      </c>
      <c r="I226" s="161">
        <v>73245</v>
      </c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29" t="s">
        <v>458</v>
      </c>
      <c r="AE226" s="120" t="s">
        <v>459</v>
      </c>
      <c r="AH226" s="120" t="s">
        <v>495</v>
      </c>
    </row>
    <row r="227" spans="1:34" s="120" customFormat="1" hidden="1" x14ac:dyDescent="0.25">
      <c r="A227" s="149"/>
      <c r="B227" s="147"/>
      <c r="C227" s="148"/>
      <c r="D227" s="148"/>
      <c r="E227" s="121"/>
      <c r="F227" s="128"/>
      <c r="G227" s="128"/>
      <c r="H227" s="161">
        <v>49600</v>
      </c>
      <c r="I227" s="161">
        <v>47600</v>
      </c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29" t="s">
        <v>460</v>
      </c>
      <c r="AE227" s="120" t="s">
        <v>461</v>
      </c>
      <c r="AH227" s="120" t="s">
        <v>495</v>
      </c>
    </row>
    <row r="228" spans="1:34" s="120" customFormat="1" hidden="1" x14ac:dyDescent="0.25">
      <c r="A228" s="149"/>
      <c r="B228" s="147"/>
      <c r="C228" s="148"/>
      <c r="D228" s="148"/>
      <c r="E228" s="121">
        <v>13150</v>
      </c>
      <c r="F228" s="128">
        <v>14572</v>
      </c>
      <c r="G228" s="128">
        <v>16150</v>
      </c>
      <c r="H228" s="161">
        <v>14325</v>
      </c>
      <c r="I228" s="161">
        <v>17325</v>
      </c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29" t="s">
        <v>401</v>
      </c>
      <c r="AE228" s="120" t="s">
        <v>404</v>
      </c>
    </row>
    <row r="229" spans="1:34" s="120" customFormat="1" hidden="1" x14ac:dyDescent="0.25">
      <c r="A229" s="149"/>
      <c r="B229" s="147"/>
      <c r="C229" s="148"/>
      <c r="D229" s="148"/>
      <c r="E229" s="121">
        <v>0</v>
      </c>
      <c r="F229" s="128">
        <v>0</v>
      </c>
      <c r="G229" s="128">
        <v>0</v>
      </c>
      <c r="H229" s="148">
        <v>0</v>
      </c>
      <c r="I229" s="148">
        <v>0</v>
      </c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29" t="s">
        <v>402</v>
      </c>
      <c r="AE229" s="120" t="s">
        <v>47</v>
      </c>
      <c r="AH229" s="120" t="s">
        <v>499</v>
      </c>
    </row>
    <row r="230" spans="1:34" s="120" customFormat="1" hidden="1" x14ac:dyDescent="0.25">
      <c r="A230" s="149"/>
      <c r="C230" s="121"/>
      <c r="D230" s="122"/>
      <c r="E230" s="121">
        <v>109465</v>
      </c>
      <c r="F230" s="128">
        <v>118662.67</v>
      </c>
      <c r="G230" s="128">
        <v>63469.71</v>
      </c>
      <c r="H230" s="122">
        <v>412800</v>
      </c>
      <c r="I230" s="156">
        <v>106601.85</v>
      </c>
      <c r="AD230" s="129" t="s">
        <v>403</v>
      </c>
      <c r="AE230" s="120" t="s">
        <v>498</v>
      </c>
    </row>
    <row r="231" spans="1:34" s="18" customFormat="1" ht="15.75" thickBot="1" x14ac:dyDescent="0.3">
      <c r="A231" s="152">
        <v>34</v>
      </c>
      <c r="B231" s="18" t="s">
        <v>48</v>
      </c>
      <c r="C231" s="20">
        <f>SUM(C206,C212,C213,C215,C218:C221)</f>
        <v>5051236</v>
      </c>
      <c r="D231" s="20">
        <f>SUM(D206,D212,D213,D215,D218:D221)</f>
        <v>5033642</v>
      </c>
      <c r="E231" s="20">
        <f>SUM(E206,E212,E213,E215,E218:E221)</f>
        <v>4938016</v>
      </c>
      <c r="F231" s="20">
        <f>SUM(F206,F212,F213,F215,F218,F220,F221)</f>
        <v>5712966.46</v>
      </c>
      <c r="G231" s="20">
        <f>SUM(G206,G212,G213,G215,G218,G220,G221)</f>
        <v>5751645.1900000004</v>
      </c>
      <c r="H231" s="20">
        <f>SUM(H206,H212,H213,H215,H218,H221)</f>
        <v>6072790.8899999997</v>
      </c>
      <c r="I231" s="20">
        <f>SUM(I206,I212,I213,I215,I218,I221)</f>
        <v>5869563.4199999999</v>
      </c>
      <c r="J231" s="20">
        <f t="shared" ref="J231:AC231" si="27">SUM(J206,J212,J213,J215,J218:J221)</f>
        <v>5704713.9774015993</v>
      </c>
      <c r="K231" s="20">
        <f t="shared" si="27"/>
        <v>5760386.187062622</v>
      </c>
      <c r="L231" s="20">
        <f t="shared" si="27"/>
        <v>6130556.4156544888</v>
      </c>
      <c r="M231" s="20">
        <f t="shared" si="27"/>
        <v>6226348.1489944179</v>
      </c>
      <c r="N231" s="20">
        <f t="shared" si="27"/>
        <v>6319046.0920104571</v>
      </c>
      <c r="O231" s="20">
        <f t="shared" si="27"/>
        <v>6720342.967050788</v>
      </c>
      <c r="P231" s="20">
        <f t="shared" si="27"/>
        <v>6810370.128382843</v>
      </c>
      <c r="Q231" s="20">
        <f t="shared" si="27"/>
        <v>6891798.3611391969</v>
      </c>
      <c r="R231" s="20">
        <f t="shared" si="27"/>
        <v>7243798.5216459539</v>
      </c>
      <c r="S231" s="20">
        <f t="shared" si="27"/>
        <v>7361015.7818921199</v>
      </c>
      <c r="T231" s="20">
        <f t="shared" si="27"/>
        <v>7403388.1715135789</v>
      </c>
      <c r="U231" s="20">
        <f t="shared" si="27"/>
        <v>7756344.1539035756</v>
      </c>
      <c r="V231" s="20">
        <f t="shared" si="27"/>
        <v>7838583.8991536489</v>
      </c>
      <c r="W231" s="20">
        <f t="shared" si="27"/>
        <v>7912415.1570844073</v>
      </c>
      <c r="X231" s="20">
        <f t="shared" si="27"/>
        <v>8275215.7331804307</v>
      </c>
      <c r="Y231" s="20">
        <f t="shared" si="27"/>
        <v>8340670.8463802729</v>
      </c>
      <c r="Z231" s="20">
        <f t="shared" si="27"/>
        <v>8359153.7831790196</v>
      </c>
      <c r="AA231" s="20">
        <f t="shared" si="27"/>
        <v>8725935.4774584807</v>
      </c>
      <c r="AB231" s="20">
        <f t="shared" si="27"/>
        <v>8733109.402241135</v>
      </c>
      <c r="AC231" s="20">
        <f t="shared" si="27"/>
        <v>8750209.7662761379</v>
      </c>
      <c r="AD231" s="60"/>
    </row>
    <row r="232" spans="1:34" s="26" customFormat="1" ht="15.75" thickTop="1" x14ac:dyDescent="0.25">
      <c r="A232" s="149">
        <v>35</v>
      </c>
      <c r="C232" s="49"/>
      <c r="D232" s="50"/>
      <c r="E232" s="85"/>
      <c r="F232" s="103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48"/>
    </row>
    <row r="233" spans="1:34" s="64" customFormat="1" x14ac:dyDescent="0.25">
      <c r="A233" s="153">
        <v>36</v>
      </c>
      <c r="B233" s="64" t="s">
        <v>115</v>
      </c>
      <c r="C233" s="65">
        <f>C231-C202</f>
        <v>1540554.7999999998</v>
      </c>
      <c r="D233" s="65">
        <f>D231-D202</f>
        <v>-63233.800000000745</v>
      </c>
      <c r="E233" s="91" t="e">
        <f>E231-E202</f>
        <v>#REF!</v>
      </c>
      <c r="F233" s="65" t="e">
        <f t="shared" ref="F233:AC233" si="28">F231-F202</f>
        <v>#REF!</v>
      </c>
      <c r="G233" s="65" t="e">
        <f t="shared" si="28"/>
        <v>#REF!</v>
      </c>
      <c r="H233" s="65">
        <f t="shared" si="28"/>
        <v>518834.03000000026</v>
      </c>
      <c r="I233" s="65">
        <f t="shared" si="28"/>
        <v>-220723.29999999888</v>
      </c>
      <c r="J233" s="65">
        <f t="shared" si="28"/>
        <v>-30663.291398398578</v>
      </c>
      <c r="K233" s="65">
        <f t="shared" si="28"/>
        <v>-170888.98548937589</v>
      </c>
      <c r="L233" s="65">
        <f t="shared" si="28"/>
        <v>158779.57017041091</v>
      </c>
      <c r="M233" s="65">
        <f t="shared" si="28"/>
        <v>168918.62309375219</v>
      </c>
      <c r="N233" s="65">
        <f t="shared" si="28"/>
        <v>-73800.381000023335</v>
      </c>
      <c r="O233" s="65">
        <f t="shared" si="28"/>
        <v>318228.48139498476</v>
      </c>
      <c r="P233" s="65">
        <f t="shared" si="28"/>
        <v>-332013.10624025576</v>
      </c>
      <c r="Q233" s="65">
        <f t="shared" si="28"/>
        <v>-1050506.3706191555</v>
      </c>
      <c r="R233" s="65">
        <f t="shared" si="28"/>
        <v>914794.29085306358</v>
      </c>
      <c r="S233" s="65">
        <f t="shared" si="28"/>
        <v>455108.40709549189</v>
      </c>
      <c r="T233" s="65">
        <f t="shared" si="28"/>
        <v>-15787.571851071902</v>
      </c>
      <c r="U233" s="65">
        <f t="shared" si="28"/>
        <v>176545.12370126229</v>
      </c>
      <c r="V233" s="65">
        <f t="shared" si="28"/>
        <v>47159.539578980766</v>
      </c>
      <c r="W233" s="65">
        <f t="shared" si="28"/>
        <v>302811.3639831543</v>
      </c>
      <c r="X233" s="65">
        <f t="shared" si="28"/>
        <v>433616.87257931475</v>
      </c>
      <c r="Y233" s="65">
        <f t="shared" si="28"/>
        <v>257802.56077997014</v>
      </c>
      <c r="Z233" s="65">
        <f t="shared" si="28"/>
        <v>41917.45509206783</v>
      </c>
      <c r="AA233" s="65">
        <f t="shared" si="28"/>
        <v>152199.40051872842</v>
      </c>
      <c r="AB233" s="65">
        <f t="shared" si="28"/>
        <v>-54913.872953563929</v>
      </c>
      <c r="AC233" s="65">
        <f t="shared" si="28"/>
        <v>-200685.39406028762</v>
      </c>
      <c r="AD233" s="202"/>
    </row>
    <row r="234" spans="1:34" s="26" customFormat="1" x14ac:dyDescent="0.25">
      <c r="A234" s="153">
        <v>37</v>
      </c>
      <c r="C234" s="50"/>
      <c r="D234" s="50"/>
      <c r="E234" s="85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48"/>
    </row>
    <row r="235" spans="1:34" s="26" customFormat="1" hidden="1" x14ac:dyDescent="0.25">
      <c r="A235" s="153">
        <v>38</v>
      </c>
      <c r="B235" s="26" t="s">
        <v>407</v>
      </c>
      <c r="C235" s="50"/>
      <c r="D235" s="50"/>
      <c r="E235" s="85"/>
      <c r="F235" s="50" t="e">
        <f>E233+F233</f>
        <v>#REF!</v>
      </c>
      <c r="G235" s="50" t="e">
        <f>F235+G233</f>
        <v>#REF!</v>
      </c>
      <c r="H235" s="50" t="e">
        <f t="shared" ref="H235:AC235" si="29">G235+H233</f>
        <v>#REF!</v>
      </c>
      <c r="I235" s="50" t="e">
        <f>H235+I233</f>
        <v>#REF!</v>
      </c>
      <c r="J235" s="50" t="e">
        <f t="shared" si="29"/>
        <v>#REF!</v>
      </c>
      <c r="K235" s="50" t="e">
        <f t="shared" si="29"/>
        <v>#REF!</v>
      </c>
      <c r="L235" s="50" t="e">
        <f t="shared" si="29"/>
        <v>#REF!</v>
      </c>
      <c r="M235" s="50" t="e">
        <f t="shared" si="29"/>
        <v>#REF!</v>
      </c>
      <c r="N235" s="50" t="e">
        <f t="shared" si="29"/>
        <v>#REF!</v>
      </c>
      <c r="O235" s="50" t="e">
        <f t="shared" si="29"/>
        <v>#REF!</v>
      </c>
      <c r="P235" s="50" t="e">
        <f t="shared" si="29"/>
        <v>#REF!</v>
      </c>
      <c r="Q235" s="50" t="e">
        <f t="shared" si="29"/>
        <v>#REF!</v>
      </c>
      <c r="R235" s="50" t="e">
        <f t="shared" si="29"/>
        <v>#REF!</v>
      </c>
      <c r="S235" s="50" t="e">
        <f t="shared" si="29"/>
        <v>#REF!</v>
      </c>
      <c r="T235" s="50" t="e">
        <f t="shared" si="29"/>
        <v>#REF!</v>
      </c>
      <c r="U235" s="50" t="e">
        <f t="shared" si="29"/>
        <v>#REF!</v>
      </c>
      <c r="V235" s="50" t="e">
        <f t="shared" si="29"/>
        <v>#REF!</v>
      </c>
      <c r="W235" s="50" t="e">
        <f t="shared" si="29"/>
        <v>#REF!</v>
      </c>
      <c r="X235" s="50" t="e">
        <f t="shared" si="29"/>
        <v>#REF!</v>
      </c>
      <c r="Y235" s="50" t="e">
        <f t="shared" si="29"/>
        <v>#REF!</v>
      </c>
      <c r="Z235" s="50" t="e">
        <f t="shared" si="29"/>
        <v>#REF!</v>
      </c>
      <c r="AA235" s="50" t="e">
        <f t="shared" si="29"/>
        <v>#REF!</v>
      </c>
      <c r="AB235" s="50" t="e">
        <f t="shared" si="29"/>
        <v>#REF!</v>
      </c>
      <c r="AC235" s="50" t="e">
        <f t="shared" si="29"/>
        <v>#REF!</v>
      </c>
      <c r="AD235" s="48"/>
    </row>
    <row r="236" spans="1:34" s="26" customFormat="1" x14ac:dyDescent="0.25">
      <c r="A236" s="153"/>
      <c r="B236" s="26" t="s">
        <v>407</v>
      </c>
      <c r="C236" s="50"/>
      <c r="D236" s="50"/>
      <c r="E236" s="85"/>
      <c r="F236" s="50"/>
      <c r="G236" s="50"/>
      <c r="H236" s="50"/>
      <c r="I236" s="50">
        <f>I233</f>
        <v>-220723.29999999888</v>
      </c>
      <c r="J236" s="50">
        <f>I236+J233</f>
        <v>-251386.59139839746</v>
      </c>
      <c r="K236" s="50">
        <f t="shared" ref="K236:AC236" si="30">J236+K233</f>
        <v>-422275.57688777335</v>
      </c>
      <c r="L236" s="50">
        <f t="shared" si="30"/>
        <v>-263496.00671736244</v>
      </c>
      <c r="M236" s="50">
        <f t="shared" si="30"/>
        <v>-94577.383623610251</v>
      </c>
      <c r="N236" s="50">
        <f t="shared" si="30"/>
        <v>-168377.76462363359</v>
      </c>
      <c r="O236" s="50">
        <f t="shared" si="30"/>
        <v>149850.71677135117</v>
      </c>
      <c r="P236" s="50">
        <f t="shared" si="30"/>
        <v>-182162.38946890458</v>
      </c>
      <c r="Q236" s="50">
        <f t="shared" si="30"/>
        <v>-1232668.7600880601</v>
      </c>
      <c r="R236" s="50">
        <f t="shared" si="30"/>
        <v>-317874.46923499648</v>
      </c>
      <c r="S236" s="50">
        <f t="shared" si="30"/>
        <v>137233.93786049541</v>
      </c>
      <c r="T236" s="50">
        <f t="shared" si="30"/>
        <v>121446.36600942351</v>
      </c>
      <c r="U236" s="50">
        <f t="shared" si="30"/>
        <v>297991.4897106858</v>
      </c>
      <c r="V236" s="50">
        <f t="shared" si="30"/>
        <v>345151.02928966656</v>
      </c>
      <c r="W236" s="50">
        <f t="shared" si="30"/>
        <v>647962.39327282086</v>
      </c>
      <c r="X236" s="50">
        <f t="shared" si="30"/>
        <v>1081579.2658521356</v>
      </c>
      <c r="Y236" s="50">
        <f t="shared" si="30"/>
        <v>1339381.8266321057</v>
      </c>
      <c r="Z236" s="50">
        <f t="shared" si="30"/>
        <v>1381299.2817241736</v>
      </c>
      <c r="AA236" s="50">
        <f t="shared" si="30"/>
        <v>1533498.682242902</v>
      </c>
      <c r="AB236" s="50">
        <f t="shared" si="30"/>
        <v>1478584.8092893381</v>
      </c>
      <c r="AC236" s="50">
        <f t="shared" si="30"/>
        <v>1277899.4152290504</v>
      </c>
      <c r="AD236" s="48"/>
    </row>
    <row r="237" spans="1:34" s="26" customFormat="1" x14ac:dyDescent="0.25">
      <c r="A237" s="153"/>
      <c r="C237" s="55">
        <f>C210/C211</f>
        <v>0.58609271523178808</v>
      </c>
      <c r="D237" s="55">
        <f t="shared" ref="D237:H237" si="31">D210/D211</f>
        <v>0.58609271523178796</v>
      </c>
      <c r="E237" s="55">
        <f t="shared" si="31"/>
        <v>0.58609271523178808</v>
      </c>
      <c r="F237" s="55">
        <f t="shared" si="31"/>
        <v>0.62471655300926654</v>
      </c>
      <c r="G237" s="55">
        <f t="shared" si="31"/>
        <v>0.612774334512595</v>
      </c>
      <c r="H237" s="55">
        <f t="shared" si="31"/>
        <v>0.58224044617800819</v>
      </c>
      <c r="I237" s="55"/>
      <c r="J237" s="55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48"/>
    </row>
    <row r="238" spans="1:34" s="26" customFormat="1" x14ac:dyDescent="0.25">
      <c r="A238" s="153">
        <v>39</v>
      </c>
      <c r="B238" s="229" t="s">
        <v>142</v>
      </c>
      <c r="C238" s="229"/>
      <c r="D238" s="229"/>
      <c r="E238" s="229"/>
      <c r="F238" s="229"/>
      <c r="AD238" s="48"/>
    </row>
    <row r="239" spans="1:34" s="26" customFormat="1" x14ac:dyDescent="0.25">
      <c r="A239" s="153">
        <v>40</v>
      </c>
      <c r="B239" s="229" t="s">
        <v>143</v>
      </c>
      <c r="C239" s="229"/>
      <c r="D239" s="229"/>
      <c r="E239" s="229"/>
      <c r="F239" s="229"/>
      <c r="AD239" s="48"/>
    </row>
    <row r="240" spans="1:34" s="26" customFormat="1" x14ac:dyDescent="0.25">
      <c r="A240" s="153">
        <v>41</v>
      </c>
      <c r="B240" s="230"/>
      <c r="C240" s="231"/>
      <c r="D240" s="231"/>
      <c r="E240" s="231"/>
      <c r="F240" s="231"/>
      <c r="G240" s="231"/>
      <c r="H240" s="231"/>
      <c r="I240" s="231"/>
      <c r="J240" s="231"/>
      <c r="K240" s="231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48"/>
    </row>
    <row r="241" spans="1:29" x14ac:dyDescent="0.25">
      <c r="A241" s="153">
        <v>42</v>
      </c>
      <c r="B241" s="5" t="s">
        <v>141</v>
      </c>
      <c r="C241" s="22">
        <v>0.03</v>
      </c>
      <c r="D241" s="22">
        <f>C241</f>
        <v>0.03</v>
      </c>
      <c r="E241" s="22">
        <f>D241</f>
        <v>0.03</v>
      </c>
      <c r="F241" s="22"/>
    </row>
    <row r="242" spans="1:29" x14ac:dyDescent="0.25">
      <c r="A242" s="153">
        <v>43</v>
      </c>
      <c r="B242" s="5" t="s">
        <v>137</v>
      </c>
      <c r="C242" s="22">
        <v>0.03</v>
      </c>
      <c r="D242" s="22">
        <f t="shared" ref="D242:E243" si="32">C242</f>
        <v>0.03</v>
      </c>
      <c r="E242" s="22">
        <f t="shared" si="32"/>
        <v>0.03</v>
      </c>
      <c r="F242" s="22"/>
    </row>
    <row r="243" spans="1:29" ht="15.75" thickBot="1" x14ac:dyDescent="0.3">
      <c r="A243" s="153">
        <v>44</v>
      </c>
      <c r="B243" s="5" t="s">
        <v>136</v>
      </c>
      <c r="C243" s="22">
        <v>0.04</v>
      </c>
      <c r="D243" s="22">
        <f t="shared" si="32"/>
        <v>0.04</v>
      </c>
      <c r="E243" s="22">
        <f t="shared" si="32"/>
        <v>0.04</v>
      </c>
      <c r="F243" s="22"/>
    </row>
    <row r="244" spans="1:29" x14ac:dyDescent="0.25">
      <c r="A244" s="153">
        <v>45</v>
      </c>
      <c r="B244" s="5" t="s">
        <v>135</v>
      </c>
      <c r="C244" s="22">
        <v>0</v>
      </c>
      <c r="D244" s="22">
        <v>0</v>
      </c>
      <c r="E244" s="22">
        <v>0</v>
      </c>
      <c r="F244" s="22">
        <v>0</v>
      </c>
      <c r="G244" s="22">
        <v>0.04</v>
      </c>
      <c r="H244" s="22">
        <v>0</v>
      </c>
      <c r="I244" s="22">
        <v>0</v>
      </c>
      <c r="J244" s="22">
        <v>0</v>
      </c>
      <c r="K244" s="41">
        <v>0</v>
      </c>
      <c r="L244" s="210">
        <v>0.05</v>
      </c>
      <c r="M244" s="22">
        <v>0</v>
      </c>
      <c r="N244" s="221">
        <v>0</v>
      </c>
      <c r="O244" s="214">
        <v>0.05</v>
      </c>
      <c r="P244" s="221">
        <v>0</v>
      </c>
      <c r="Q244" s="22">
        <v>0</v>
      </c>
      <c r="R244" s="214">
        <v>0.04</v>
      </c>
      <c r="S244" s="22">
        <v>0</v>
      </c>
      <c r="T244" s="221">
        <v>0</v>
      </c>
      <c r="U244" s="214">
        <v>0.04</v>
      </c>
      <c r="V244" s="221">
        <v>0</v>
      </c>
      <c r="W244" s="22">
        <v>0</v>
      </c>
      <c r="X244" s="214">
        <v>0.04</v>
      </c>
      <c r="Y244" s="22">
        <v>0</v>
      </c>
      <c r="Z244" s="221">
        <v>0</v>
      </c>
      <c r="AA244" s="214">
        <v>0.04</v>
      </c>
      <c r="AB244" s="22">
        <v>0</v>
      </c>
      <c r="AC244" s="22">
        <v>0</v>
      </c>
    </row>
    <row r="245" spans="1:29" x14ac:dyDescent="0.25">
      <c r="A245" s="153">
        <v>46</v>
      </c>
      <c r="B245" s="35" t="s">
        <v>154</v>
      </c>
      <c r="C245" s="43">
        <v>0</v>
      </c>
      <c r="D245" s="36">
        <v>0</v>
      </c>
      <c r="E245" s="43">
        <f>D245</f>
        <v>0</v>
      </c>
      <c r="F245" s="36">
        <v>0</v>
      </c>
      <c r="G245" s="36">
        <v>0.04</v>
      </c>
      <c r="H245" s="36">
        <v>0</v>
      </c>
      <c r="I245" s="36">
        <v>0</v>
      </c>
      <c r="J245" s="36">
        <v>0</v>
      </c>
      <c r="K245" s="36">
        <v>0</v>
      </c>
      <c r="L245" s="211">
        <v>0.05</v>
      </c>
      <c r="M245" s="36">
        <v>0</v>
      </c>
      <c r="N245" s="222">
        <v>0</v>
      </c>
      <c r="O245" s="215">
        <v>0.05</v>
      </c>
      <c r="P245" s="222">
        <v>0</v>
      </c>
      <c r="Q245" s="36">
        <v>0</v>
      </c>
      <c r="R245" s="215">
        <v>0.04</v>
      </c>
      <c r="S245" s="36">
        <v>0</v>
      </c>
      <c r="T245" s="222">
        <v>0</v>
      </c>
      <c r="U245" s="215">
        <v>0.04</v>
      </c>
      <c r="V245" s="222">
        <v>0</v>
      </c>
      <c r="W245" s="36">
        <v>0</v>
      </c>
      <c r="X245" s="215">
        <v>0.04</v>
      </c>
      <c r="Y245" s="36">
        <v>0</v>
      </c>
      <c r="Z245" s="222">
        <v>0</v>
      </c>
      <c r="AA245" s="215">
        <v>0.04</v>
      </c>
      <c r="AB245" s="36">
        <v>0</v>
      </c>
      <c r="AC245" s="36">
        <v>0</v>
      </c>
    </row>
    <row r="246" spans="1:29" x14ac:dyDescent="0.25">
      <c r="A246" s="153">
        <v>47</v>
      </c>
      <c r="B246" s="37" t="s">
        <v>155</v>
      </c>
      <c r="C246" s="39">
        <v>0</v>
      </c>
      <c r="D246" s="41">
        <v>0</v>
      </c>
      <c r="E246" s="39">
        <f>D246</f>
        <v>0</v>
      </c>
      <c r="F246" s="41">
        <v>0</v>
      </c>
      <c r="G246" s="41">
        <f>G245</f>
        <v>0.04</v>
      </c>
      <c r="H246" s="41">
        <v>0</v>
      </c>
      <c r="I246" s="41">
        <v>0</v>
      </c>
      <c r="J246" s="41">
        <f>J245</f>
        <v>0</v>
      </c>
      <c r="K246" s="41">
        <v>0</v>
      </c>
      <c r="L246" s="212">
        <v>0.05</v>
      </c>
      <c r="M246" s="41">
        <v>0</v>
      </c>
      <c r="N246" s="223">
        <v>0</v>
      </c>
      <c r="O246" s="216">
        <v>0.05</v>
      </c>
      <c r="P246" s="223">
        <v>0</v>
      </c>
      <c r="Q246" s="41">
        <v>0</v>
      </c>
      <c r="R246" s="216">
        <v>0.04</v>
      </c>
      <c r="S246" s="41">
        <v>0</v>
      </c>
      <c r="T246" s="223">
        <v>0</v>
      </c>
      <c r="U246" s="216">
        <v>0.04</v>
      </c>
      <c r="V246" s="223">
        <v>0</v>
      </c>
      <c r="W246" s="41">
        <v>0</v>
      </c>
      <c r="X246" s="216">
        <v>0.04</v>
      </c>
      <c r="Y246" s="41">
        <v>0</v>
      </c>
      <c r="Z246" s="223">
        <v>0</v>
      </c>
      <c r="AA246" s="216">
        <v>0.04</v>
      </c>
      <c r="AB246" s="41">
        <v>0</v>
      </c>
      <c r="AC246" s="41">
        <v>0</v>
      </c>
    </row>
    <row r="247" spans="1:29" x14ac:dyDescent="0.25">
      <c r="A247" s="153">
        <v>48</v>
      </c>
      <c r="B247" s="37" t="s">
        <v>156</v>
      </c>
      <c r="C247" s="39">
        <v>0</v>
      </c>
      <c r="D247" s="41">
        <v>0</v>
      </c>
      <c r="E247" s="39">
        <f>D247</f>
        <v>0</v>
      </c>
      <c r="F247" s="41">
        <v>0</v>
      </c>
      <c r="G247" s="41">
        <f>G246</f>
        <v>0.04</v>
      </c>
      <c r="H247" s="41">
        <v>0</v>
      </c>
      <c r="I247" s="41">
        <v>0</v>
      </c>
      <c r="J247" s="41">
        <f>J246</f>
        <v>0</v>
      </c>
      <c r="K247" s="41">
        <v>0</v>
      </c>
      <c r="L247" s="212">
        <v>0.05</v>
      </c>
      <c r="M247" s="41">
        <v>0</v>
      </c>
      <c r="N247" s="223">
        <v>0</v>
      </c>
      <c r="O247" s="216">
        <v>0.05</v>
      </c>
      <c r="P247" s="223">
        <v>0</v>
      </c>
      <c r="Q247" s="41">
        <v>0</v>
      </c>
      <c r="R247" s="216">
        <v>0.04</v>
      </c>
      <c r="S247" s="41">
        <v>0</v>
      </c>
      <c r="T247" s="223">
        <v>0</v>
      </c>
      <c r="U247" s="216">
        <v>0.04</v>
      </c>
      <c r="V247" s="223">
        <v>0</v>
      </c>
      <c r="W247" s="41">
        <v>0</v>
      </c>
      <c r="X247" s="216">
        <v>0.04</v>
      </c>
      <c r="Y247" s="41">
        <v>0</v>
      </c>
      <c r="Z247" s="223">
        <v>0</v>
      </c>
      <c r="AA247" s="216">
        <v>0.04</v>
      </c>
      <c r="AB247" s="41">
        <v>0</v>
      </c>
      <c r="AC247" s="41">
        <v>0</v>
      </c>
    </row>
    <row r="248" spans="1:29" x14ac:dyDescent="0.25">
      <c r="A248" s="153">
        <v>49</v>
      </c>
      <c r="B248" s="38" t="s">
        <v>157</v>
      </c>
      <c r="C248" s="40">
        <v>0</v>
      </c>
      <c r="D248" s="42">
        <v>0</v>
      </c>
      <c r="E248" s="93">
        <v>0</v>
      </c>
      <c r="F248" s="42">
        <v>0</v>
      </c>
      <c r="G248" s="42">
        <f>G247</f>
        <v>0.04</v>
      </c>
      <c r="H248" s="42">
        <v>0</v>
      </c>
      <c r="I248" s="42">
        <v>0</v>
      </c>
      <c r="J248" s="42">
        <f>J247</f>
        <v>0</v>
      </c>
      <c r="K248" s="42">
        <v>0</v>
      </c>
      <c r="L248" s="213">
        <v>0.05</v>
      </c>
      <c r="M248" s="42">
        <v>0</v>
      </c>
      <c r="N248" s="224">
        <v>0</v>
      </c>
      <c r="O248" s="217">
        <v>0.05</v>
      </c>
      <c r="P248" s="224">
        <v>0</v>
      </c>
      <c r="Q248" s="42">
        <v>0</v>
      </c>
      <c r="R248" s="217">
        <v>0.04</v>
      </c>
      <c r="S248" s="42">
        <v>0</v>
      </c>
      <c r="T248" s="224">
        <v>0</v>
      </c>
      <c r="U248" s="217">
        <v>0.04</v>
      </c>
      <c r="V248" s="224">
        <v>0</v>
      </c>
      <c r="W248" s="42">
        <v>0</v>
      </c>
      <c r="X248" s="217">
        <v>0.04</v>
      </c>
      <c r="Y248" s="42">
        <v>0</v>
      </c>
      <c r="Z248" s="224">
        <v>0</v>
      </c>
      <c r="AA248" s="217">
        <v>0.04</v>
      </c>
      <c r="AB248" s="42">
        <v>0</v>
      </c>
      <c r="AC248" s="42">
        <v>0</v>
      </c>
    </row>
    <row r="249" spans="1:29" x14ac:dyDescent="0.25">
      <c r="A249" s="153">
        <v>50</v>
      </c>
      <c r="B249" s="5" t="s">
        <v>130</v>
      </c>
      <c r="C249" s="21">
        <v>18</v>
      </c>
      <c r="D249" s="23">
        <v>18</v>
      </c>
      <c r="E249" s="94">
        <v>18</v>
      </c>
      <c r="F249" s="23">
        <f>E249+(E249*F244)</f>
        <v>18</v>
      </c>
      <c r="G249" s="23">
        <f t="shared" ref="G249:AC253" si="33">F249+(F249*G244)</f>
        <v>18.72</v>
      </c>
      <c r="H249" s="23">
        <f t="shared" si="33"/>
        <v>18.72</v>
      </c>
      <c r="I249" s="23">
        <f>H249+(H249*I244)</f>
        <v>18.72</v>
      </c>
      <c r="J249" s="23">
        <f t="shared" si="33"/>
        <v>18.72</v>
      </c>
      <c r="K249" s="185">
        <f t="shared" si="33"/>
        <v>18.72</v>
      </c>
      <c r="L249" s="218">
        <f t="shared" si="33"/>
        <v>19.655999999999999</v>
      </c>
      <c r="M249" s="23">
        <f t="shared" si="33"/>
        <v>19.655999999999999</v>
      </c>
      <c r="N249" s="23">
        <f t="shared" si="33"/>
        <v>19.655999999999999</v>
      </c>
      <c r="O249" s="220">
        <f t="shared" si="33"/>
        <v>20.6388</v>
      </c>
      <c r="P249" s="23">
        <f t="shared" si="33"/>
        <v>20.6388</v>
      </c>
      <c r="Q249" s="23">
        <f t="shared" si="33"/>
        <v>20.6388</v>
      </c>
      <c r="R249" s="23">
        <f t="shared" si="33"/>
        <v>21.464351999999998</v>
      </c>
      <c r="S249" s="23">
        <f t="shared" si="33"/>
        <v>21.464351999999998</v>
      </c>
      <c r="T249" s="23">
        <f t="shared" si="33"/>
        <v>21.464351999999998</v>
      </c>
      <c r="U249" s="23">
        <f t="shared" si="33"/>
        <v>22.322926079999998</v>
      </c>
      <c r="V249" s="23">
        <f t="shared" si="33"/>
        <v>22.322926079999998</v>
      </c>
      <c r="W249" s="23">
        <f t="shared" si="33"/>
        <v>22.322926079999998</v>
      </c>
      <c r="X249" s="23">
        <f t="shared" si="33"/>
        <v>23.215843123199999</v>
      </c>
      <c r="Y249" s="23">
        <f t="shared" si="33"/>
        <v>23.215843123199999</v>
      </c>
      <c r="Z249" s="23">
        <f t="shared" si="33"/>
        <v>23.215843123199999</v>
      </c>
      <c r="AA249" s="23">
        <f t="shared" si="33"/>
        <v>24.144476848128001</v>
      </c>
      <c r="AB249" s="23">
        <f t="shared" si="33"/>
        <v>24.144476848128001</v>
      </c>
      <c r="AC249" s="23">
        <f t="shared" si="33"/>
        <v>24.144476848128001</v>
      </c>
    </row>
    <row r="250" spans="1:29" x14ac:dyDescent="0.25">
      <c r="A250" s="153">
        <v>51</v>
      </c>
      <c r="B250" s="5" t="s">
        <v>131</v>
      </c>
      <c r="C250" s="21">
        <v>1.23</v>
      </c>
      <c r="D250" s="23">
        <v>1.23</v>
      </c>
      <c r="E250" s="94">
        <v>1.23</v>
      </c>
      <c r="F250" s="23">
        <f>E250+(E250*F245)</f>
        <v>1.23</v>
      </c>
      <c r="G250" s="23">
        <f t="shared" si="33"/>
        <v>1.2791999999999999</v>
      </c>
      <c r="H250" s="23">
        <f t="shared" si="33"/>
        <v>1.2791999999999999</v>
      </c>
      <c r="I250" s="23">
        <f>H250+(H250*I245)</f>
        <v>1.2791999999999999</v>
      </c>
      <c r="J250" s="23">
        <f t="shared" si="33"/>
        <v>1.2791999999999999</v>
      </c>
      <c r="K250" s="185">
        <f t="shared" si="33"/>
        <v>1.2791999999999999</v>
      </c>
      <c r="L250" s="218">
        <f t="shared" si="33"/>
        <v>1.3431599999999999</v>
      </c>
      <c r="M250" s="23">
        <f t="shared" si="33"/>
        <v>1.3431599999999999</v>
      </c>
      <c r="N250" s="23">
        <f t="shared" si="33"/>
        <v>1.3431599999999999</v>
      </c>
      <c r="O250" s="220">
        <f t="shared" si="33"/>
        <v>1.410318</v>
      </c>
      <c r="P250" s="23">
        <f t="shared" si="33"/>
        <v>1.410318</v>
      </c>
      <c r="Q250" s="23">
        <f t="shared" si="33"/>
        <v>1.410318</v>
      </c>
      <c r="R250" s="23">
        <f t="shared" si="33"/>
        <v>1.4667307199999999</v>
      </c>
      <c r="S250" s="23">
        <f t="shared" si="33"/>
        <v>1.4667307199999999</v>
      </c>
      <c r="T250" s="23">
        <f t="shared" si="33"/>
        <v>1.4667307199999999</v>
      </c>
      <c r="U250" s="23">
        <f t="shared" si="33"/>
        <v>1.5253999487999998</v>
      </c>
      <c r="V250" s="23">
        <f t="shared" si="33"/>
        <v>1.5253999487999998</v>
      </c>
      <c r="W250" s="23">
        <f t="shared" si="33"/>
        <v>1.5253999487999998</v>
      </c>
      <c r="X250" s="23">
        <f t="shared" si="33"/>
        <v>1.5864159467519998</v>
      </c>
      <c r="Y250" s="23">
        <f t="shared" si="33"/>
        <v>1.5864159467519998</v>
      </c>
      <c r="Z250" s="23">
        <f t="shared" si="33"/>
        <v>1.5864159467519998</v>
      </c>
      <c r="AA250" s="23">
        <f t="shared" si="33"/>
        <v>1.6498725846220799</v>
      </c>
      <c r="AB250" s="23">
        <f t="shared" si="33"/>
        <v>1.6498725846220799</v>
      </c>
      <c r="AC250" s="23">
        <f t="shared" si="33"/>
        <v>1.6498725846220799</v>
      </c>
    </row>
    <row r="251" spans="1:29" x14ac:dyDescent="0.25">
      <c r="A251" s="153">
        <v>52</v>
      </c>
      <c r="B251" s="5" t="s">
        <v>132</v>
      </c>
      <c r="C251" s="21">
        <v>1.89</v>
      </c>
      <c r="D251" s="23">
        <v>1.89</v>
      </c>
      <c r="E251" s="94">
        <v>1.89</v>
      </c>
      <c r="F251" s="23">
        <f>E251+(E251*F246)</f>
        <v>1.89</v>
      </c>
      <c r="G251" s="23">
        <f t="shared" si="33"/>
        <v>1.9655999999999998</v>
      </c>
      <c r="H251" s="23">
        <f t="shared" si="33"/>
        <v>1.9655999999999998</v>
      </c>
      <c r="I251" s="23">
        <f>H251+(H251*I246)</f>
        <v>1.9655999999999998</v>
      </c>
      <c r="J251" s="23">
        <f t="shared" si="33"/>
        <v>1.9655999999999998</v>
      </c>
      <c r="K251" s="185">
        <f t="shared" si="33"/>
        <v>1.9655999999999998</v>
      </c>
      <c r="L251" s="218">
        <f t="shared" si="33"/>
        <v>2.0638799999999997</v>
      </c>
      <c r="M251" s="23">
        <f t="shared" si="33"/>
        <v>2.0638799999999997</v>
      </c>
      <c r="N251" s="23">
        <f t="shared" si="33"/>
        <v>2.0638799999999997</v>
      </c>
      <c r="O251" s="220">
        <f t="shared" si="33"/>
        <v>2.1670739999999995</v>
      </c>
      <c r="P251" s="23">
        <f t="shared" si="33"/>
        <v>2.1670739999999995</v>
      </c>
      <c r="Q251" s="23">
        <f t="shared" si="33"/>
        <v>2.1670739999999995</v>
      </c>
      <c r="R251" s="23">
        <f t="shared" si="33"/>
        <v>2.2537569599999996</v>
      </c>
      <c r="S251" s="23">
        <f t="shared" si="33"/>
        <v>2.2537569599999996</v>
      </c>
      <c r="T251" s="23">
        <f t="shared" si="33"/>
        <v>2.2537569599999996</v>
      </c>
      <c r="U251" s="23">
        <f t="shared" si="33"/>
        <v>2.3439072383999995</v>
      </c>
      <c r="V251" s="23">
        <f t="shared" si="33"/>
        <v>2.3439072383999995</v>
      </c>
      <c r="W251" s="23">
        <f t="shared" si="33"/>
        <v>2.3439072383999995</v>
      </c>
      <c r="X251" s="23">
        <f t="shared" si="33"/>
        <v>2.4376635279359995</v>
      </c>
      <c r="Y251" s="23">
        <f t="shared" si="33"/>
        <v>2.4376635279359995</v>
      </c>
      <c r="Z251" s="23">
        <f t="shared" si="33"/>
        <v>2.4376635279359995</v>
      </c>
      <c r="AA251" s="23">
        <f t="shared" si="33"/>
        <v>2.5351700690534393</v>
      </c>
      <c r="AB251" s="23">
        <f t="shared" si="33"/>
        <v>2.5351700690534393</v>
      </c>
      <c r="AC251" s="23">
        <f t="shared" si="33"/>
        <v>2.5351700690534393</v>
      </c>
    </row>
    <row r="252" spans="1:29" x14ac:dyDescent="0.25">
      <c r="A252" s="153">
        <v>53</v>
      </c>
      <c r="B252" s="5" t="s">
        <v>133</v>
      </c>
      <c r="C252" s="21">
        <v>2.59</v>
      </c>
      <c r="D252" s="23">
        <v>2.59</v>
      </c>
      <c r="E252" s="94">
        <v>2.59</v>
      </c>
      <c r="F252" s="23">
        <f>E252+(E252*F247)</f>
        <v>2.59</v>
      </c>
      <c r="G252" s="23">
        <f t="shared" si="33"/>
        <v>2.6936</v>
      </c>
      <c r="H252" s="23">
        <f t="shared" si="33"/>
        <v>2.6936</v>
      </c>
      <c r="I252" s="23">
        <f>H252+(H252*I247)</f>
        <v>2.6936</v>
      </c>
      <c r="J252" s="23">
        <f t="shared" si="33"/>
        <v>2.6936</v>
      </c>
      <c r="K252" s="185">
        <f t="shared" si="33"/>
        <v>2.6936</v>
      </c>
      <c r="L252" s="218">
        <f t="shared" si="33"/>
        <v>2.8282799999999999</v>
      </c>
      <c r="M252" s="23">
        <f t="shared" si="33"/>
        <v>2.8282799999999999</v>
      </c>
      <c r="N252" s="23">
        <f t="shared" si="33"/>
        <v>2.8282799999999999</v>
      </c>
      <c r="O252" s="220">
        <f t="shared" si="33"/>
        <v>2.9696940000000001</v>
      </c>
      <c r="P252" s="23">
        <f t="shared" si="33"/>
        <v>2.9696940000000001</v>
      </c>
      <c r="Q252" s="23">
        <f t="shared" si="33"/>
        <v>2.9696940000000001</v>
      </c>
      <c r="R252" s="23">
        <f t="shared" si="33"/>
        <v>3.0884817600000001</v>
      </c>
      <c r="S252" s="23">
        <f t="shared" si="33"/>
        <v>3.0884817600000001</v>
      </c>
      <c r="T252" s="23">
        <f t="shared" si="33"/>
        <v>3.0884817600000001</v>
      </c>
      <c r="U252" s="23">
        <f t="shared" si="33"/>
        <v>3.2120210303999999</v>
      </c>
      <c r="V252" s="23">
        <f t="shared" si="33"/>
        <v>3.2120210303999999</v>
      </c>
      <c r="W252" s="23">
        <f t="shared" si="33"/>
        <v>3.2120210303999999</v>
      </c>
      <c r="X252" s="23">
        <f t="shared" si="33"/>
        <v>3.340501871616</v>
      </c>
      <c r="Y252" s="23">
        <f t="shared" si="33"/>
        <v>3.340501871616</v>
      </c>
      <c r="Z252" s="23">
        <f t="shared" si="33"/>
        <v>3.340501871616</v>
      </c>
      <c r="AA252" s="23">
        <f t="shared" si="33"/>
        <v>3.4741219464806399</v>
      </c>
      <c r="AB252" s="23">
        <f t="shared" si="33"/>
        <v>3.4741219464806399</v>
      </c>
      <c r="AC252" s="23">
        <f t="shared" si="33"/>
        <v>3.4741219464806399</v>
      </c>
    </row>
    <row r="253" spans="1:29" ht="15.75" thickBot="1" x14ac:dyDescent="0.3">
      <c r="A253" s="153">
        <v>54</v>
      </c>
      <c r="B253" s="5" t="s">
        <v>134</v>
      </c>
      <c r="C253" s="21">
        <v>3.65</v>
      </c>
      <c r="D253" s="23">
        <v>3.65</v>
      </c>
      <c r="E253" s="94">
        <v>3.65</v>
      </c>
      <c r="F253" s="23">
        <f>E253+(E253*F248)</f>
        <v>3.65</v>
      </c>
      <c r="G253" s="23">
        <f t="shared" si="33"/>
        <v>3.7959999999999998</v>
      </c>
      <c r="H253" s="23">
        <f t="shared" si="33"/>
        <v>3.7959999999999998</v>
      </c>
      <c r="I253" s="23">
        <f>H253+(H253*I248)</f>
        <v>3.7959999999999998</v>
      </c>
      <c r="J253" s="23">
        <f t="shared" si="33"/>
        <v>3.7959999999999998</v>
      </c>
      <c r="K253" s="185">
        <f t="shared" si="33"/>
        <v>3.7959999999999998</v>
      </c>
      <c r="L253" s="219">
        <f t="shared" si="33"/>
        <v>3.9857999999999998</v>
      </c>
      <c r="M253" s="23">
        <f t="shared" si="33"/>
        <v>3.9857999999999998</v>
      </c>
      <c r="N253" s="23">
        <f t="shared" si="33"/>
        <v>3.9857999999999998</v>
      </c>
      <c r="O253" s="220">
        <f t="shared" si="33"/>
        <v>4.1850899999999998</v>
      </c>
      <c r="P253" s="23">
        <f t="shared" si="33"/>
        <v>4.1850899999999998</v>
      </c>
      <c r="Q253" s="23">
        <f t="shared" si="33"/>
        <v>4.1850899999999998</v>
      </c>
      <c r="R253" s="23">
        <f t="shared" si="33"/>
        <v>4.3524935999999999</v>
      </c>
      <c r="S253" s="23">
        <f t="shared" si="33"/>
        <v>4.3524935999999999</v>
      </c>
      <c r="T253" s="23">
        <f t="shared" si="33"/>
        <v>4.3524935999999999</v>
      </c>
      <c r="U253" s="23">
        <f t="shared" si="33"/>
        <v>4.5265933440000001</v>
      </c>
      <c r="V253" s="23">
        <f t="shared" si="33"/>
        <v>4.5265933440000001</v>
      </c>
      <c r="W253" s="23">
        <f t="shared" si="33"/>
        <v>4.5265933440000001</v>
      </c>
      <c r="X253" s="23">
        <f t="shared" si="33"/>
        <v>4.7076570777600004</v>
      </c>
      <c r="Y253" s="23">
        <f t="shared" si="33"/>
        <v>4.7076570777600004</v>
      </c>
      <c r="Z253" s="23">
        <f t="shared" si="33"/>
        <v>4.7076570777600004</v>
      </c>
      <c r="AA253" s="23">
        <f t="shared" si="33"/>
        <v>4.8959633608704003</v>
      </c>
      <c r="AB253" s="23">
        <f t="shared" si="33"/>
        <v>4.8959633608704003</v>
      </c>
      <c r="AC253" s="23">
        <f t="shared" si="33"/>
        <v>4.8959633608704003</v>
      </c>
    </row>
    <row r="254" spans="1:29" x14ac:dyDescent="0.25">
      <c r="A254" s="153">
        <v>55</v>
      </c>
    </row>
    <row r="255" spans="1:29" x14ac:dyDescent="0.25">
      <c r="A255" s="153">
        <v>56</v>
      </c>
      <c r="B255" s="44" t="str">
        <f>B233</f>
        <v>Difference</v>
      </c>
      <c r="C255" s="45">
        <f t="shared" ref="C255:AC255" si="34">C233</f>
        <v>1540554.7999999998</v>
      </c>
      <c r="D255" s="45">
        <f t="shared" si="34"/>
        <v>-63233.800000000745</v>
      </c>
      <c r="E255" s="95" t="e">
        <f t="shared" si="34"/>
        <v>#REF!</v>
      </c>
      <c r="F255" s="45" t="e">
        <f t="shared" si="34"/>
        <v>#REF!</v>
      </c>
      <c r="G255" s="45" t="e">
        <f t="shared" si="34"/>
        <v>#REF!</v>
      </c>
      <c r="H255" s="45">
        <f t="shared" si="34"/>
        <v>518834.03000000026</v>
      </c>
      <c r="I255" s="45">
        <f t="shared" si="34"/>
        <v>-220723.29999999888</v>
      </c>
      <c r="J255" s="45">
        <f t="shared" si="34"/>
        <v>-30663.291398398578</v>
      </c>
      <c r="K255" s="45">
        <f t="shared" si="34"/>
        <v>-170888.98548937589</v>
      </c>
      <c r="L255" s="45">
        <f t="shared" si="34"/>
        <v>158779.57017041091</v>
      </c>
      <c r="M255" s="45">
        <f t="shared" si="34"/>
        <v>168918.62309375219</v>
      </c>
      <c r="N255" s="45">
        <f t="shared" si="34"/>
        <v>-73800.381000023335</v>
      </c>
      <c r="O255" s="45">
        <f t="shared" si="34"/>
        <v>318228.48139498476</v>
      </c>
      <c r="P255" s="45">
        <f t="shared" si="34"/>
        <v>-332013.10624025576</v>
      </c>
      <c r="Q255" s="45">
        <f t="shared" si="34"/>
        <v>-1050506.3706191555</v>
      </c>
      <c r="R255" s="45">
        <f t="shared" si="34"/>
        <v>914794.29085306358</v>
      </c>
      <c r="S255" s="45">
        <f t="shared" si="34"/>
        <v>455108.40709549189</v>
      </c>
      <c r="T255" s="45">
        <f t="shared" si="34"/>
        <v>-15787.571851071902</v>
      </c>
      <c r="U255" s="45">
        <f t="shared" si="34"/>
        <v>176545.12370126229</v>
      </c>
      <c r="V255" s="45">
        <f t="shared" si="34"/>
        <v>47159.539578980766</v>
      </c>
      <c r="W255" s="45">
        <f t="shared" si="34"/>
        <v>302811.3639831543</v>
      </c>
      <c r="X255" s="45">
        <f t="shared" si="34"/>
        <v>433616.87257931475</v>
      </c>
      <c r="Y255" s="45">
        <f t="shared" si="34"/>
        <v>257802.56077997014</v>
      </c>
      <c r="Z255" s="45">
        <f t="shared" si="34"/>
        <v>41917.45509206783</v>
      </c>
      <c r="AA255" s="45">
        <f t="shared" si="34"/>
        <v>152199.40051872842</v>
      </c>
      <c r="AB255" s="45">
        <f t="shared" si="34"/>
        <v>-54913.872953563929</v>
      </c>
      <c r="AC255" s="45">
        <f t="shared" si="34"/>
        <v>-200685.39406028762</v>
      </c>
    </row>
    <row r="256" spans="1:29" x14ac:dyDescent="0.25">
      <c r="AC256" t="s">
        <v>522</v>
      </c>
    </row>
  </sheetData>
  <mergeCells count="9">
    <mergeCell ref="AH222:AI223"/>
    <mergeCell ref="B238:F238"/>
    <mergeCell ref="B239:F239"/>
    <mergeCell ref="B240:K240"/>
    <mergeCell ref="B1:K1"/>
    <mergeCell ref="AH207:AH211"/>
    <mergeCell ref="A2:P2"/>
    <mergeCell ref="A3:P3"/>
    <mergeCell ref="A4:P4"/>
  </mergeCells>
  <printOptions horizontalCentered="1"/>
  <pageMargins left="0.25" right="0.25" top="0.75" bottom="0.75" header="0.3" footer="0.3"/>
  <pageSetup scale="70" fitToHeight="0" orientation="landscape" r:id="rId1"/>
  <headerFooter>
    <oddFooter>&amp;L&amp;P of &amp;N</oddFooter>
  </headerFooter>
  <rowBreaks count="1" manualBreakCount="1">
    <brk id="239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zoomScale="80" zoomScaleNormal="80" workbookViewId="0">
      <selection activeCell="P36" sqref="P36"/>
    </sheetView>
  </sheetViews>
  <sheetFormatPr defaultRowHeight="15" x14ac:dyDescent="0.25"/>
  <cols>
    <col min="1" max="1" width="48.85546875" style="26" customWidth="1"/>
    <col min="2" max="2" width="18.140625" style="26" bestFit="1" customWidth="1"/>
    <col min="3" max="3" width="10.85546875" style="169" bestFit="1" customWidth="1"/>
    <col min="4" max="4" width="10.5703125" style="26" customWidth="1"/>
    <col min="5" max="5" width="12" style="26" bestFit="1" customWidth="1"/>
    <col min="6" max="6" width="13.42578125" style="26" bestFit="1" customWidth="1"/>
    <col min="7" max="7" width="13.5703125" style="26" customWidth="1"/>
    <col min="8" max="8" width="12" style="26" customWidth="1"/>
    <col min="9" max="9" width="14.7109375" style="26" bestFit="1" customWidth="1"/>
    <col min="10" max="10" width="12.5703125" style="26" customWidth="1"/>
    <col min="11" max="11" width="15.140625" style="26" bestFit="1" customWidth="1"/>
    <col min="12" max="14" width="13.85546875" style="26" bestFit="1" customWidth="1"/>
    <col min="15" max="15" width="12" style="26" customWidth="1"/>
    <col min="16" max="16" width="12.28515625" style="26" bestFit="1" customWidth="1"/>
    <col min="17" max="17" width="9.5703125" style="26" bestFit="1" customWidth="1"/>
    <col min="18" max="18" width="15.140625" style="26" bestFit="1" customWidth="1"/>
    <col min="19" max="19" width="15.85546875" style="26" bestFit="1" customWidth="1"/>
    <col min="20" max="16384" width="9.140625" style="26"/>
  </cols>
  <sheetData>
    <row r="1" spans="1:19" ht="15.75" x14ac:dyDescent="0.25">
      <c r="A1" s="237" t="s">
        <v>160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2"/>
    </row>
    <row r="2" spans="1:19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73"/>
    </row>
    <row r="3" spans="1:19" x14ac:dyDescent="0.25">
      <c r="A3" s="66"/>
      <c r="B3" s="66"/>
      <c r="C3" s="16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9" x14ac:dyDescent="0.25">
      <c r="A4" s="71"/>
      <c r="B4" s="71"/>
      <c r="C4" s="16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9" ht="15.75" thickBot="1" x14ac:dyDescent="0.3"/>
    <row r="6" spans="1:19" s="46" customFormat="1" ht="17.25" customHeight="1" thickTop="1" thickBot="1" x14ac:dyDescent="0.3">
      <c r="A6" s="76" t="s">
        <v>1</v>
      </c>
      <c r="B6" s="84" t="s">
        <v>172</v>
      </c>
      <c r="C6" s="83" t="s">
        <v>162</v>
      </c>
      <c r="D6" s="83" t="s">
        <v>163</v>
      </c>
      <c r="E6" s="83">
        <v>2016</v>
      </c>
      <c r="F6" s="83">
        <v>2017</v>
      </c>
      <c r="G6" s="83">
        <v>2018</v>
      </c>
      <c r="H6" s="83">
        <v>2019</v>
      </c>
      <c r="I6" s="83">
        <v>2020</v>
      </c>
      <c r="J6" s="83">
        <v>2021</v>
      </c>
      <c r="K6" s="83">
        <v>2022</v>
      </c>
      <c r="L6" s="83">
        <v>2023</v>
      </c>
      <c r="M6" s="83">
        <v>2024</v>
      </c>
      <c r="N6" s="207">
        <v>2025</v>
      </c>
      <c r="Q6" s="184"/>
    </row>
    <row r="7" spans="1:19" ht="15.75" thickTop="1" x14ac:dyDescent="0.25">
      <c r="A7" s="79" t="s">
        <v>501</v>
      </c>
      <c r="B7" s="98" t="s">
        <v>170</v>
      </c>
      <c r="C7" s="170" t="s">
        <v>508</v>
      </c>
      <c r="D7" s="183">
        <v>1050</v>
      </c>
      <c r="E7" s="187"/>
      <c r="F7" s="188">
        <v>144375</v>
      </c>
      <c r="G7" s="189"/>
      <c r="H7" s="189"/>
      <c r="I7" s="189"/>
      <c r="J7" s="189"/>
      <c r="K7" s="189"/>
      <c r="L7" s="187"/>
      <c r="M7" s="187"/>
      <c r="N7" s="190"/>
      <c r="O7" s="32"/>
      <c r="Q7" s="53"/>
      <c r="R7" s="185"/>
      <c r="S7" s="185"/>
    </row>
    <row r="8" spans="1:19" x14ac:dyDescent="0.25">
      <c r="A8" s="80" t="s">
        <v>502</v>
      </c>
      <c r="B8" s="98" t="s">
        <v>170</v>
      </c>
      <c r="C8" s="171" t="s">
        <v>508</v>
      </c>
      <c r="D8" s="183">
        <v>860</v>
      </c>
      <c r="E8" s="191">
        <v>118250</v>
      </c>
      <c r="F8" s="191"/>
      <c r="G8" s="192"/>
      <c r="H8" s="191"/>
      <c r="I8" s="191"/>
      <c r="J8" s="193"/>
      <c r="K8" s="193"/>
      <c r="L8" s="191"/>
      <c r="M8" s="191"/>
      <c r="N8" s="194"/>
      <c r="Q8" s="53"/>
      <c r="R8" s="185"/>
      <c r="S8" s="185"/>
    </row>
    <row r="9" spans="1:19" x14ac:dyDescent="0.25">
      <c r="A9" s="80" t="s">
        <v>503</v>
      </c>
      <c r="B9" s="98" t="s">
        <v>170</v>
      </c>
      <c r="C9" s="171" t="s">
        <v>508</v>
      </c>
      <c r="D9" s="183">
        <v>1400</v>
      </c>
      <c r="E9" s="192"/>
      <c r="F9" s="191"/>
      <c r="G9" s="191">
        <v>231000</v>
      </c>
      <c r="H9" s="191"/>
      <c r="I9" s="193"/>
      <c r="J9" s="193"/>
      <c r="K9" s="193"/>
      <c r="L9" s="191"/>
      <c r="M9" s="191"/>
      <c r="N9" s="194"/>
      <c r="Q9" s="53"/>
      <c r="R9" s="185"/>
      <c r="S9" s="185"/>
    </row>
    <row r="10" spans="1:19" x14ac:dyDescent="0.25">
      <c r="A10" s="80" t="s">
        <v>16</v>
      </c>
      <c r="B10" s="98" t="s">
        <v>170</v>
      </c>
      <c r="C10" s="171" t="s">
        <v>509</v>
      </c>
      <c r="D10" s="183">
        <v>5970</v>
      </c>
      <c r="E10" s="191"/>
      <c r="F10" s="191"/>
      <c r="G10" s="192"/>
      <c r="H10" s="191"/>
      <c r="I10" s="191"/>
      <c r="J10" s="193"/>
      <c r="K10" s="191">
        <v>985050</v>
      </c>
      <c r="L10" s="191"/>
      <c r="M10" s="191"/>
      <c r="N10" s="194"/>
      <c r="Q10" s="53"/>
      <c r="R10" s="185"/>
      <c r="S10" s="185"/>
    </row>
    <row r="11" spans="1:19" x14ac:dyDescent="0.25">
      <c r="A11" s="80" t="s">
        <v>504</v>
      </c>
      <c r="B11" s="98" t="s">
        <v>170</v>
      </c>
      <c r="C11" s="171" t="s">
        <v>510</v>
      </c>
      <c r="D11" s="183">
        <v>2600</v>
      </c>
      <c r="E11" s="191"/>
      <c r="F11" s="191"/>
      <c r="G11" s="191"/>
      <c r="H11" s="192"/>
      <c r="I11" s="193">
        <v>357500</v>
      </c>
      <c r="J11" s="193"/>
      <c r="K11" s="193"/>
      <c r="L11" s="191"/>
      <c r="M11" s="191"/>
      <c r="N11" s="194"/>
      <c r="Q11" s="53"/>
      <c r="R11" s="185"/>
      <c r="S11" s="185"/>
    </row>
    <row r="12" spans="1:19" x14ac:dyDescent="0.25">
      <c r="A12" s="81" t="s">
        <v>17</v>
      </c>
      <c r="B12" s="98" t="s">
        <v>170</v>
      </c>
      <c r="C12" s="171" t="s">
        <v>510</v>
      </c>
      <c r="D12" s="183">
        <v>1340</v>
      </c>
      <c r="E12" s="191"/>
      <c r="F12" s="191"/>
      <c r="G12" s="191"/>
      <c r="H12" s="192"/>
      <c r="I12" s="191"/>
      <c r="J12" s="193"/>
      <c r="K12" s="193"/>
      <c r="L12" s="191"/>
      <c r="M12" s="191">
        <v>167500</v>
      </c>
      <c r="N12" s="194"/>
      <c r="Q12" s="53"/>
      <c r="R12" s="185"/>
      <c r="S12" s="185"/>
    </row>
    <row r="13" spans="1:19" x14ac:dyDescent="0.25">
      <c r="A13" s="81" t="s">
        <v>18</v>
      </c>
      <c r="B13" s="98" t="s">
        <v>170</v>
      </c>
      <c r="C13" s="171" t="s">
        <v>510</v>
      </c>
      <c r="D13" s="183">
        <v>1620</v>
      </c>
      <c r="E13" s="191"/>
      <c r="F13" s="191">
        <v>202500</v>
      </c>
      <c r="G13" s="192" t="s">
        <v>511</v>
      </c>
      <c r="H13" s="191"/>
      <c r="I13" s="193"/>
      <c r="J13" s="191"/>
      <c r="K13" s="191"/>
      <c r="L13" s="191"/>
      <c r="M13" s="191"/>
      <c r="N13" s="194"/>
      <c r="Q13" s="53"/>
      <c r="R13" s="185"/>
      <c r="S13" s="185"/>
    </row>
    <row r="14" spans="1:19" x14ac:dyDescent="0.25">
      <c r="A14" s="80" t="s">
        <v>19</v>
      </c>
      <c r="B14" s="98" t="s">
        <v>170</v>
      </c>
      <c r="C14" s="171" t="s">
        <v>510</v>
      </c>
      <c r="D14" s="183">
        <v>960</v>
      </c>
      <c r="E14" s="191"/>
      <c r="F14" s="191"/>
      <c r="G14" s="192">
        <v>120000</v>
      </c>
      <c r="H14" s="191"/>
      <c r="I14" s="193"/>
      <c r="J14" s="191"/>
      <c r="K14" s="191"/>
      <c r="L14" s="191"/>
      <c r="M14" s="191"/>
      <c r="N14" s="194"/>
      <c r="Q14" s="53"/>
      <c r="R14" s="185"/>
      <c r="S14" s="185"/>
    </row>
    <row r="15" spans="1:19" x14ac:dyDescent="0.25">
      <c r="A15" s="80" t="s">
        <v>20</v>
      </c>
      <c r="B15" s="98" t="s">
        <v>170</v>
      </c>
      <c r="C15" s="171" t="s">
        <v>508</v>
      </c>
      <c r="D15" s="183">
        <v>1240</v>
      </c>
      <c r="E15" s="191"/>
      <c r="F15" s="191"/>
      <c r="G15" s="192"/>
      <c r="H15" s="191"/>
      <c r="I15" s="191"/>
      <c r="J15" s="193">
        <v>204600</v>
      </c>
      <c r="K15" s="191"/>
      <c r="L15" s="191"/>
      <c r="M15" s="191"/>
      <c r="N15" s="194"/>
      <c r="Q15" s="53"/>
      <c r="R15" s="185"/>
      <c r="S15" s="185"/>
    </row>
    <row r="16" spans="1:19" x14ac:dyDescent="0.25">
      <c r="A16" s="80" t="s">
        <v>21</v>
      </c>
      <c r="B16" s="98" t="s">
        <v>170</v>
      </c>
      <c r="C16" s="171" t="s">
        <v>510</v>
      </c>
      <c r="D16" s="183">
        <v>940</v>
      </c>
      <c r="E16" s="191"/>
      <c r="F16" s="191"/>
      <c r="G16" s="191"/>
      <c r="H16" s="191"/>
      <c r="I16" s="191"/>
      <c r="J16" s="192"/>
      <c r="K16" s="193"/>
      <c r="L16" s="191">
        <v>117500</v>
      </c>
      <c r="M16" s="191"/>
      <c r="N16" s="194"/>
      <c r="Q16" s="53"/>
      <c r="R16" s="185"/>
      <c r="S16" s="185"/>
    </row>
    <row r="17" spans="1:19" x14ac:dyDescent="0.25">
      <c r="A17" s="80" t="s">
        <v>6</v>
      </c>
      <c r="B17" s="98" t="s">
        <v>170</v>
      </c>
      <c r="C17" s="171" t="s">
        <v>510</v>
      </c>
      <c r="D17" s="183">
        <v>1160</v>
      </c>
      <c r="E17" s="191"/>
      <c r="F17" s="191"/>
      <c r="G17" s="191"/>
      <c r="H17" s="191">
        <v>145000</v>
      </c>
      <c r="I17" s="191"/>
      <c r="J17" s="192"/>
      <c r="K17" s="191"/>
      <c r="L17" s="191"/>
      <c r="M17" s="191"/>
      <c r="N17" s="194"/>
      <c r="Q17" s="53"/>
      <c r="R17" s="185"/>
      <c r="S17" s="185"/>
    </row>
    <row r="18" spans="1:19" x14ac:dyDescent="0.25">
      <c r="A18" s="81" t="s">
        <v>7</v>
      </c>
      <c r="B18" s="98" t="s">
        <v>170</v>
      </c>
      <c r="C18" s="171" t="s">
        <v>510</v>
      </c>
      <c r="D18" s="183">
        <v>1260</v>
      </c>
      <c r="E18" s="191"/>
      <c r="F18" s="191"/>
      <c r="G18" s="191"/>
      <c r="H18" s="191"/>
      <c r="I18" s="191"/>
      <c r="J18" s="192">
        <v>157500</v>
      </c>
      <c r="K18" s="191"/>
      <c r="L18" s="191"/>
      <c r="M18" s="191"/>
      <c r="N18" s="194"/>
      <c r="Q18" s="53"/>
      <c r="R18" s="185"/>
      <c r="S18" s="185"/>
    </row>
    <row r="19" spans="1:19" x14ac:dyDescent="0.25">
      <c r="A19" s="80" t="s">
        <v>505</v>
      </c>
      <c r="B19" s="98" t="s">
        <v>170</v>
      </c>
      <c r="C19" s="171" t="s">
        <v>510</v>
      </c>
      <c r="D19" s="183">
        <v>1380</v>
      </c>
      <c r="E19" s="191"/>
      <c r="F19" s="191"/>
      <c r="G19" s="193"/>
      <c r="H19" s="191"/>
      <c r="I19" s="191"/>
      <c r="J19" s="193"/>
      <c r="K19" s="192"/>
      <c r="L19" s="191">
        <v>172500</v>
      </c>
      <c r="M19" s="191"/>
      <c r="N19" s="194"/>
      <c r="Q19" s="53"/>
      <c r="R19" s="185"/>
      <c r="S19" s="185"/>
    </row>
    <row r="20" spans="1:19" x14ac:dyDescent="0.25">
      <c r="A20" s="80" t="s">
        <v>506</v>
      </c>
      <c r="B20" s="98" t="s">
        <v>170</v>
      </c>
      <c r="C20" s="171" t="s">
        <v>510</v>
      </c>
      <c r="D20" s="183">
        <v>2420</v>
      </c>
      <c r="E20" s="191"/>
      <c r="F20" s="191"/>
      <c r="G20" s="193"/>
      <c r="H20" s="191"/>
      <c r="I20" s="191"/>
      <c r="J20" s="193"/>
      <c r="K20" s="192"/>
      <c r="L20" s="191"/>
      <c r="M20" s="191"/>
      <c r="N20" s="194">
        <v>302500</v>
      </c>
      <c r="Q20" s="53"/>
      <c r="R20" s="185"/>
      <c r="S20" s="185"/>
    </row>
    <row r="21" spans="1:19" x14ac:dyDescent="0.25">
      <c r="A21" s="81" t="s">
        <v>22</v>
      </c>
      <c r="B21" s="98" t="s">
        <v>170</v>
      </c>
      <c r="C21" s="171" t="s">
        <v>510</v>
      </c>
      <c r="D21" s="183">
        <v>690</v>
      </c>
      <c r="E21" s="191"/>
      <c r="F21" s="191">
        <v>94875</v>
      </c>
      <c r="G21" s="191"/>
      <c r="H21" s="191"/>
      <c r="I21" s="191"/>
      <c r="J21" s="193"/>
      <c r="K21" s="192"/>
      <c r="L21" s="191"/>
      <c r="M21" s="191"/>
      <c r="N21" s="194"/>
      <c r="Q21" s="53"/>
      <c r="R21" s="185"/>
      <c r="S21" s="185"/>
    </row>
    <row r="22" spans="1:19" x14ac:dyDescent="0.25">
      <c r="A22" s="82" t="s">
        <v>507</v>
      </c>
      <c r="B22" s="98" t="s">
        <v>170</v>
      </c>
      <c r="C22" s="172" t="s">
        <v>510</v>
      </c>
      <c r="D22" s="183">
        <v>1400</v>
      </c>
      <c r="E22" s="192"/>
      <c r="F22" s="195"/>
      <c r="G22" s="196"/>
      <c r="H22" s="195"/>
      <c r="I22" s="191">
        <v>192500</v>
      </c>
      <c r="J22" s="195"/>
      <c r="K22" s="191"/>
      <c r="L22" s="191"/>
      <c r="M22" s="191"/>
      <c r="N22" s="194"/>
      <c r="Q22" s="53"/>
      <c r="R22" s="185"/>
      <c r="S22" s="185"/>
    </row>
    <row r="23" spans="1:19" x14ac:dyDescent="0.25">
      <c r="A23" s="82" t="s">
        <v>24</v>
      </c>
      <c r="B23" s="98" t="s">
        <v>170</v>
      </c>
      <c r="C23" s="173" t="s">
        <v>510</v>
      </c>
      <c r="D23" s="183">
        <v>1600</v>
      </c>
      <c r="E23" s="192"/>
      <c r="F23" s="191"/>
      <c r="G23" s="193"/>
      <c r="H23" s="193"/>
      <c r="I23" s="193"/>
      <c r="J23" s="191"/>
      <c r="K23" s="191"/>
      <c r="L23" s="191"/>
      <c r="M23" s="191"/>
      <c r="N23" s="194">
        <v>220000</v>
      </c>
      <c r="Q23" s="53"/>
      <c r="R23" s="185"/>
      <c r="S23" s="185"/>
    </row>
    <row r="24" spans="1:19" x14ac:dyDescent="0.25">
      <c r="A24" s="82" t="s">
        <v>25</v>
      </c>
      <c r="B24" s="98" t="s">
        <v>170</v>
      </c>
      <c r="C24" s="173" t="s">
        <v>510</v>
      </c>
      <c r="D24" s="183">
        <v>900</v>
      </c>
      <c r="E24" s="192"/>
      <c r="F24" s="191"/>
      <c r="G24" s="193"/>
      <c r="H24" s="193">
        <v>123750</v>
      </c>
      <c r="I24" s="193"/>
      <c r="J24" s="191"/>
      <c r="K24" s="191"/>
      <c r="L24" s="193"/>
      <c r="M24" s="193"/>
      <c r="N24" s="197"/>
      <c r="Q24" s="53"/>
      <c r="R24" s="185"/>
      <c r="S24" s="185"/>
    </row>
    <row r="25" spans="1:19" ht="15.75" thickBot="1" x14ac:dyDescent="0.3">
      <c r="A25" s="106"/>
      <c r="B25" s="98"/>
      <c r="C25" s="174"/>
      <c r="D25" s="105"/>
      <c r="E25" s="198"/>
      <c r="F25" s="199"/>
      <c r="G25" s="200"/>
      <c r="H25" s="200"/>
      <c r="I25" s="200"/>
      <c r="J25" s="199"/>
      <c r="K25" s="199"/>
      <c r="L25" s="200"/>
      <c r="M25" s="200"/>
      <c r="N25" s="201"/>
      <c r="R25" s="185"/>
      <c r="S25" s="185"/>
    </row>
    <row r="26" spans="1:19" s="64" customFormat="1" ht="15.75" thickBot="1" x14ac:dyDescent="0.3">
      <c r="A26" s="111" t="s">
        <v>164</v>
      </c>
      <c r="B26" s="112"/>
      <c r="C26" s="175"/>
      <c r="D26" s="113"/>
      <c r="E26" s="114">
        <f>SUM(E7:E25)</f>
        <v>118250</v>
      </c>
      <c r="F26" s="114">
        <f t="shared" ref="F26:N26" si="0">SUM(F7:F25)</f>
        <v>441750</v>
      </c>
      <c r="G26" s="114">
        <f t="shared" si="0"/>
        <v>351000</v>
      </c>
      <c r="H26" s="114">
        <f t="shared" si="0"/>
        <v>268750</v>
      </c>
      <c r="I26" s="114">
        <f t="shared" si="0"/>
        <v>550000</v>
      </c>
      <c r="J26" s="114">
        <f t="shared" si="0"/>
        <v>362100</v>
      </c>
      <c r="K26" s="114">
        <f t="shared" si="0"/>
        <v>985050</v>
      </c>
      <c r="L26" s="114">
        <f t="shared" si="0"/>
        <v>290000</v>
      </c>
      <c r="M26" s="114">
        <f t="shared" si="0"/>
        <v>167500</v>
      </c>
      <c r="N26" s="115">
        <f t="shared" si="0"/>
        <v>522500</v>
      </c>
      <c r="O26" s="116"/>
      <c r="R26" s="186"/>
      <c r="S26" s="185"/>
    </row>
    <row r="27" spans="1:19" x14ac:dyDescent="0.25">
      <c r="A27" s="107"/>
      <c r="B27" s="104"/>
      <c r="C27" s="176"/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10"/>
    </row>
    <row r="28" spans="1:19" x14ac:dyDescent="0.25">
      <c r="A28" s="82" t="s">
        <v>8</v>
      </c>
      <c r="B28" s="99" t="s">
        <v>171</v>
      </c>
      <c r="C28" s="171"/>
      <c r="D28" s="77"/>
      <c r="E28" s="78">
        <v>69600</v>
      </c>
      <c r="F28" s="78">
        <v>69600</v>
      </c>
      <c r="G28" s="78">
        <v>69600</v>
      </c>
      <c r="H28" s="78">
        <v>69600</v>
      </c>
      <c r="I28" s="78">
        <v>69600</v>
      </c>
      <c r="J28" s="78">
        <v>69600</v>
      </c>
      <c r="K28" s="78">
        <v>69600</v>
      </c>
      <c r="L28" s="78">
        <v>69600</v>
      </c>
      <c r="M28" s="78">
        <v>69600</v>
      </c>
      <c r="N28" s="208">
        <v>69600</v>
      </c>
    </row>
    <row r="29" spans="1:19" x14ac:dyDescent="0.25">
      <c r="A29" s="82" t="s">
        <v>158</v>
      </c>
      <c r="B29" s="99" t="s">
        <v>171</v>
      </c>
      <c r="C29" s="171"/>
      <c r="D29" s="77"/>
      <c r="E29" s="78">
        <v>300000</v>
      </c>
      <c r="F29" s="78"/>
      <c r="G29" s="78"/>
      <c r="H29" s="78"/>
      <c r="I29" s="78"/>
      <c r="J29" s="78"/>
      <c r="K29" s="78"/>
      <c r="L29" s="78"/>
      <c r="M29" s="78"/>
      <c r="N29" s="208"/>
    </row>
    <row r="30" spans="1:19" x14ac:dyDescent="0.25">
      <c r="A30" s="82" t="s">
        <v>175</v>
      </c>
      <c r="B30" s="99" t="s">
        <v>171</v>
      </c>
      <c r="C30" s="171"/>
      <c r="D30" s="77"/>
      <c r="E30" s="78">
        <v>120000</v>
      </c>
      <c r="F30" s="78"/>
      <c r="G30" s="78"/>
      <c r="H30" s="78"/>
      <c r="I30" s="78"/>
      <c r="J30" s="78"/>
      <c r="K30" s="78"/>
      <c r="L30" s="78"/>
      <c r="M30" s="78"/>
      <c r="N30" s="208"/>
    </row>
    <row r="31" spans="1:19" x14ac:dyDescent="0.25">
      <c r="A31" s="82" t="s">
        <v>161</v>
      </c>
      <c r="B31" s="99" t="s">
        <v>171</v>
      </c>
      <c r="C31" s="171"/>
      <c r="D31" s="77"/>
      <c r="E31" s="78">
        <v>100000</v>
      </c>
      <c r="F31" s="78"/>
      <c r="G31" s="78"/>
      <c r="H31" s="78">
        <v>40000</v>
      </c>
      <c r="I31" s="78"/>
      <c r="J31" s="78">
        <v>40000</v>
      </c>
      <c r="K31" s="78"/>
      <c r="L31" s="78">
        <v>40000</v>
      </c>
      <c r="M31" s="78"/>
      <c r="N31" s="208">
        <v>40000</v>
      </c>
    </row>
    <row r="32" spans="1:19" x14ac:dyDescent="0.25">
      <c r="A32" s="82" t="s">
        <v>159</v>
      </c>
      <c r="B32" s="99" t="s">
        <v>171</v>
      </c>
      <c r="C32" s="171"/>
      <c r="D32" s="77"/>
      <c r="E32" s="78">
        <v>190000</v>
      </c>
      <c r="F32" s="78">
        <v>60000</v>
      </c>
      <c r="G32" s="78">
        <v>70000</v>
      </c>
      <c r="H32" s="78"/>
      <c r="I32" s="78"/>
      <c r="J32" s="78"/>
      <c r="K32" s="78"/>
      <c r="L32" s="78"/>
      <c r="M32" s="78"/>
      <c r="N32" s="208"/>
    </row>
    <row r="33" spans="1:15" x14ac:dyDescent="0.25">
      <c r="A33" s="82" t="s">
        <v>515</v>
      </c>
      <c r="B33" s="99" t="s">
        <v>171</v>
      </c>
      <c r="C33" s="171"/>
      <c r="D33" s="77"/>
      <c r="E33" s="78">
        <v>6000</v>
      </c>
      <c r="F33" s="78">
        <v>6000</v>
      </c>
      <c r="G33" s="78">
        <v>6000</v>
      </c>
      <c r="H33" s="78">
        <v>6000</v>
      </c>
      <c r="I33" s="78">
        <v>6000</v>
      </c>
      <c r="J33" s="78">
        <v>15000</v>
      </c>
      <c r="K33" s="78">
        <v>6000</v>
      </c>
      <c r="L33" s="78">
        <v>6000</v>
      </c>
      <c r="M33" s="78">
        <v>7000</v>
      </c>
      <c r="N33" s="208">
        <v>7000</v>
      </c>
    </row>
    <row r="34" spans="1:15" x14ac:dyDescent="0.25">
      <c r="A34" s="82" t="s">
        <v>512</v>
      </c>
      <c r="B34" s="99" t="s">
        <v>171</v>
      </c>
      <c r="C34" s="171"/>
      <c r="D34" s="77"/>
      <c r="E34" s="78">
        <v>5000</v>
      </c>
      <c r="F34" s="78">
        <v>5000</v>
      </c>
      <c r="G34" s="78">
        <v>5000</v>
      </c>
      <c r="H34" s="78">
        <v>6000</v>
      </c>
      <c r="I34" s="78">
        <v>6000</v>
      </c>
      <c r="J34" s="78">
        <v>6000</v>
      </c>
      <c r="K34" s="78">
        <v>6000</v>
      </c>
      <c r="L34" s="78">
        <v>6000</v>
      </c>
      <c r="M34" s="78">
        <v>6000</v>
      </c>
      <c r="N34" s="208">
        <v>8000</v>
      </c>
    </row>
    <row r="35" spans="1:15" x14ac:dyDescent="0.25">
      <c r="A35" s="82" t="s">
        <v>518</v>
      </c>
      <c r="B35" s="99" t="s">
        <v>171</v>
      </c>
      <c r="C35" s="171"/>
      <c r="D35" s="77"/>
      <c r="E35" s="78"/>
      <c r="F35" s="78"/>
      <c r="G35" s="78"/>
      <c r="H35" s="78">
        <v>100000</v>
      </c>
      <c r="I35" s="78"/>
      <c r="J35" s="78"/>
      <c r="K35" s="78"/>
      <c r="L35" s="78"/>
      <c r="M35" s="78"/>
      <c r="N35" s="208"/>
    </row>
    <row r="36" spans="1:15" x14ac:dyDescent="0.25">
      <c r="A36" s="82" t="s">
        <v>513</v>
      </c>
      <c r="B36" s="99" t="s">
        <v>171</v>
      </c>
      <c r="C36" s="171"/>
      <c r="D36" s="77"/>
      <c r="E36" s="78"/>
      <c r="F36" s="78">
        <v>30000</v>
      </c>
      <c r="G36" s="78"/>
      <c r="H36" s="78"/>
      <c r="I36" s="78">
        <v>30000</v>
      </c>
      <c r="J36" s="78"/>
      <c r="K36" s="78"/>
      <c r="L36" s="78">
        <v>30000</v>
      </c>
      <c r="M36" s="78"/>
      <c r="N36" s="208"/>
    </row>
    <row r="37" spans="1:15" x14ac:dyDescent="0.25">
      <c r="A37" s="82" t="s">
        <v>514</v>
      </c>
      <c r="B37" s="99" t="s">
        <v>171</v>
      </c>
      <c r="C37" s="171"/>
      <c r="D37" s="77"/>
      <c r="E37" s="78">
        <v>6000</v>
      </c>
      <c r="F37" s="78">
        <v>6000</v>
      </c>
      <c r="G37" s="78">
        <v>6000</v>
      </c>
      <c r="H37" s="78">
        <v>6000</v>
      </c>
      <c r="I37" s="78">
        <v>6000</v>
      </c>
      <c r="J37" s="78">
        <v>15000</v>
      </c>
      <c r="K37" s="78">
        <v>6000</v>
      </c>
      <c r="L37" s="78">
        <v>6000</v>
      </c>
      <c r="M37" s="78">
        <v>6000</v>
      </c>
      <c r="N37" s="208">
        <v>6000</v>
      </c>
    </row>
    <row r="38" spans="1:15" x14ac:dyDescent="0.25">
      <c r="A38" s="82" t="s">
        <v>516</v>
      </c>
      <c r="B38" s="99" t="s">
        <v>171</v>
      </c>
      <c r="C38" s="171"/>
      <c r="D38" s="77"/>
      <c r="E38" s="78"/>
      <c r="F38" s="78"/>
      <c r="G38" s="78"/>
      <c r="H38" s="78"/>
      <c r="I38" s="78"/>
      <c r="J38" s="78"/>
      <c r="K38" s="78"/>
      <c r="L38" s="78">
        <v>1600000</v>
      </c>
      <c r="M38" s="78"/>
      <c r="N38" s="208"/>
    </row>
    <row r="39" spans="1:15" x14ac:dyDescent="0.25">
      <c r="A39" s="82" t="s">
        <v>520</v>
      </c>
      <c r="B39" s="99" t="s">
        <v>171</v>
      </c>
      <c r="C39" s="171"/>
      <c r="D39" s="77"/>
      <c r="E39" s="78"/>
      <c r="F39" s="78">
        <v>342000</v>
      </c>
      <c r="G39" s="78">
        <v>342000</v>
      </c>
      <c r="H39" s="78">
        <v>342000</v>
      </c>
      <c r="I39" s="78">
        <v>342000</v>
      </c>
      <c r="J39" s="78">
        <v>342000</v>
      </c>
      <c r="K39" s="78">
        <v>342000</v>
      </c>
      <c r="L39" s="78"/>
      <c r="M39" s="78"/>
      <c r="N39" s="208"/>
    </row>
    <row r="40" spans="1:15" x14ac:dyDescent="0.25">
      <c r="A40" s="82" t="s">
        <v>521</v>
      </c>
      <c r="B40" s="99" t="s">
        <v>171</v>
      </c>
      <c r="C40" s="171"/>
      <c r="D40" s="77"/>
      <c r="E40" s="78"/>
      <c r="F40" s="78">
        <f>1.15*12384</f>
        <v>14241.599999999999</v>
      </c>
      <c r="G40" s="78">
        <f>F40*2</f>
        <v>28483.199999999997</v>
      </c>
      <c r="H40" s="78">
        <f>F40*3</f>
        <v>42724.799999999996</v>
      </c>
      <c r="I40" s="78">
        <f>F40*4</f>
        <v>56966.399999999994</v>
      </c>
      <c r="J40" s="78">
        <f>F40*5</f>
        <v>71208</v>
      </c>
      <c r="K40" s="78">
        <f>F40*6</f>
        <v>85449.599999999991</v>
      </c>
      <c r="L40" s="78">
        <f>K40</f>
        <v>85449.599999999991</v>
      </c>
      <c r="M40" s="78">
        <f t="shared" ref="M40:N40" si="1">L40</f>
        <v>85449.599999999991</v>
      </c>
      <c r="N40" s="208">
        <f t="shared" si="1"/>
        <v>85449.599999999991</v>
      </c>
    </row>
    <row r="41" spans="1:15" ht="15.75" thickBot="1" x14ac:dyDescent="0.3">
      <c r="A41" s="82" t="s">
        <v>517</v>
      </c>
      <c r="B41" s="99" t="s">
        <v>171</v>
      </c>
      <c r="C41" s="171"/>
      <c r="D41" s="77"/>
      <c r="E41" s="78">
        <v>50000</v>
      </c>
      <c r="F41" s="78">
        <v>50000</v>
      </c>
      <c r="G41" s="78">
        <v>50000</v>
      </c>
      <c r="H41" s="78">
        <v>50000</v>
      </c>
      <c r="I41" s="78">
        <v>50000</v>
      </c>
      <c r="J41" s="78">
        <v>50000</v>
      </c>
      <c r="K41" s="78">
        <v>50000</v>
      </c>
      <c r="L41" s="78">
        <v>50000</v>
      </c>
      <c r="M41" s="78">
        <v>50000</v>
      </c>
      <c r="N41" s="208">
        <v>50000</v>
      </c>
    </row>
    <row r="42" spans="1:15" s="64" customFormat="1" ht="15.75" thickBot="1" x14ac:dyDescent="0.3">
      <c r="A42" s="111" t="s">
        <v>164</v>
      </c>
      <c r="B42" s="112"/>
      <c r="C42" s="175"/>
      <c r="D42" s="113"/>
      <c r="E42" s="114">
        <f>SUM(E28:E41)</f>
        <v>846600</v>
      </c>
      <c r="F42" s="114">
        <f t="shared" ref="F42:N42" si="2">SUM(F28:F41)</f>
        <v>582841.59999999998</v>
      </c>
      <c r="G42" s="114">
        <f t="shared" si="2"/>
        <v>577083.19999999995</v>
      </c>
      <c r="H42" s="114">
        <f t="shared" si="2"/>
        <v>662324.80000000005</v>
      </c>
      <c r="I42" s="114">
        <f t="shared" si="2"/>
        <v>566566.40000000002</v>
      </c>
      <c r="J42" s="114">
        <f t="shared" si="2"/>
        <v>608808</v>
      </c>
      <c r="K42" s="114">
        <f t="shared" si="2"/>
        <v>565049.59999999998</v>
      </c>
      <c r="L42" s="114">
        <f t="shared" si="2"/>
        <v>1893049.6</v>
      </c>
      <c r="M42" s="114">
        <f t="shared" si="2"/>
        <v>224049.59999999998</v>
      </c>
      <c r="N42" s="209">
        <f t="shared" si="2"/>
        <v>266049.59999999998</v>
      </c>
      <c r="O42" s="116"/>
    </row>
    <row r="43" spans="1:15" x14ac:dyDescent="0.25">
      <c r="A43" s="107"/>
      <c r="B43" s="104"/>
      <c r="C43" s="17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5" ht="15.75" thickBot="1" x14ac:dyDescent="0.3">
      <c r="A44" s="74" t="s">
        <v>165</v>
      </c>
      <c r="B44" s="97"/>
      <c r="C44" s="177"/>
      <c r="D44" s="18"/>
      <c r="E44" s="75">
        <f>E42+E26</f>
        <v>964850</v>
      </c>
      <c r="F44" s="75">
        <f t="shared" ref="F44:N44" si="3">F42+F26</f>
        <v>1024591.6</v>
      </c>
      <c r="G44" s="75">
        <f t="shared" si="3"/>
        <v>928083.2</v>
      </c>
      <c r="H44" s="75">
        <f t="shared" si="3"/>
        <v>931074.8</v>
      </c>
      <c r="I44" s="75">
        <f t="shared" si="3"/>
        <v>1116566.3999999999</v>
      </c>
      <c r="J44" s="75">
        <f t="shared" si="3"/>
        <v>970908</v>
      </c>
      <c r="K44" s="75">
        <f t="shared" si="3"/>
        <v>1550099.6</v>
      </c>
      <c r="L44" s="75">
        <f t="shared" si="3"/>
        <v>2183049.6</v>
      </c>
      <c r="M44" s="75">
        <f t="shared" si="3"/>
        <v>391549.6</v>
      </c>
      <c r="N44" s="117">
        <f t="shared" si="3"/>
        <v>788549.6</v>
      </c>
      <c r="O44" s="116"/>
    </row>
    <row r="45" spans="1:15" ht="15.75" thickTop="1" x14ac:dyDescent="0.25">
      <c r="A45" s="96"/>
      <c r="B45" s="96"/>
      <c r="C45" s="178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5" x14ac:dyDescent="0.25">
      <c r="F46" s="3"/>
      <c r="G46" s="3"/>
      <c r="H46" s="3"/>
      <c r="I46" s="3"/>
      <c r="J46" s="3"/>
      <c r="K46" s="3"/>
    </row>
    <row r="47" spans="1:15" x14ac:dyDescent="0.25">
      <c r="F47" s="3"/>
      <c r="G47" s="3"/>
      <c r="H47" s="3"/>
      <c r="I47" s="3"/>
      <c r="J47" s="3"/>
      <c r="K47" s="3"/>
    </row>
    <row r="48" spans="1:15" x14ac:dyDescent="0.25">
      <c r="F48" s="3"/>
      <c r="G48" s="3"/>
      <c r="H48" s="3"/>
      <c r="I48" s="3"/>
      <c r="J48" s="3"/>
      <c r="K48" s="3"/>
    </row>
    <row r="49" spans="1:13" x14ac:dyDescent="0.25">
      <c r="A49" s="28"/>
      <c r="B49" s="28"/>
      <c r="F49" s="3"/>
      <c r="G49" s="3"/>
      <c r="H49" s="3"/>
      <c r="I49" s="3"/>
      <c r="J49" s="3"/>
      <c r="K49" s="3"/>
    </row>
    <row r="50" spans="1:13" x14ac:dyDescent="0.25">
      <c r="A50" s="28"/>
      <c r="B50" s="28"/>
      <c r="F50" s="3"/>
      <c r="G50" s="3"/>
      <c r="H50" s="3"/>
      <c r="I50" s="3"/>
      <c r="J50" s="3"/>
      <c r="K50" s="3"/>
    </row>
    <row r="51" spans="1:13" x14ac:dyDescent="0.25">
      <c r="A51" s="28"/>
      <c r="B51" s="28"/>
      <c r="F51" s="3"/>
      <c r="G51" s="3"/>
      <c r="H51" s="3"/>
      <c r="I51" s="3"/>
      <c r="J51" s="3"/>
      <c r="K51" s="3"/>
    </row>
    <row r="52" spans="1:13" x14ac:dyDescent="0.25">
      <c r="A52" s="28"/>
      <c r="B52" s="28"/>
      <c r="F52" s="3"/>
      <c r="G52" s="3"/>
      <c r="H52" s="3"/>
      <c r="I52" s="3"/>
      <c r="J52" s="3"/>
      <c r="K52" s="3"/>
    </row>
    <row r="53" spans="1:13" x14ac:dyDescent="0.25">
      <c r="F53" s="29"/>
      <c r="G53" s="29"/>
      <c r="H53" s="29"/>
      <c r="I53" s="29"/>
      <c r="J53" s="29"/>
      <c r="K53" s="29"/>
    </row>
    <row r="54" spans="1:13" x14ac:dyDescent="0.25">
      <c r="K54" s="30"/>
      <c r="M54" s="32"/>
    </row>
    <row r="57" spans="1:13" x14ac:dyDescent="0.25">
      <c r="A57" s="31" t="s">
        <v>9</v>
      </c>
      <c r="B57" s="31"/>
    </row>
    <row r="58" spans="1:13" x14ac:dyDescent="0.25">
      <c r="A58" s="28" t="s">
        <v>10</v>
      </c>
      <c r="B58" s="28"/>
      <c r="C58" s="179">
        <v>125</v>
      </c>
      <c r="D58" s="32"/>
      <c r="E58" s="26" t="s">
        <v>11</v>
      </c>
      <c r="H58" s="27"/>
      <c r="I58" s="27"/>
      <c r="J58" s="27"/>
    </row>
    <row r="59" spans="1:13" x14ac:dyDescent="0.25">
      <c r="A59" s="28" t="s">
        <v>12</v>
      </c>
      <c r="B59" s="28"/>
      <c r="C59" s="179">
        <v>150</v>
      </c>
      <c r="D59" s="32"/>
      <c r="E59" s="26" t="s">
        <v>11</v>
      </c>
      <c r="H59" s="27"/>
      <c r="I59" s="27"/>
      <c r="J59" s="27"/>
    </row>
    <row r="60" spans="1:13" x14ac:dyDescent="0.25">
      <c r="A60" s="28" t="s">
        <v>13</v>
      </c>
      <c r="B60" s="28"/>
      <c r="C60" s="179">
        <v>175</v>
      </c>
      <c r="D60" s="32"/>
      <c r="E60" s="26" t="s">
        <v>11</v>
      </c>
      <c r="H60" s="27"/>
      <c r="I60" s="27"/>
      <c r="J60" s="27"/>
    </row>
    <row r="64" spans="1:13" x14ac:dyDescent="0.25">
      <c r="A64" s="26" t="s">
        <v>14</v>
      </c>
    </row>
    <row r="65" spans="1:5" x14ac:dyDescent="0.25">
      <c r="A65" s="67" t="s">
        <v>15</v>
      </c>
      <c r="B65" s="67"/>
      <c r="C65" s="180">
        <v>10</v>
      </c>
      <c r="D65" s="67"/>
      <c r="E65" s="67">
        <v>7250</v>
      </c>
    </row>
    <row r="66" spans="1:5" x14ac:dyDescent="0.25">
      <c r="A66" s="68" t="s">
        <v>4</v>
      </c>
      <c r="B66" s="68"/>
      <c r="C66" s="181">
        <v>8</v>
      </c>
      <c r="D66" s="68"/>
      <c r="E66" s="68">
        <v>1155</v>
      </c>
    </row>
    <row r="67" spans="1:5" x14ac:dyDescent="0.25">
      <c r="A67" s="67" t="s">
        <v>16</v>
      </c>
      <c r="B67" s="67"/>
      <c r="C67" s="180">
        <v>10</v>
      </c>
      <c r="D67" s="67"/>
      <c r="E67" s="67">
        <v>5970</v>
      </c>
    </row>
    <row r="68" spans="1:5" x14ac:dyDescent="0.25">
      <c r="A68" s="68" t="s">
        <v>2</v>
      </c>
      <c r="B68" s="68"/>
      <c r="C68" s="181">
        <v>10</v>
      </c>
      <c r="D68" s="68"/>
      <c r="E68" s="68">
        <v>7680</v>
      </c>
    </row>
    <row r="69" spans="1:5" x14ac:dyDescent="0.25">
      <c r="A69" s="68" t="s">
        <v>17</v>
      </c>
      <c r="B69" s="68"/>
      <c r="C69" s="181">
        <v>8</v>
      </c>
      <c r="D69" s="68"/>
      <c r="E69" s="68">
        <v>1340</v>
      </c>
    </row>
    <row r="70" spans="1:5" x14ac:dyDescent="0.25">
      <c r="A70" s="68" t="s">
        <v>18</v>
      </c>
      <c r="B70" s="68"/>
      <c r="C70" s="181">
        <v>8</v>
      </c>
      <c r="D70" s="68"/>
      <c r="E70" s="68">
        <v>1620</v>
      </c>
    </row>
    <row r="71" spans="1:5" x14ac:dyDescent="0.25">
      <c r="A71" s="68" t="s">
        <v>19</v>
      </c>
      <c r="B71" s="68"/>
      <c r="C71" s="181">
        <v>8</v>
      </c>
      <c r="D71" s="68"/>
      <c r="E71" s="68">
        <v>960</v>
      </c>
    </row>
    <row r="72" spans="1:5" x14ac:dyDescent="0.25">
      <c r="A72" s="67" t="s">
        <v>20</v>
      </c>
      <c r="B72" s="67"/>
      <c r="C72" s="180">
        <v>10</v>
      </c>
      <c r="D72" s="67"/>
      <c r="E72" s="67">
        <v>1240</v>
      </c>
    </row>
    <row r="73" spans="1:5" x14ac:dyDescent="0.25">
      <c r="A73" s="67" t="s">
        <v>21</v>
      </c>
      <c r="B73" s="67"/>
      <c r="C73" s="180">
        <v>8</v>
      </c>
      <c r="D73" s="67"/>
      <c r="E73" s="67">
        <v>940</v>
      </c>
    </row>
    <row r="74" spans="1:5" x14ac:dyDescent="0.25">
      <c r="A74" s="67" t="s">
        <v>6</v>
      </c>
      <c r="B74" s="67"/>
      <c r="C74" s="180">
        <v>8</v>
      </c>
      <c r="D74" s="67"/>
      <c r="E74" s="67">
        <v>1160</v>
      </c>
    </row>
    <row r="75" spans="1:5" x14ac:dyDescent="0.25">
      <c r="A75" s="67" t="s">
        <v>7</v>
      </c>
      <c r="B75" s="67"/>
      <c r="C75" s="180">
        <v>8</v>
      </c>
      <c r="D75" s="67"/>
      <c r="E75" s="67">
        <v>1260</v>
      </c>
    </row>
    <row r="76" spans="1:5" x14ac:dyDescent="0.25">
      <c r="A76" s="67" t="s">
        <v>22</v>
      </c>
      <c r="B76" s="67"/>
      <c r="C76" s="180">
        <v>10</v>
      </c>
      <c r="D76" s="67"/>
      <c r="E76" s="67">
        <v>690</v>
      </c>
    </row>
    <row r="77" spans="1:5" x14ac:dyDescent="0.25">
      <c r="A77" s="68" t="s">
        <v>3</v>
      </c>
      <c r="B77" s="68"/>
      <c r="C77" s="181">
        <v>8</v>
      </c>
      <c r="D77" s="68"/>
      <c r="E77" s="68">
        <v>3560</v>
      </c>
    </row>
    <row r="78" spans="1:5" x14ac:dyDescent="0.25">
      <c r="A78" s="68" t="s">
        <v>5</v>
      </c>
      <c r="B78" s="68"/>
      <c r="C78" s="181">
        <v>12</v>
      </c>
      <c r="D78" s="68"/>
      <c r="E78" s="68">
        <v>1515</v>
      </c>
    </row>
    <row r="80" spans="1:5" x14ac:dyDescent="0.25">
      <c r="A80" s="26" t="s">
        <v>23</v>
      </c>
    </row>
    <row r="81" spans="1:15" x14ac:dyDescent="0.25">
      <c r="A81" s="67" t="s">
        <v>24</v>
      </c>
      <c r="B81" s="67"/>
      <c r="C81" s="180">
        <v>8</v>
      </c>
      <c r="D81" s="67"/>
      <c r="E81" s="67">
        <v>1700</v>
      </c>
    </row>
    <row r="82" spans="1:15" x14ac:dyDescent="0.25">
      <c r="A82" s="67" t="s">
        <v>25</v>
      </c>
      <c r="B82" s="67"/>
      <c r="C82" s="180">
        <v>8</v>
      </c>
      <c r="D82" s="67"/>
      <c r="E82" s="67">
        <v>810</v>
      </c>
    </row>
    <row r="84" spans="1:15" x14ac:dyDescent="0.25">
      <c r="A84" s="67" t="s">
        <v>26</v>
      </c>
      <c r="B84" s="67"/>
      <c r="C84" s="180">
        <v>8</v>
      </c>
      <c r="D84" s="67"/>
      <c r="E84" s="67">
        <v>2600</v>
      </c>
    </row>
    <row r="85" spans="1:15" x14ac:dyDescent="0.25">
      <c r="A85" s="26" t="s">
        <v>27</v>
      </c>
    </row>
    <row r="88" spans="1:15" x14ac:dyDescent="0.25">
      <c r="A88" s="69"/>
      <c r="B88" s="69"/>
      <c r="C88" s="182"/>
      <c r="D88" s="69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x14ac:dyDescent="0.25"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x14ac:dyDescent="0.25">
      <c r="F90" s="47"/>
      <c r="G90" s="47"/>
      <c r="H90" s="47"/>
      <c r="I90" s="47"/>
      <c r="J90" s="47"/>
      <c r="K90" s="47"/>
      <c r="L90" s="47"/>
      <c r="M90" s="47"/>
      <c r="N90" s="47"/>
    </row>
    <row r="91" spans="1:15" x14ac:dyDescent="0.25">
      <c r="F91" s="47"/>
      <c r="G91" s="47"/>
      <c r="H91" s="47"/>
      <c r="J91" s="47"/>
      <c r="K91" s="47"/>
      <c r="L91" s="47"/>
      <c r="M91" s="47"/>
      <c r="N91" s="47"/>
    </row>
    <row r="92" spans="1:15" x14ac:dyDescent="0.25"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x14ac:dyDescent="0.25"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x14ac:dyDescent="0.25">
      <c r="F94" s="47"/>
      <c r="G94" s="47"/>
      <c r="I94" s="47"/>
      <c r="J94" s="47"/>
      <c r="K94" s="47"/>
      <c r="L94" s="47"/>
      <c r="M94" s="47"/>
      <c r="N94" s="47"/>
    </row>
    <row r="95" spans="1:15" x14ac:dyDescent="0.25">
      <c r="F95" s="47"/>
      <c r="G95" s="47"/>
      <c r="H95" s="47"/>
      <c r="I95" s="47"/>
      <c r="J95" s="47"/>
      <c r="K95" s="47"/>
      <c r="L95" s="47"/>
      <c r="M95" s="47"/>
      <c r="N95" s="47"/>
    </row>
    <row r="96" spans="1:15" x14ac:dyDescent="0.25"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6:14" x14ac:dyDescent="0.25">
      <c r="F97" s="47"/>
      <c r="G97" s="47"/>
      <c r="H97" s="47"/>
      <c r="I97" s="47"/>
      <c r="J97" s="47"/>
      <c r="K97" s="47"/>
      <c r="L97" s="47"/>
      <c r="M97" s="47"/>
      <c r="N97" s="47"/>
    </row>
  </sheetData>
  <mergeCells count="2">
    <mergeCell ref="A1:N1"/>
    <mergeCell ref="A2:N2"/>
  </mergeCells>
  <phoneticPr fontId="13" type="noConversion"/>
  <pageMargins left="0.4" right="0.39" top="0.46" bottom="0.39" header="0.3" footer="0.3"/>
  <pageSetup paperSize="17" scale="93" orientation="landscape" r:id="rId1"/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D17"/>
  <sheetViews>
    <sheetView view="pageBreakPreview" zoomScale="70" zoomScaleNormal="100" zoomScaleSheetLayoutView="70" workbookViewId="0">
      <selection activeCell="S24" sqref="S24"/>
    </sheetView>
  </sheetViews>
  <sheetFormatPr defaultRowHeight="15" x14ac:dyDescent="0.25"/>
  <cols>
    <col min="1" max="1" width="31.5703125" bestFit="1" customWidth="1"/>
    <col min="2" max="6" width="9.42578125" hidden="1" customWidth="1"/>
    <col min="7" max="7" width="9.7109375" hidden="1" customWidth="1"/>
    <col min="8" max="8" width="9.5703125" bestFit="1" customWidth="1"/>
    <col min="9" max="9" width="10.42578125" bestFit="1" customWidth="1"/>
    <col min="10" max="10" width="10.140625" bestFit="1" customWidth="1"/>
    <col min="11" max="11" width="9.85546875" bestFit="1" customWidth="1"/>
    <col min="12" max="12" width="10.42578125" bestFit="1" customWidth="1"/>
    <col min="13" max="14" width="10.140625" bestFit="1" customWidth="1"/>
    <col min="15" max="16" width="9.85546875" bestFit="1" customWidth="1"/>
    <col min="17" max="17" width="10.140625" bestFit="1" customWidth="1"/>
    <col min="18" max="20" width="9.5703125" bestFit="1" customWidth="1"/>
    <col min="21" max="21" width="6.28515625" bestFit="1" customWidth="1"/>
    <col min="22" max="22" width="12.42578125" bestFit="1" customWidth="1"/>
    <col min="23" max="23" width="11" bestFit="1" customWidth="1"/>
    <col min="24" max="27" width="6.28515625" bestFit="1" customWidth="1"/>
    <col min="30" max="30" width="13.5703125" bestFit="1" customWidth="1"/>
  </cols>
  <sheetData>
    <row r="1" spans="1:30" ht="15.75" thickTop="1" x14ac:dyDescent="0.25">
      <c r="A1" s="6" t="s">
        <v>28</v>
      </c>
      <c r="B1" s="7" t="s">
        <v>29</v>
      </c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9" t="s">
        <v>35</v>
      </c>
      <c r="I1" s="9" t="s">
        <v>36</v>
      </c>
      <c r="J1" s="9" t="s">
        <v>37</v>
      </c>
      <c r="K1" s="10" t="s">
        <v>38</v>
      </c>
      <c r="L1" s="8">
        <v>2010</v>
      </c>
      <c r="M1" s="8">
        <v>2011</v>
      </c>
      <c r="N1" s="8">
        <v>2012</v>
      </c>
      <c r="O1" s="8">
        <v>2013</v>
      </c>
      <c r="P1" s="11">
        <v>2014</v>
      </c>
      <c r="Q1" s="8">
        <v>2015</v>
      </c>
      <c r="R1" s="8">
        <v>2016</v>
      </c>
      <c r="S1" s="8">
        <v>2017</v>
      </c>
      <c r="T1" s="8">
        <v>2018</v>
      </c>
      <c r="U1" s="8">
        <v>2019</v>
      </c>
      <c r="V1" s="8">
        <v>2020</v>
      </c>
      <c r="W1" s="8">
        <v>2021</v>
      </c>
      <c r="X1" s="8">
        <v>2022</v>
      </c>
      <c r="Y1" s="8">
        <v>2023</v>
      </c>
      <c r="Z1" s="8">
        <v>2024</v>
      </c>
      <c r="AA1" s="12">
        <v>2025</v>
      </c>
    </row>
    <row r="2" spans="1:30" x14ac:dyDescent="0.25">
      <c r="A2" s="13" t="s">
        <v>39</v>
      </c>
      <c r="B2" s="14">
        <v>0</v>
      </c>
      <c r="C2" s="3">
        <v>0</v>
      </c>
      <c r="D2" s="3">
        <v>0</v>
      </c>
      <c r="E2" s="3">
        <v>0</v>
      </c>
      <c r="F2" s="3">
        <f>572600-F5</f>
        <v>458080</v>
      </c>
      <c r="G2" s="3">
        <f t="shared" ref="G2:T2" si="0">572600-G5</f>
        <v>457952.2</v>
      </c>
      <c r="H2" s="3">
        <f t="shared" si="0"/>
        <v>458070.4</v>
      </c>
      <c r="I2" s="3">
        <f t="shared" si="0"/>
        <v>458030</v>
      </c>
      <c r="J2" s="3">
        <f t="shared" si="0"/>
        <v>458035.6</v>
      </c>
      <c r="K2" s="3">
        <f t="shared" si="0"/>
        <v>455887.2</v>
      </c>
      <c r="L2" s="3">
        <f t="shared" si="0"/>
        <v>455789.4</v>
      </c>
      <c r="M2" s="3">
        <f t="shared" si="0"/>
        <v>455737.59999999998</v>
      </c>
      <c r="N2" s="3">
        <f t="shared" si="0"/>
        <v>457936.4</v>
      </c>
      <c r="O2" s="3">
        <f t="shared" si="0"/>
        <v>457985.8</v>
      </c>
      <c r="P2" s="3">
        <f t="shared" si="0"/>
        <v>458085.8</v>
      </c>
      <c r="Q2" s="3">
        <f t="shared" si="0"/>
        <v>458036.4</v>
      </c>
      <c r="R2" s="3">
        <f t="shared" si="0"/>
        <v>458042.2</v>
      </c>
      <c r="S2" s="3">
        <f t="shared" si="0"/>
        <v>460099.2</v>
      </c>
      <c r="T2" s="3">
        <f t="shared" si="0"/>
        <v>458024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4">
        <v>0</v>
      </c>
      <c r="AD2" s="1">
        <f>SUM(B2:AC2)</f>
        <v>6865792.2000000011</v>
      </c>
    </row>
    <row r="4" spans="1:30" x14ac:dyDescent="0.25">
      <c r="A4" t="s">
        <v>177</v>
      </c>
      <c r="F4" s="3">
        <v>572600</v>
      </c>
      <c r="G4" s="3">
        <v>573239</v>
      </c>
      <c r="H4" s="15">
        <v>572648</v>
      </c>
      <c r="I4" s="15">
        <v>572850</v>
      </c>
      <c r="J4" s="15">
        <v>572822</v>
      </c>
      <c r="K4" s="16">
        <v>583564</v>
      </c>
      <c r="L4" s="3">
        <v>584053</v>
      </c>
      <c r="M4" s="3">
        <v>584312</v>
      </c>
      <c r="N4" s="3">
        <v>573318</v>
      </c>
      <c r="O4" s="3">
        <v>573071</v>
      </c>
      <c r="P4" s="17">
        <v>572571</v>
      </c>
      <c r="Q4" s="3">
        <v>572818</v>
      </c>
      <c r="R4" s="3">
        <v>572789</v>
      </c>
      <c r="S4" s="3">
        <v>562504</v>
      </c>
      <c r="T4" s="3">
        <v>572880</v>
      </c>
      <c r="V4" s="204">
        <f>SUM(F4:T4)</f>
        <v>8616039</v>
      </c>
      <c r="W4" s="15"/>
      <c r="X4" s="206"/>
    </row>
    <row r="5" spans="1:30" x14ac:dyDescent="0.25">
      <c r="A5" t="s">
        <v>178</v>
      </c>
      <c r="F5" s="3">
        <f>'[3]DDW Loan Payments'!F$3</f>
        <v>114520</v>
      </c>
      <c r="G5" s="3">
        <f>'[3]DDW Loan Payments'!G$3</f>
        <v>114647.8</v>
      </c>
      <c r="H5" s="3">
        <f>'[3]DDW Loan Payments'!H$3</f>
        <v>114529.60000000001</v>
      </c>
      <c r="I5" s="3">
        <f>'[3]DDW Loan Payments'!I$3</f>
        <v>114570</v>
      </c>
      <c r="J5" s="3">
        <f>'[3]DDW Loan Payments'!J$3</f>
        <v>114564.40000000001</v>
      </c>
      <c r="K5" s="3">
        <f>'[3]DDW Loan Payments'!K$3</f>
        <v>116712.8</v>
      </c>
      <c r="L5" s="3">
        <f>'[3]DDW Loan Payments'!L$3</f>
        <v>116810.6</v>
      </c>
      <c r="M5" s="3">
        <f>'[3]DDW Loan Payments'!M$3</f>
        <v>116862.40000000001</v>
      </c>
      <c r="N5" s="3">
        <f>'[3]DDW Loan Payments'!N$3</f>
        <v>114663.6</v>
      </c>
      <c r="O5" s="3">
        <f>'[3]DDW Loan Payments'!O$3</f>
        <v>114614.20000000001</v>
      </c>
      <c r="P5" s="3">
        <f>'[3]DDW Loan Payments'!P$3</f>
        <v>114514.20000000001</v>
      </c>
      <c r="Q5" s="3">
        <f>'[3]DDW Loan Payments'!Q$3</f>
        <v>114563.6</v>
      </c>
      <c r="R5" s="3">
        <f>'[3]DDW Loan Payments'!R$3</f>
        <v>114557.8</v>
      </c>
      <c r="S5" s="3">
        <f>'[3]DDW Loan Payments'!S$3</f>
        <v>112500.8</v>
      </c>
      <c r="T5" s="3">
        <f>'[3]DDW Loan Payments'!T$3</f>
        <v>114576</v>
      </c>
      <c r="V5" s="204">
        <f>SUM(F5:T5)</f>
        <v>1723207.8000000003</v>
      </c>
    </row>
    <row r="10" spans="1:30" x14ac:dyDescent="0.2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204"/>
    </row>
    <row r="11" spans="1:30" x14ac:dyDescent="0.2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V11" s="204"/>
    </row>
    <row r="12" spans="1:30" x14ac:dyDescent="0.25">
      <c r="V12" s="204"/>
    </row>
    <row r="15" spans="1:30" x14ac:dyDescent="0.25"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</row>
    <row r="16" spans="1:30" x14ac:dyDescent="0.25"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6:20" x14ac:dyDescent="0.25"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</sheetData>
  <phoneticPr fontId="13" type="noConversion"/>
  <pageMargins left="0.7" right="0.7" top="0.75" bottom="0.75" header="0.3" footer="0.3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Culinary Rate Analysis</vt:lpstr>
      <vt:lpstr>System Improvements</vt:lpstr>
      <vt:lpstr>Loan Repayment Schedule</vt:lpstr>
      <vt:lpstr>'Culinary Rate Analysis'!Print_Area</vt:lpstr>
      <vt:lpstr>'Loan Repayment Schedule'!Print_Area</vt:lpstr>
      <vt:lpstr>'System Improvements'!Print_Area</vt:lpstr>
      <vt:lpstr>'Culinary Rate Analysis'!Print_Titles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Hansen</dc:creator>
  <cp:lastModifiedBy>laurieharris</cp:lastModifiedBy>
  <cp:lastPrinted>2017-01-23T21:47:07Z</cp:lastPrinted>
  <dcterms:created xsi:type="dcterms:W3CDTF">2010-06-04T16:23:00Z</dcterms:created>
  <dcterms:modified xsi:type="dcterms:W3CDTF">2017-02-02T23:11:24Z</dcterms:modified>
</cp:coreProperties>
</file>