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" sheetId="2" r:id="rId1"/>
    <sheet name="pg 12.1.1" sheetId="15" r:id="rId2"/>
    <sheet name="pg 12.1.2 to 12.1.3" sheetId="16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12.1'!#REF!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12.1'!$A$1:$J$68</definedName>
    <definedName name="_xlnm.Print_Area" localSheetId="1">'pg 12.1.1'!$A$1:$M$51</definedName>
    <definedName name="_xlnm.Print_Area" localSheetId="2">'pg 12.1.2 to 12.1.3'!$A$1:$I$122</definedName>
    <definedName name="_xlnm.Print_Titles" localSheetId="2">'pg 12.1.2 to 12.1.3'!$A:$C,'pg 12.1.2 to 12.1.3'!$1:$6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Q46" i="15"/>
  <c r="Q45"/>
  <c r="Q44"/>
  <c r="Q43"/>
  <c r="Q42"/>
  <c r="Q41"/>
  <c r="Q40"/>
  <c r="Q39"/>
  <c r="Q38"/>
  <c r="Q34"/>
  <c r="Q33"/>
  <c r="Q32"/>
  <c r="Q31"/>
  <c r="Q26"/>
  <c r="Q25"/>
  <c r="Q24"/>
  <c r="Q23"/>
  <c r="Q22"/>
  <c r="Q21"/>
  <c r="Q20"/>
  <c r="Q19"/>
  <c r="Q13"/>
  <c r="Q12"/>
  <c r="Q11"/>
  <c r="Q10"/>
  <c r="P46"/>
  <c r="P45"/>
  <c r="P44"/>
  <c r="P43"/>
  <c r="P42"/>
  <c r="P41"/>
  <c r="P40"/>
  <c r="P39"/>
  <c r="P38"/>
  <c r="P34"/>
  <c r="P33"/>
  <c r="P32"/>
  <c r="P31"/>
  <c r="P26"/>
  <c r="P25"/>
  <c r="P24"/>
  <c r="P23"/>
  <c r="P22"/>
  <c r="P21"/>
  <c r="P20"/>
  <c r="P19"/>
  <c r="P13"/>
  <c r="P12"/>
  <c r="P11"/>
  <c r="P10"/>
  <c r="P47"/>
  <c r="Q47"/>
  <c r="P35"/>
  <c r="Q35"/>
  <c r="P28"/>
  <c r="P49" s="1"/>
  <c r="Q28"/>
  <c r="P16"/>
  <c r="Q16"/>
  <c r="F36" i="2"/>
  <c r="I118" i="16"/>
  <c r="G118"/>
  <c r="F118"/>
  <c r="H116"/>
  <c r="H118" s="1"/>
  <c r="I113"/>
  <c r="G113"/>
  <c r="F113"/>
  <c r="H111"/>
  <c r="H109"/>
  <c r="H108"/>
  <c r="H107"/>
  <c r="H106"/>
  <c r="H105"/>
  <c r="H104"/>
  <c r="H103"/>
  <c r="H102"/>
  <c r="H99"/>
  <c r="H98"/>
  <c r="N99"/>
  <c r="H96"/>
  <c r="H95"/>
  <c r="N101"/>
  <c r="G90"/>
  <c r="F90"/>
  <c r="H87"/>
  <c r="H90" s="1"/>
  <c r="F83"/>
  <c r="D83"/>
  <c r="F81"/>
  <c r="D81"/>
  <c r="H74"/>
  <c r="H72"/>
  <c r="H76" s="1"/>
  <c r="G72"/>
  <c r="F72"/>
  <c r="I70"/>
  <c r="I65"/>
  <c r="I64"/>
  <c r="I63"/>
  <c r="I62"/>
  <c r="K61"/>
  <c r="I61" s="1"/>
  <c r="K60"/>
  <c r="I60"/>
  <c r="K59"/>
  <c r="I59" s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72" s="1"/>
  <c r="D72"/>
  <c r="H36"/>
  <c r="G33"/>
  <c r="F32"/>
  <c r="L31"/>
  <c r="G31"/>
  <c r="G30"/>
  <c r="G29"/>
  <c r="G36" s="1"/>
  <c r="H27"/>
  <c r="F24"/>
  <c r="G25"/>
  <c r="N27"/>
  <c r="D24" s="1"/>
  <c r="L24"/>
  <c r="O21"/>
  <c r="O22" s="1"/>
  <c r="O20"/>
  <c r="G16"/>
  <c r="H14"/>
  <c r="H16" s="1"/>
  <c r="F12"/>
  <c r="I10"/>
  <c r="I16" s="1"/>
  <c r="P18"/>
  <c r="F47" i="15"/>
  <c r="C47"/>
  <c r="D46"/>
  <c r="D47" s="1"/>
  <c r="K45"/>
  <c r="L45" s="1"/>
  <c r="E45"/>
  <c r="G45" s="1"/>
  <c r="K44"/>
  <c r="L44" s="1"/>
  <c r="E44"/>
  <c r="G44" s="1"/>
  <c r="K43"/>
  <c r="L43" s="1"/>
  <c r="E43"/>
  <c r="G43" s="1"/>
  <c r="K42"/>
  <c r="L42" s="1"/>
  <c r="E42"/>
  <c r="G42" s="1"/>
  <c r="K41"/>
  <c r="L41" s="1"/>
  <c r="E41"/>
  <c r="G41" s="1"/>
  <c r="J47"/>
  <c r="H47"/>
  <c r="E40"/>
  <c r="G40" s="1"/>
  <c r="K39"/>
  <c r="F37" i="2" s="1"/>
  <c r="E39" i="15"/>
  <c r="G39" s="1"/>
  <c r="I39" s="1"/>
  <c r="L38"/>
  <c r="K38"/>
  <c r="E38"/>
  <c r="G38" s="1"/>
  <c r="J35"/>
  <c r="F35"/>
  <c r="K34"/>
  <c r="F31" i="2" s="1"/>
  <c r="E34" i="15"/>
  <c r="K33"/>
  <c r="F30" i="2" s="1"/>
  <c r="K32" i="15"/>
  <c r="E32"/>
  <c r="K31"/>
  <c r="E31"/>
  <c r="G31" s="1"/>
  <c r="F28"/>
  <c r="D26"/>
  <c r="D28" s="1"/>
  <c r="O25"/>
  <c r="K25"/>
  <c r="G25"/>
  <c r="I25" s="1"/>
  <c r="K24"/>
  <c r="L24" s="1"/>
  <c r="E24"/>
  <c r="O24" s="1"/>
  <c r="L23"/>
  <c r="K23"/>
  <c r="F23" i="2" s="1"/>
  <c r="I23" i="15"/>
  <c r="E23"/>
  <c r="G23" s="1"/>
  <c r="K21"/>
  <c r="E21"/>
  <c r="O21" s="1"/>
  <c r="K20"/>
  <c r="F20" i="2" s="1"/>
  <c r="E20" i="15"/>
  <c r="G20" s="1"/>
  <c r="K19"/>
  <c r="G19"/>
  <c r="E19"/>
  <c r="F16"/>
  <c r="D15"/>
  <c r="D14"/>
  <c r="D16" s="1"/>
  <c r="G13"/>
  <c r="I13" s="1"/>
  <c r="E13"/>
  <c r="O13" s="1"/>
  <c r="K12"/>
  <c r="K11"/>
  <c r="G11"/>
  <c r="I11" s="1"/>
  <c r="E11"/>
  <c r="O11" s="1"/>
  <c r="K10"/>
  <c r="E10"/>
  <c r="Q49" l="1"/>
  <c r="F40" i="2"/>
  <c r="F42"/>
  <c r="G21" i="15"/>
  <c r="I21" s="1"/>
  <c r="O23"/>
  <c r="G24"/>
  <c r="I24" s="1"/>
  <c r="L39"/>
  <c r="E46"/>
  <c r="F39" i="2"/>
  <c r="F41"/>
  <c r="F43"/>
  <c r="D49" i="15"/>
  <c r="F11" i="2"/>
  <c r="C16" i="15"/>
  <c r="E12"/>
  <c r="F19" i="2"/>
  <c r="L19" i="15"/>
  <c r="F21" i="2"/>
  <c r="L21" i="15"/>
  <c r="F28" i="2"/>
  <c r="K35" i="15"/>
  <c r="L31"/>
  <c r="O32"/>
  <c r="G32"/>
  <c r="F29" i="2"/>
  <c r="L32" i="15"/>
  <c r="E33"/>
  <c r="C35"/>
  <c r="O34"/>
  <c r="G34"/>
  <c r="I34" s="1"/>
  <c r="I38"/>
  <c r="F13" i="2"/>
  <c r="L12" i="15"/>
  <c r="I20"/>
  <c r="F24" i="2"/>
  <c r="L25" i="15"/>
  <c r="I32"/>
  <c r="H35"/>
  <c r="O46"/>
  <c r="G46"/>
  <c r="I46" s="1"/>
  <c r="M72" i="16"/>
  <c r="H101"/>
  <c r="N100"/>
  <c r="J16" i="15"/>
  <c r="I19"/>
  <c r="O20"/>
  <c r="F49"/>
  <c r="I31"/>
  <c r="L10"/>
  <c r="E14"/>
  <c r="E15"/>
  <c r="E16" s="1"/>
  <c r="H16"/>
  <c r="L20"/>
  <c r="K22"/>
  <c r="E26"/>
  <c r="H28"/>
  <c r="H49" s="1"/>
  <c r="E35"/>
  <c r="I24" i="16"/>
  <c r="I27" s="1"/>
  <c r="N32"/>
  <c r="D31" s="1"/>
  <c r="G10" i="15"/>
  <c r="I10" s="1"/>
  <c r="F12" i="2"/>
  <c r="L11" i="15"/>
  <c r="C28"/>
  <c r="C49" s="1"/>
  <c r="E22"/>
  <c r="D16" i="16"/>
  <c r="F8"/>
  <c r="F16" s="1"/>
  <c r="D27"/>
  <c r="F20"/>
  <c r="G22"/>
  <c r="F22"/>
  <c r="F23"/>
  <c r="G23" s="1"/>
  <c r="D113"/>
  <c r="N97"/>
  <c r="N102" s="1"/>
  <c r="H93"/>
  <c r="H100"/>
  <c r="N98"/>
  <c r="O10" i="15"/>
  <c r="J28"/>
  <c r="J49" s="1"/>
  <c r="I31" i="16"/>
  <c r="I36" s="1"/>
  <c r="O38" i="15"/>
  <c r="O39"/>
  <c r="O40"/>
  <c r="O41"/>
  <c r="O42"/>
  <c r="O43"/>
  <c r="O44"/>
  <c r="O45"/>
  <c r="E47"/>
  <c r="G24" i="16"/>
  <c r="F31"/>
  <c r="F36" s="1"/>
  <c r="D36"/>
  <c r="D76" s="1"/>
  <c r="K13" i="15"/>
  <c r="K16" s="1"/>
  <c r="O19"/>
  <c r="O31"/>
  <c r="L33"/>
  <c r="L34"/>
  <c r="I40"/>
  <c r="K40"/>
  <c r="F38" i="2" s="1"/>
  <c r="I41" i="15"/>
  <c r="I42"/>
  <c r="I43"/>
  <c r="I44"/>
  <c r="I45"/>
  <c r="I73" i="16"/>
  <c r="I76" s="1"/>
  <c r="H94"/>
  <c r="H97"/>
  <c r="D85"/>
  <c r="I85" s="1"/>
  <c r="I90" s="1"/>
  <c r="M90" s="1"/>
  <c r="G47" i="15" l="1"/>
  <c r="D120" i="16"/>
  <c r="M16"/>
  <c r="F22" i="2"/>
  <c r="L22" i="15"/>
  <c r="G14"/>
  <c r="I14" s="1"/>
  <c r="O14"/>
  <c r="O12"/>
  <c r="G12"/>
  <c r="I12" s="1"/>
  <c r="G27" i="16"/>
  <c r="G76" s="1"/>
  <c r="G120" s="1"/>
  <c r="I120"/>
  <c r="K90"/>
  <c r="H113"/>
  <c r="H120" s="1"/>
  <c r="F21"/>
  <c r="I47" i="15"/>
  <c r="L35"/>
  <c r="K28"/>
  <c r="K47"/>
  <c r="L40"/>
  <c r="L47" s="1"/>
  <c r="F14" i="2"/>
  <c r="L13" i="15"/>
  <c r="L16" s="1"/>
  <c r="G22"/>
  <c r="O22"/>
  <c r="G26"/>
  <c r="I26" s="1"/>
  <c r="O26"/>
  <c r="O15"/>
  <c r="G15"/>
  <c r="I15" s="1"/>
  <c r="O33"/>
  <c r="G33"/>
  <c r="O35"/>
  <c r="O28"/>
  <c r="O47"/>
  <c r="F27" i="16"/>
  <c r="F76" s="1"/>
  <c r="E28" i="15"/>
  <c r="E49" s="1"/>
  <c r="L28"/>
  <c r="G16" l="1"/>
  <c r="O16"/>
  <c r="L49"/>
  <c r="I16"/>
  <c r="F120" i="16"/>
  <c r="M76"/>
  <c r="I33" i="15"/>
  <c r="I35" s="1"/>
  <c r="G35"/>
  <c r="O49"/>
  <c r="K49"/>
  <c r="M113" i="16"/>
  <c r="I22" i="15"/>
  <c r="I28" s="1"/>
  <c r="I49" s="1"/>
  <c r="G28"/>
  <c r="M120" i="16"/>
  <c r="G49" i="15" l="1"/>
  <c r="I43" i="2" l="1"/>
  <c r="I42"/>
  <c r="I41"/>
  <c r="I40"/>
  <c r="I39"/>
  <c r="I38"/>
  <c r="I37"/>
  <c r="I36"/>
  <c r="I31"/>
  <c r="I30"/>
  <c r="I29"/>
  <c r="I28"/>
  <c r="I24"/>
  <c r="I23"/>
  <c r="I22"/>
  <c r="I21"/>
  <c r="I20"/>
  <c r="I19"/>
  <c r="I14"/>
  <c r="I13"/>
  <c r="I12"/>
  <c r="I11"/>
  <c r="F44"/>
  <c r="F32"/>
  <c r="F25"/>
  <c r="F15"/>
  <c r="I25" l="1"/>
  <c r="I32"/>
  <c r="I44"/>
  <c r="F46"/>
  <c r="I15"/>
  <c r="I46" l="1"/>
</calcChain>
</file>

<file path=xl/sharedStrings.xml><?xml version="1.0" encoding="utf-8"?>
<sst xmlns="http://schemas.openxmlformats.org/spreadsheetml/2006/main" count="486" uniqueCount="252">
  <si>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</si>
  <si>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</si>
  <si>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</si>
  <si>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</si>
  <si>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</si>
  <si>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</si>
  <si>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</si>
  <si>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</si>
  <si>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</si>
  <si>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SE</t>
  </si>
  <si>
    <t>Description of Adjustment:</t>
  </si>
  <si>
    <t xml:space="preserve"> </t>
  </si>
  <si>
    <t>SG</t>
  </si>
  <si>
    <t>WYP</t>
  </si>
  <si>
    <t>Rocky Mountain Power</t>
  </si>
  <si>
    <t>ID</t>
  </si>
  <si>
    <t>Adjustment to Expense:</t>
  </si>
  <si>
    <t>555NPC</t>
  </si>
  <si>
    <t>Sales for Resale (Account 447)</t>
  </si>
  <si>
    <t>Existing Firm PPL</t>
  </si>
  <si>
    <t>Existing Firm UPL</t>
  </si>
  <si>
    <t>Post-Merger Firm</t>
  </si>
  <si>
    <t>Non-Firm</t>
  </si>
  <si>
    <t>Total Sales for Resale</t>
  </si>
  <si>
    <t>Purchased Power (Account 555)</t>
  </si>
  <si>
    <t>Existing Firm Demand PPL</t>
  </si>
  <si>
    <t>Existing Firm Demand UPL</t>
  </si>
  <si>
    <t>Existing Firm Energy</t>
  </si>
  <si>
    <t>Post-merger Firm</t>
  </si>
  <si>
    <t xml:space="preserve">Secondary Purchases </t>
  </si>
  <si>
    <t>Total Purchased Power Adjustments:</t>
  </si>
  <si>
    <t>Wheeling Expense (Account 565)</t>
  </si>
  <si>
    <t>Total Wheeling Expense Adjustments:</t>
  </si>
  <si>
    <t>Fuel Expense (Accounts 501, 503, 547)</t>
  </si>
  <si>
    <t>Fuel Consumed - Coal</t>
  </si>
  <si>
    <t>Fuel Consumed - Gas</t>
  </si>
  <si>
    <t>Steam from Other Sources</t>
  </si>
  <si>
    <t>Natural Gas Consumed</t>
  </si>
  <si>
    <t>Simple Cycle Combustion Turbines</t>
  </si>
  <si>
    <t>Cholla / APS Exchange</t>
  </si>
  <si>
    <t>Total Fuel Expense Adjustments:</t>
  </si>
  <si>
    <t>Total Power Cost Adjustment</t>
  </si>
  <si>
    <t>WY</t>
  </si>
  <si>
    <t>447NPC</t>
  </si>
  <si>
    <t>565NPC</t>
  </si>
  <si>
    <t>501NPC</t>
  </si>
  <si>
    <t>503NPC</t>
  </si>
  <si>
    <t>547NPC</t>
  </si>
  <si>
    <t>UTAH</t>
  </si>
  <si>
    <t>Fuel - Overburden Amortization - ID</t>
  </si>
  <si>
    <t>Fuel - Overburden Amortization - WY</t>
  </si>
  <si>
    <t>Adjustment to Revenue:</t>
  </si>
  <si>
    <t>INCREMENTAL</t>
  </si>
  <si>
    <t>Other Generation</t>
  </si>
  <si>
    <t>Utah General Rate Case - May 2013</t>
  </si>
  <si>
    <t>Net Power Cost Update</t>
  </si>
  <si>
    <t>12.1.1</t>
  </si>
  <si>
    <t>(1)</t>
  </si>
  <si>
    <t>(2)</t>
  </si>
  <si>
    <t>(3)</t>
  </si>
  <si>
    <t>(4)</t>
  </si>
  <si>
    <t>(5)</t>
  </si>
  <si>
    <t>Utah</t>
  </si>
  <si>
    <t>Total</t>
  </si>
  <si>
    <t xml:space="preserve">Remove </t>
  </si>
  <si>
    <t>Unadjusted</t>
  </si>
  <si>
    <t>Type 1</t>
  </si>
  <si>
    <t>Type 3</t>
  </si>
  <si>
    <t xml:space="preserve">Rebuttal </t>
  </si>
  <si>
    <t>Change From</t>
  </si>
  <si>
    <t>Normalized</t>
  </si>
  <si>
    <t>Actual</t>
  </si>
  <si>
    <t>Account</t>
  </si>
  <si>
    <t>Non- NPC</t>
  </si>
  <si>
    <t xml:space="preserve">NPC </t>
  </si>
  <si>
    <t>Adjustments</t>
  </si>
  <si>
    <t>Normalized NPC</t>
  </si>
  <si>
    <t>Pro Forma NPC</t>
  </si>
  <si>
    <t>Adjustment</t>
  </si>
  <si>
    <t>NPC Update</t>
  </si>
  <si>
    <t>Filed NPC</t>
  </si>
  <si>
    <t>2010 Protocol</t>
  </si>
  <si>
    <t>Costs</t>
  </si>
  <si>
    <t>Description</t>
  </si>
  <si>
    <t>(B Tabs)</t>
  </si>
  <si>
    <t xml:space="preserve">(1) + (2) </t>
  </si>
  <si>
    <t>(3) + (4)</t>
  </si>
  <si>
    <t>As Filed</t>
  </si>
  <si>
    <t>Factor</t>
  </si>
  <si>
    <t>Utah %</t>
  </si>
  <si>
    <t>Sales for Resale  (Account 447)</t>
  </si>
  <si>
    <t>Existing Firm Sales PPL</t>
  </si>
  <si>
    <t>Existing Firm Sales UPL</t>
  </si>
  <si>
    <t>Post-merger Firm Sales</t>
  </si>
  <si>
    <t>447.13, 447.14, 447.2, 447.61, 447.62</t>
  </si>
  <si>
    <t>Non-firm Sales</t>
  </si>
  <si>
    <t>Transmission Services</t>
  </si>
  <si>
    <t>S</t>
  </si>
  <si>
    <t>On-system Wholesale Sales</t>
  </si>
  <si>
    <t>Total Revenue Adjustments</t>
  </si>
  <si>
    <t>555.65, 555.69</t>
  </si>
  <si>
    <t>555, 555.55,555.61,555.62, 555.63, 555.64, 555.67, 555.8</t>
  </si>
  <si>
    <t>Secondary Purchases</t>
  </si>
  <si>
    <t>555.7, 555.25</t>
  </si>
  <si>
    <t>Seasonal Contracts</t>
  </si>
  <si>
    <t>Wind Integration Charge</t>
  </si>
  <si>
    <t>BPA Regional Adjustments</t>
  </si>
  <si>
    <t>555.11, 555.12, 555.133</t>
  </si>
  <si>
    <t>Total Purchased Power Adjustment</t>
  </si>
  <si>
    <t>Wheeling (Account 565)</t>
  </si>
  <si>
    <t>565.0, 565.46, 565.1</t>
  </si>
  <si>
    <t>Non-firm</t>
  </si>
  <si>
    <t>Total Wheeling Expense Adjustment</t>
  </si>
  <si>
    <t>Fuel Expense (Accounts 501, 503 and 547)</t>
  </si>
  <si>
    <t>Fuel - Overburden Amortization - Idaho</t>
  </si>
  <si>
    <t>Fuel - Overburden Amortization - Wyoming</t>
  </si>
  <si>
    <t>Steam From Other Sources</t>
  </si>
  <si>
    <t>Cholla/APS Exchange</t>
  </si>
  <si>
    <t>501.1,501.2,501.45</t>
  </si>
  <si>
    <t>Miscellaneous Fuel Costs</t>
  </si>
  <si>
    <t>501,501.2,501.3, 501.4, 501.45, 501.5,501.51</t>
  </si>
  <si>
    <t>Total Fuel Expense</t>
  </si>
  <si>
    <t>Net Power Cost</t>
  </si>
  <si>
    <t>Ref 5.1.4</t>
  </si>
  <si>
    <t>Ref. 2.2 line 66</t>
  </si>
  <si>
    <t>Ref 5.1</t>
  </si>
  <si>
    <t>Ref. 5.1.1</t>
  </si>
  <si>
    <t>Ref. 12.1.3</t>
  </si>
  <si>
    <t>Ref. 12.1</t>
  </si>
  <si>
    <t>Study Results</t>
  </si>
  <si>
    <t>MERGED PEAK/ENERGY SPLIT</t>
  </si>
  <si>
    <t>Period Ending</t>
  </si>
  <si>
    <t>($)</t>
  </si>
  <si>
    <t>Merged</t>
  </si>
  <si>
    <t xml:space="preserve">Pre-Merger </t>
  </si>
  <si>
    <t>Demand</t>
  </si>
  <si>
    <t>Energy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</si>
  <si>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</si>
  <si>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</si>
  <si>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</si>
  <si>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</si>
  <si>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</si>
  <si>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</si>
  <si>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</si>
  <si>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>TOTAL SPECIAL SALES</t>
  </si>
  <si>
    <t>check</t>
  </si>
  <si>
    <t>Test Year</t>
  </si>
  <si>
    <t>PURCHASED POWER &amp; NET INTERCHANGE</t>
  </si>
  <si>
    <t>Pre-Merger PPL</t>
  </si>
  <si>
    <t>BPA Peak Purchase</t>
  </si>
  <si>
    <t>Post-Merger PPL</t>
  </si>
  <si>
    <t>Pacific Capacity</t>
  </si>
  <si>
    <t>Pre-Merger UPL</t>
  </si>
  <si>
    <t>Mid Columbia</t>
  </si>
  <si>
    <t>Post-Merger UPL</t>
  </si>
  <si>
    <t>Misc/Pacific</t>
  </si>
  <si>
    <t>Q.F. Contracts/PPL</t>
  </si>
  <si>
    <t>QF by State PPL</t>
  </si>
  <si>
    <t>Small Purchases west</t>
  </si>
  <si>
    <t>QF PPL Pre Merger</t>
  </si>
  <si>
    <t>---------------------------------------------------------</t>
  </si>
  <si>
    <t>QF PPL Post Merger</t>
  </si>
  <si>
    <t>Pacific Sub Total</t>
  </si>
  <si>
    <t>Gemstate</t>
  </si>
  <si>
    <t>QF by State UPL</t>
  </si>
  <si>
    <t>GSLM</t>
  </si>
  <si>
    <t>QF UPL Pre Merger</t>
  </si>
  <si>
    <t>QF Contracts/UPL</t>
  </si>
  <si>
    <t>QF UPL Post Merger</t>
  </si>
  <si>
    <t>IPP Layoff</t>
  </si>
  <si>
    <t>Small Purchases east</t>
  </si>
  <si>
    <t>UP&amp;L to PP&amp;L</t>
  </si>
  <si>
    <t>Utah Sub Total</t>
  </si>
  <si>
    <t>APS Supplemental p27875</t>
  </si>
  <si>
    <t>Avoided Cost Resource</t>
  </si>
  <si>
    <t>Blanding Purchase p379174</t>
  </si>
  <si>
    <t>BPA Reserve Purchase</t>
  </si>
  <si>
    <t>Chehalis Station Service</t>
  </si>
  <si>
    <t xml:space="preserve">Combine Hills Wind p160595 </t>
  </si>
  <si>
    <t>Deseret Purchase p194277</t>
  </si>
  <si>
    <t>Georgia-Pacific Camas</t>
  </si>
  <si>
    <t>Hermiston Purchase p99563</t>
  </si>
  <si>
    <t>Hurricane Purchase p393045</t>
  </si>
  <si>
    <t>Idaho Power p278538</t>
  </si>
  <si>
    <t>Kennecott Generation Incentive</t>
  </si>
  <si>
    <t>LADWP p491303-4</t>
  </si>
  <si>
    <t>MagCorp p229846</t>
  </si>
  <si>
    <t>MagCorp Reserves p510378</t>
  </si>
  <si>
    <t>Nucor p346856</t>
  </si>
  <si>
    <t>P4 Production p137215/p145258</t>
  </si>
  <si>
    <t>Rock River Wind p100371</t>
  </si>
  <si>
    <t>Roseburg Forest Products p312292</t>
  </si>
  <si>
    <t>Three Buttes Wind p460457</t>
  </si>
  <si>
    <t>Top of the World Wind p522807</t>
  </si>
  <si>
    <t>Tri-State Purchase p27057</t>
  </si>
  <si>
    <t>West Valley Toll</t>
  </si>
  <si>
    <t>Wolverine Creek Wind p244520</t>
  </si>
  <si>
    <t>BPA So. Idaho p64885/p83975/p64705</t>
  </si>
  <si>
    <t>Cargill p483225/s6 p485390/s89</t>
  </si>
  <si>
    <t>PSCo Exchange p340325</t>
  </si>
  <si>
    <t>Shell p489963/s489962</t>
  </si>
  <si>
    <t>Seasonal Purchased Power</t>
  </si>
  <si>
    <t>Placeholder</t>
  </si>
  <si>
    <t>New Firm Sub Total</t>
  </si>
  <si>
    <t>Non Firm Sub Total</t>
  </si>
  <si>
    <t>TOTAL PURCHASED PW &amp; NET INT.</t>
  </si>
  <si>
    <t>WHEELING &amp; U. OF F. EXPENSE</t>
  </si>
  <si>
    <t>Pre Mgr PPL</t>
  </si>
  <si>
    <t>Pre Mgr UPL</t>
  </si>
  <si>
    <t>Pacific Firm Wheeling and Use of Facilities</t>
  </si>
  <si>
    <t>Post Mgr Whl</t>
  </si>
  <si>
    <t>NF Whl</t>
  </si>
  <si>
    <t>Utah Firm Wheeling and Use of Facilities</t>
  </si>
  <si>
    <t>STF</t>
  </si>
  <si>
    <t>Nonfirm Wheeling</t>
  </si>
  <si>
    <t>TOTAL WHEELING &amp; U. OF F. EXPENSE</t>
  </si>
  <si>
    <t>THERMAL FUEL BURN EXPENSE</t>
  </si>
  <si>
    <t>Chehalis</t>
  </si>
  <si>
    <t>Thermal Coal</t>
  </si>
  <si>
    <t>Currant Creek</t>
  </si>
  <si>
    <t>Thermal Gas</t>
  </si>
  <si>
    <t>Other Gas</t>
  </si>
  <si>
    <t>CT</t>
  </si>
  <si>
    <t>Cholla</t>
  </si>
  <si>
    <t>TOTAL FUEL BURN EXPENSE</t>
  </si>
  <si>
    <t>OTHER GENERATION EXPENSE</t>
  </si>
  <si>
    <t>TOTAL OTHER GEN. EXPENSE</t>
  </si>
  <si>
    <t>=</t>
  </si>
  <si>
    <t>NET POWER COST</t>
  </si>
  <si>
    <t>Ref 12.1.1</t>
  </si>
  <si>
    <t>Net Power Cost Update Adjustment</t>
  </si>
  <si>
    <t>06/12-05/13</t>
  </si>
  <si>
    <t>Short Term Firm Purchases</t>
  </si>
  <si>
    <t>Carbon</t>
  </si>
  <si>
    <t>Colstrip</t>
  </si>
  <si>
    <t>Craig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</si>
  <si>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</si>
  <si>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</si>
  <si>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</si>
  <si>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</si>
  <si>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</si>
  <si>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</si>
  <si>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</si>
  <si>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</si>
  <si>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</t>
  </si>
  <si>
    <t>Little Mountain</t>
  </si>
  <si>
    <t>Naughton</t>
  </si>
  <si>
    <t>Wyodak</t>
  </si>
  <si>
    <t>Blundell</t>
  </si>
  <si>
    <t>REBUTTAL</t>
  </si>
  <si>
    <t>FILED</t>
  </si>
  <si>
    <t xml:space="preserve">  </t>
  </si>
</sst>
</file>

<file path=xl/styles.xml><?xml version="1.0" encoding="utf-8"?>
<styleSheet xmlns="http://schemas.openxmlformats.org/spreadsheetml/2006/main">
  <numFmts count="2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0.0%"/>
    <numFmt numFmtId="168" formatCode="General_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  <numFmt numFmtId="172" formatCode="#,##0.0_);\(#,##0.0\);\-\ ;"/>
    <numFmt numFmtId="173" formatCode="&quot;$&quot;###0;[Red]\(&quot;$&quot;###0\)"/>
    <numFmt numFmtId="174" formatCode="########\-###\-###"/>
    <numFmt numFmtId="175" formatCode="#,##0.0000"/>
    <numFmt numFmtId="176" formatCode="mmmm\ d\,\ yyyy"/>
    <numFmt numFmtId="177" formatCode="mmm\ dd\,\ yyyy"/>
    <numFmt numFmtId="178" formatCode="#,##0;\-#,##0;&quot;-&quot;"/>
    <numFmt numFmtId="179" formatCode="_(* #,##0_);[Red]_(* \(#,##0\);_(* &quot;-&quot;_);_(@_)"/>
    <numFmt numFmtId="180" formatCode="[$-409]mmm\-yy;@"/>
    <numFmt numFmtId="181" formatCode="#,##0\ ;[Red]\(#,##0\);0\ "/>
    <numFmt numFmtId="182" formatCode="0\ \ ;@\ \ "/>
    <numFmt numFmtId="183" formatCode="#,##0\ ;[Red]\(#,##0\)"/>
    <numFmt numFmtId="184" formatCode="#,##0.000000\ ;[Red]\(#,##0.000000\);0.000000\ "/>
    <numFmt numFmtId="185" formatCode="#,##0.00\ ;[Red]\(#,##0.00\)"/>
  </numFmts>
  <fonts count="8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0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sz val="9"/>
      <name val="Helv"/>
    </font>
    <font>
      <sz val="10"/>
      <name val="Geneva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9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44" fillId="0" borderId="0"/>
    <xf numFmtId="43" fontId="5" fillId="0" borderId="0" applyFont="0" applyFill="0" applyBorder="0" applyAlignment="0" applyProtection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70" fontId="8" fillId="0" borderId="0"/>
    <xf numFmtId="170" fontId="57" fillId="0" borderId="0"/>
    <xf numFmtId="170" fontId="57" fillId="0" borderId="0"/>
    <xf numFmtId="170" fontId="57" fillId="0" borderId="0"/>
    <xf numFmtId="170" fontId="57" fillId="0" borderId="0"/>
    <xf numFmtId="1" fontId="45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46" fillId="0" borderId="0"/>
    <xf numFmtId="0" fontId="46" fillId="0" borderId="0"/>
    <xf numFmtId="3" fontId="59" fillId="0" borderId="0" applyFont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57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6" fillId="0" borderId="0"/>
    <xf numFmtId="173" fontId="47" fillId="0" borderId="0" applyFont="0" applyFill="0" applyBorder="0" applyProtection="0">
      <alignment horizontal="right"/>
    </xf>
    <xf numFmtId="5" fontId="46" fillId="0" borderId="0"/>
    <xf numFmtId="169" fontId="37" fillId="0" borderId="0" applyFont="0" applyFill="0" applyBorder="0" applyAlignment="0" applyProtection="0"/>
    <xf numFmtId="169" fontId="59" fillId="0" borderId="0" applyFont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57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7" fillId="0" borderId="0" applyFont="0" applyFill="0" applyBorder="0" applyAlignment="0" applyProtection="0"/>
    <xf numFmtId="0" fontId="46" fillId="0" borderId="0"/>
    <xf numFmtId="0" fontId="59" fillId="0" borderId="0" applyFont="0" applyFill="0" applyBorder="0" applyAlignment="0" applyProtection="0"/>
    <xf numFmtId="176" fontId="57" fillId="0" borderId="0" applyFill="0" applyBorder="0" applyAlignment="0" applyProtection="0"/>
    <xf numFmtId="176" fontId="57" fillId="0" borderId="0" applyFill="0" applyBorder="0" applyAlignment="0" applyProtection="0"/>
    <xf numFmtId="176" fontId="57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59" fillId="0" borderId="0" applyFont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57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4" fillId="0" borderId="0" applyFont="0" applyFill="0" applyBorder="0" applyAlignment="0" applyProtection="0">
      <alignment horizontal="left"/>
    </xf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38" fontId="6" fillId="22" borderId="0" applyNumberFormat="0" applyBorder="0" applyAlignment="0" applyProtection="0"/>
    <xf numFmtId="0" fontId="38" fillId="0" borderId="0"/>
    <xf numFmtId="0" fontId="39" fillId="0" borderId="3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42" fillId="0" borderId="0" applyNumberFormat="0" applyFill="0" applyBorder="0" applyAlignment="0">
      <protection locked="0"/>
    </xf>
    <xf numFmtId="0" fontId="26" fillId="7" borderId="1" applyNumberFormat="0" applyAlignment="0" applyProtection="0"/>
    <xf numFmtId="0" fontId="42" fillId="0" borderId="0" applyNumberFormat="0" applyFill="0" applyBorder="0" applyAlignment="0">
      <protection locked="0"/>
    </xf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174" fontId="8" fillId="0" borderId="0"/>
    <xf numFmtId="174" fontId="57" fillId="0" borderId="0"/>
    <xf numFmtId="165" fontId="4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164" fontId="35" fillId="0" borderId="0" applyFont="0" applyAlignment="0" applyProtection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37" fontId="60" fillId="0" borderId="0" applyNumberFormat="0" applyFill="0" applyBorder="0"/>
    <xf numFmtId="0" fontId="6" fillId="0" borderId="10" applyNumberFormat="0" applyBorder="0" applyAlignment="0"/>
    <xf numFmtId="171" fontId="8" fillId="0" borderId="0"/>
    <xf numFmtId="171" fontId="57" fillId="0" borderId="0"/>
    <xf numFmtId="171" fontId="57" fillId="0" borderId="0"/>
    <xf numFmtId="171" fontId="57" fillId="0" borderId="0"/>
    <xf numFmtId="171" fontId="57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6" fillId="0" borderId="0"/>
    <xf numFmtId="0" fontId="9" fillId="0" borderId="0"/>
    <xf numFmtId="0" fontId="5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7" fillId="25" borderId="11" applyNumberFormat="0" applyFont="0" applyAlignment="0" applyProtection="0"/>
    <xf numFmtId="0" fontId="8" fillId="25" borderId="11" applyNumberFormat="0" applyFont="0" applyAlignment="0" applyProtection="0"/>
    <xf numFmtId="172" fontId="33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12" fontId="39" fillId="26" borderId="13">
      <alignment horizontal="left"/>
    </xf>
    <xf numFmtId="0" fontId="46" fillId="0" borderId="0"/>
    <xf numFmtId="0" fontId="46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10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9" fillId="0" borderId="0"/>
    <xf numFmtId="4" fontId="13" fillId="24" borderId="14" applyNumberFormat="0" applyProtection="0">
      <alignment vertical="center"/>
    </xf>
    <xf numFmtId="4" fontId="50" fillId="27" borderId="14" applyNumberFormat="0" applyProtection="0">
      <alignment vertical="center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vertical="center"/>
    </xf>
    <xf numFmtId="4" fontId="13" fillId="27" borderId="14" applyNumberFormat="0" applyProtection="0">
      <alignment vertical="center"/>
    </xf>
    <xf numFmtId="0" fontId="13" fillId="27" borderId="14" applyNumberFormat="0" applyProtection="0">
      <alignment horizontal="left" vertical="top" indent="1"/>
    </xf>
    <xf numFmtId="4" fontId="13" fillId="28" borderId="0" applyNumberFormat="0" applyProtection="0">
      <alignment horizontal="left" vertical="center" indent="1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5" applyNumberFormat="0" applyProtection="0">
      <alignment vertical="center"/>
    </xf>
    <xf numFmtId="4" fontId="13" fillId="28" borderId="15" applyNumberFormat="0" applyProtection="0">
      <alignment vertical="center"/>
    </xf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3" fillId="28" borderId="14" applyNumberFormat="0" applyProtection="0"/>
    <xf numFmtId="4" fontId="12" fillId="3" borderId="14" applyNumberFormat="0" applyProtection="0">
      <alignment horizontal="right" vertical="center"/>
    </xf>
    <xf numFmtId="4" fontId="12" fillId="9" borderId="14" applyNumberFormat="0" applyProtection="0">
      <alignment horizontal="right" vertical="center"/>
    </xf>
    <xf numFmtId="4" fontId="12" fillId="17" borderId="14" applyNumberFormat="0" applyProtection="0">
      <alignment horizontal="right" vertical="center"/>
    </xf>
    <xf numFmtId="4" fontId="12" fillId="11" borderId="14" applyNumberFormat="0" applyProtection="0">
      <alignment horizontal="right" vertical="center"/>
    </xf>
    <xf numFmtId="4" fontId="12" fillId="15" borderId="14" applyNumberFormat="0" applyProtection="0">
      <alignment horizontal="right" vertical="center"/>
    </xf>
    <xf numFmtId="4" fontId="12" fillId="19" borderId="14" applyNumberFormat="0" applyProtection="0">
      <alignment horizontal="right" vertical="center"/>
    </xf>
    <xf numFmtId="4" fontId="12" fillId="18" borderId="14" applyNumberFormat="0" applyProtection="0">
      <alignment horizontal="right" vertical="center"/>
    </xf>
    <xf numFmtId="4" fontId="12" fillId="29" borderId="14" applyNumberFormat="0" applyProtection="0">
      <alignment horizontal="right" vertical="center"/>
    </xf>
    <xf numFmtId="4" fontId="12" fillId="10" borderId="14" applyNumberFormat="0" applyProtection="0">
      <alignment horizontal="right" vertical="center"/>
    </xf>
    <xf numFmtId="4" fontId="13" fillId="30" borderId="16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12" fillId="33" borderId="14" applyNumberFormat="0" applyProtection="0">
      <alignment horizontal="right" vertical="center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8" fillId="0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4" fontId="52" fillId="0" borderId="0" applyNumberFormat="0" applyProtection="0">
      <alignment horizontal="left" vertical="center" indent="1"/>
    </xf>
    <xf numFmtId="4" fontId="52" fillId="35" borderId="0" applyNumberFormat="0" applyProtection="0"/>
    <xf numFmtId="0" fontId="8" fillId="32" borderId="14" applyNumberFormat="0" applyProtection="0">
      <alignment horizontal="left" vertical="center" indent="1"/>
    </xf>
    <xf numFmtId="0" fontId="57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7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7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7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7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7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7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7" fillId="37" borderId="14" applyNumberFormat="0" applyProtection="0">
      <alignment horizontal="left" vertical="top" indent="1"/>
    </xf>
    <xf numFmtId="4" fontId="12" fillId="23" borderId="14" applyNumberFormat="0" applyProtection="0">
      <alignment vertical="center"/>
    </xf>
    <xf numFmtId="4" fontId="53" fillId="23" borderId="14" applyNumberFormat="0" applyProtection="0">
      <alignment vertical="center"/>
    </xf>
    <xf numFmtId="4" fontId="12" fillId="23" borderId="14" applyNumberFormat="0" applyProtection="0">
      <alignment horizontal="left" vertical="center" indent="1"/>
    </xf>
    <xf numFmtId="0" fontId="12" fillId="23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38" borderId="17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53" fillId="31" borderId="14" applyNumberFormat="0" applyProtection="0">
      <alignment horizontal="right" vertical="center"/>
    </xf>
    <xf numFmtId="4" fontId="12" fillId="38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4" fontId="12" fillId="0" borderId="14" applyNumberFormat="0" applyProtection="0">
      <alignment horizontal="left" vertical="center" indent="1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center" vertical="top"/>
    </xf>
    <xf numFmtId="0" fontId="12" fillId="28" borderId="14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54" fillId="39" borderId="0" applyNumberFormat="0" applyProtection="0">
      <alignment horizontal="left"/>
    </xf>
    <xf numFmtId="4" fontId="14" fillId="31" borderId="14" applyNumberFormat="0" applyProtection="0">
      <alignment horizontal="right" vertical="center"/>
    </xf>
    <xf numFmtId="37" fontId="55" fillId="40" borderId="0" applyNumberFormat="0" applyFont="0" applyBorder="0" applyAlignment="0" applyProtection="0"/>
    <xf numFmtId="175" fontId="8" fillId="0" borderId="18">
      <alignment horizontal="justify" vertical="top" wrapText="1"/>
    </xf>
    <xf numFmtId="175" fontId="57" fillId="0" borderId="18">
      <alignment horizontal="justify" vertical="top" wrapText="1"/>
    </xf>
    <xf numFmtId="175" fontId="57" fillId="0" borderId="18">
      <alignment horizontal="justify" vertical="top" wrapText="1"/>
    </xf>
    <xf numFmtId="175" fontId="57" fillId="0" borderId="18">
      <alignment horizontal="justify" vertical="top" wrapText="1"/>
    </xf>
    <xf numFmtId="0" fontId="8" fillId="0" borderId="0">
      <alignment horizontal="left" wrapText="1"/>
    </xf>
    <xf numFmtId="0" fontId="57" fillId="0" borderId="0">
      <alignment horizontal="left" wrapText="1"/>
    </xf>
    <xf numFmtId="177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37" fillId="0" borderId="20" applyNumberFormat="0" applyFon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31" fillId="0" borderId="19" applyNumberFormat="0" applyFill="0" applyAlignment="0" applyProtection="0"/>
    <xf numFmtId="0" fontId="37" fillId="0" borderId="20" applyNumberFormat="0" applyFont="0" applyFill="0" applyAlignment="0" applyProtection="0"/>
    <xf numFmtId="0" fontId="46" fillId="0" borderId="21"/>
    <xf numFmtId="168" fontId="36" fillId="0" borderId="0">
      <alignment horizontal="left"/>
    </xf>
    <xf numFmtId="0" fontId="46" fillId="0" borderId="22"/>
    <xf numFmtId="37" fontId="6" fillId="27" borderId="0" applyNumberFormat="0" applyBorder="0" applyAlignment="0" applyProtection="0"/>
    <xf numFmtId="37" fontId="6" fillId="0" borderId="0"/>
    <xf numFmtId="3" fontId="56" fillId="41" borderId="23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2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6" fillId="0" borderId="0"/>
    <xf numFmtId="0" fontId="46" fillId="0" borderId="0"/>
    <xf numFmtId="37" fontId="5" fillId="0" borderId="0" applyFill="0" applyBorder="0" applyAlignment="0" applyProtection="0"/>
    <xf numFmtId="0" fontId="46" fillId="0" borderId="0"/>
    <xf numFmtId="0" fontId="4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46" fillId="0" borderId="0"/>
    <xf numFmtId="176" fontId="5" fillId="0" borderId="0" applyFill="0" applyBorder="0" applyAlignment="0" applyProtection="0"/>
    <xf numFmtId="0" fontId="46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5" fillId="0" borderId="0">
      <alignment horizontal="left" wrapText="1"/>
    </xf>
    <xf numFmtId="38" fontId="66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68" fillId="0" borderId="0"/>
    <xf numFmtId="0" fontId="69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4" fillId="0" borderId="0"/>
    <xf numFmtId="0" fontId="5" fillId="0" borderId="0"/>
    <xf numFmtId="0" fontId="1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2" fillId="0" borderId="0"/>
    <xf numFmtId="0" fontId="62" fillId="0" borderId="0"/>
    <xf numFmtId="0" fontId="16" fillId="0" borderId="0"/>
    <xf numFmtId="179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2" fillId="0" borderId="0"/>
    <xf numFmtId="0" fontId="63" fillId="0" borderId="0"/>
    <xf numFmtId="40" fontId="12" fillId="38" borderId="0">
      <alignment horizontal="right"/>
    </xf>
    <xf numFmtId="0" fontId="13" fillId="38" borderId="0">
      <alignment horizontal="left"/>
    </xf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3" fillId="27" borderId="14" applyNumberFormat="0" applyProtection="0">
      <alignment horizontal="left" vertical="center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12" fillId="31" borderId="0" applyNumberFormat="0" applyProtection="0">
      <alignment horizontal="left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43" fillId="32" borderId="0" applyNumberFormat="0" applyProtection="0">
      <alignment horizontal="left" vertical="center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1" fillId="34" borderId="0" applyNumberFormat="0" applyProtection="0">
      <alignment horizontal="left" indent="1"/>
    </xf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4" fontId="52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4" fontId="12" fillId="0" borderId="14" applyNumberFormat="0" applyProtection="0">
      <alignment horizontal="right" vertical="center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12" fillId="28" borderId="14" applyNumberFormat="0" applyProtection="0">
      <alignment horizontal="left" vertical="top"/>
    </xf>
    <xf numFmtId="0" fontId="70" fillId="42" borderId="33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2" fillId="0" borderId="34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1" fillId="43" borderId="8" applyNumberFormat="0" applyBorder="0" applyAlignment="0" applyProtection="0"/>
    <xf numFmtId="180" fontId="71" fillId="43" borderId="8" applyNumberFormat="0" applyBorder="0" applyAlignment="0" applyProtection="0"/>
    <xf numFmtId="0" fontId="18" fillId="3" borderId="0" applyNumberFormat="0" applyBorder="0" applyAlignment="0" applyProtection="0"/>
    <xf numFmtId="0" fontId="7" fillId="44" borderId="0" applyNumberFormat="0" applyBorder="0" applyAlignment="0" applyProtection="0"/>
    <xf numFmtId="180" fontId="7" fillId="44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80" fontId="44" fillId="0" borderId="0"/>
    <xf numFmtId="43" fontId="9" fillId="0" borderId="0" applyFont="0" applyFill="0" applyBorder="0" applyAlignment="0" applyProtection="0"/>
    <xf numFmtId="180" fontId="46" fillId="0" borderId="0"/>
    <xf numFmtId="180" fontId="46" fillId="0" borderId="0"/>
    <xf numFmtId="180" fontId="46" fillId="0" borderId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180" fontId="46" fillId="0" borderId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6" fillId="22" borderId="0" applyNumberFormat="0" applyBorder="0" applyAlignment="0" applyProtection="0"/>
    <xf numFmtId="180" fontId="38" fillId="0" borderId="0"/>
    <xf numFmtId="180" fontId="39" fillId="0" borderId="3" applyNumberFormat="0" applyAlignment="0" applyProtection="0">
      <alignment horizontal="left" vertical="center"/>
    </xf>
    <xf numFmtId="180" fontId="39" fillId="0" borderId="4">
      <alignment horizontal="left" vertical="center"/>
    </xf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7" fillId="0" borderId="9" applyNumberFormat="0" applyFill="0" applyAlignment="0" applyProtection="0"/>
    <xf numFmtId="0" fontId="73" fillId="45" borderId="0"/>
    <xf numFmtId="180" fontId="73" fillId="45" borderId="0"/>
    <xf numFmtId="0" fontId="73" fillId="46" borderId="0"/>
    <xf numFmtId="180" fontId="73" fillId="46" borderId="0"/>
    <xf numFmtId="0" fontId="7" fillId="47" borderId="35" applyBorder="0"/>
    <xf numFmtId="0" fontId="5" fillId="48" borderId="36" applyNumberFormat="0" applyFont="0" applyBorder="0" applyAlignment="0" applyProtection="0"/>
    <xf numFmtId="180" fontId="5" fillId="48" borderId="36" applyNumberFormat="0" applyFont="0" applyBorder="0" applyAlignment="0" applyProtection="0"/>
    <xf numFmtId="0" fontId="28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41" fontId="74" fillId="0" borderId="0"/>
    <xf numFmtId="0" fontId="1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9" fillId="0" borderId="0"/>
    <xf numFmtId="0" fontId="62" fillId="0" borderId="0"/>
    <xf numFmtId="0" fontId="5" fillId="25" borderId="11" applyNumberFormat="0" applyFont="0" applyAlignment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172" fontId="9" fillId="0" borderId="0" applyFont="0" applyFill="0" applyBorder="0" applyProtection="0"/>
    <xf numFmtId="0" fontId="29" fillId="20" borderId="12" applyNumberFormat="0" applyAlignment="0" applyProtection="0"/>
    <xf numFmtId="180" fontId="46" fillId="0" borderId="0"/>
    <xf numFmtId="180" fontId="46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30" fillId="0" borderId="0" applyNumberFormat="0" applyFill="0" applyBorder="0" applyAlignment="0" applyProtection="0"/>
    <xf numFmtId="180" fontId="46" fillId="0" borderId="21"/>
    <xf numFmtId="180" fontId="46" fillId="0" borderId="22"/>
    <xf numFmtId="37" fontId="6" fillId="0" borderId="0"/>
    <xf numFmtId="37" fontId="6" fillId="0" borderId="0"/>
    <xf numFmtId="37" fontId="6" fillId="0" borderId="0"/>
    <xf numFmtId="0" fontId="32" fillId="0" borderId="0" applyNumberForma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4" fontId="5" fillId="0" borderId="0"/>
    <xf numFmtId="174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171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175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7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76" fillId="0" borderId="0"/>
    <xf numFmtId="41" fontId="76" fillId="0" borderId="0"/>
    <xf numFmtId="9" fontId="77" fillId="0" borderId="0" applyFont="0" applyFill="0" applyBorder="0" applyAlignment="0" applyProtection="0"/>
    <xf numFmtId="4" fontId="77" fillId="0" borderId="0" applyFont="0" applyFill="0" applyBorder="0" applyAlignment="0" applyProtection="0"/>
  </cellStyleXfs>
  <cellXfs count="181">
    <xf numFmtId="0" fontId="0" fillId="0" borderId="0" xfId="0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Protection="1">
      <protection locked="0"/>
    </xf>
    <xf numFmtId="164" fontId="7" fillId="0" borderId="0" xfId="11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6" fontId="7" fillId="0" borderId="0" xfId="309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164" fontId="7" fillId="0" borderId="0" xfId="294" applyNumberFormat="1" applyFont="1" applyFill="1" applyBorder="1"/>
    <xf numFmtId="0" fontId="7" fillId="0" borderId="0" xfId="0" applyFont="1" applyFill="1"/>
    <xf numFmtId="41" fontId="7" fillId="0" borderId="0" xfId="11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7" fillId="0" borderId="0" xfId="293" applyFont="1" applyFill="1" applyBorder="1" applyAlignment="1">
      <alignment horizontal="left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7" fillId="0" borderId="0" xfId="293" applyFont="1" applyFill="1" applyBorder="1"/>
    <xf numFmtId="0" fontId="0" fillId="0" borderId="0" xfId="0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309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11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0" xfId="110" applyNumberFormat="1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/>
    <xf numFmtId="41" fontId="5" fillId="0" borderId="0" xfId="110" applyNumberFormat="1" applyFont="1" applyFill="1" applyBorder="1" applyProtection="1">
      <protection locked="0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41" fontId="5" fillId="0" borderId="0" xfId="0" quotePrefix="1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/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center"/>
      <protection locked="0"/>
    </xf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/>
    <xf numFmtId="10" fontId="5" fillId="0" borderId="0" xfId="309" applyNumberFormat="1" applyFont="1" applyFill="1" applyBorder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164" fontId="5" fillId="0" borderId="0" xfId="110" applyNumberFormat="1" applyFont="1" applyFill="1" applyBorder="1" applyAlignment="1"/>
    <xf numFmtId="0" fontId="5" fillId="0" borderId="25" xfId="0" quotePrefix="1" applyFont="1" applyFill="1" applyBorder="1" applyAlignment="1" applyProtection="1">
      <alignment horizontal="left"/>
      <protection locked="0"/>
    </xf>
    <xf numFmtId="0" fontId="5" fillId="0" borderId="0" xfId="293" applyFont="1" applyFill="1" applyBorder="1" applyAlignment="1">
      <alignment horizontal="left" indent="1"/>
    </xf>
    <xf numFmtId="0" fontId="5" fillId="0" borderId="0" xfId="293" applyFont="1" applyFill="1" applyAlignment="1">
      <alignment horizontal="center"/>
    </xf>
    <xf numFmtId="41" fontId="5" fillId="0" borderId="4" xfId="110" applyNumberFormat="1" applyFont="1" applyFill="1" applyBorder="1" applyAlignment="1">
      <alignment horizontal="center"/>
    </xf>
    <xf numFmtId="0" fontId="5" fillId="0" borderId="0" xfId="293" applyNumberFormat="1" applyFont="1" applyFill="1" applyAlignment="1">
      <alignment horizontal="center"/>
    </xf>
    <xf numFmtId="0" fontId="7" fillId="0" borderId="0" xfId="293" applyFont="1" applyFill="1" applyAlignment="1">
      <alignment horizontal="left"/>
    </xf>
    <xf numFmtId="0" fontId="5" fillId="0" borderId="0" xfId="293" quotePrefix="1" applyFont="1" applyFill="1" applyBorder="1" applyAlignment="1">
      <alignment horizontal="left"/>
    </xf>
    <xf numFmtId="0" fontId="7" fillId="0" borderId="0" xfId="293" quotePrefix="1" applyFont="1" applyFill="1" applyBorder="1" applyAlignment="1">
      <alignment horizontal="left"/>
    </xf>
    <xf numFmtId="41" fontId="5" fillId="0" borderId="32" xfId="11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 applyProtection="1">
      <alignment horizontal="center"/>
      <protection locked="0"/>
    </xf>
    <xf numFmtId="10" fontId="5" fillId="0" borderId="0" xfId="0" quotePrefix="1" applyNumberFormat="1" applyFont="1" applyFill="1" applyBorder="1" applyAlignment="1" applyProtection="1">
      <alignment horizontal="center"/>
      <protection locked="0"/>
    </xf>
    <xf numFmtId="1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Alignment="1"/>
    <xf numFmtId="0" fontId="5" fillId="0" borderId="0" xfId="293" quotePrefix="1" applyFont="1" applyFill="1" applyBorder="1" applyAlignment="1"/>
    <xf numFmtId="0" fontId="5" fillId="0" borderId="0" xfId="293" applyFont="1" applyFill="1" applyBorder="1" applyAlignment="1"/>
    <xf numFmtId="166" fontId="5" fillId="0" borderId="0" xfId="309" applyNumberFormat="1" applyFont="1"/>
    <xf numFmtId="164" fontId="0" fillId="0" borderId="0" xfId="110" applyNumberFormat="1" applyFont="1" applyFill="1"/>
    <xf numFmtId="164" fontId="0" fillId="0" borderId="0" xfId="110" applyNumberFormat="1" applyFont="1" applyBorder="1"/>
    <xf numFmtId="164" fontId="0" fillId="0" borderId="0" xfId="110" applyNumberFormat="1" applyFont="1"/>
    <xf numFmtId="164" fontId="5" fillId="0" borderId="0" xfId="110" applyNumberFormat="1" applyFont="1" applyFill="1"/>
    <xf numFmtId="164" fontId="7" fillId="0" borderId="0" xfId="110" applyNumberFormat="1" applyFont="1" applyAlignment="1">
      <alignment horizontal="right"/>
    </xf>
    <xf numFmtId="164" fontId="7" fillId="0" borderId="0" xfId="110" applyNumberFormat="1" applyFont="1"/>
    <xf numFmtId="166" fontId="0" fillId="0" borderId="0" xfId="309" applyNumberFormat="1" applyFont="1"/>
    <xf numFmtId="164" fontId="0" fillId="22" borderId="0" xfId="110" applyNumberFormat="1" applyFont="1" applyFill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164" fontId="7" fillId="0" borderId="0" xfId="110" quotePrefix="1" applyNumberFormat="1" applyFont="1" applyAlignment="1">
      <alignment horizontal="center"/>
    </xf>
    <xf numFmtId="164" fontId="7" fillId="0" borderId="0" xfId="11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7" fillId="0" borderId="0" xfId="309" applyNumberFormat="1" applyFont="1" applyAlignment="1">
      <alignment horizontal="center"/>
    </xf>
    <xf numFmtId="164" fontId="7" fillId="22" borderId="0" xfId="110" applyNumberFormat="1" applyFont="1" applyFill="1" applyAlignment="1">
      <alignment horizontal="center"/>
    </xf>
    <xf numFmtId="164" fontId="7" fillId="0" borderId="0" xfId="110" applyNumberFormat="1" applyFont="1" applyFill="1" applyAlignment="1">
      <alignment horizontal="center"/>
    </xf>
    <xf numFmtId="0" fontId="7" fillId="0" borderId="24" xfId="0" applyFont="1" applyBorder="1" applyAlignment="1">
      <alignment horizontal="center"/>
    </xf>
    <xf numFmtId="164" fontId="7" fillId="0" borderId="24" xfId="110" applyNumberFormat="1" applyFont="1" applyBorder="1" applyAlignment="1">
      <alignment horizontal="center"/>
    </xf>
    <xf numFmtId="164" fontId="7" fillId="22" borderId="24" xfId="110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37" fontId="0" fillId="0" borderId="0" xfId="0" applyNumberFormat="1" applyFill="1"/>
    <xf numFmtId="37" fontId="0" fillId="0" borderId="0" xfId="0" applyNumberFormat="1"/>
    <xf numFmtId="37" fontId="0" fillId="0" borderId="32" xfId="0" applyNumberFormat="1" applyBorder="1"/>
    <xf numFmtId="164" fontId="0" fillId="0" borderId="32" xfId="110" applyNumberFormat="1" applyFont="1" applyBorder="1"/>
    <xf numFmtId="164" fontId="0" fillId="22" borderId="32" xfId="110" applyNumberFormat="1" applyFont="1" applyFill="1" applyBorder="1"/>
    <xf numFmtId="43" fontId="5" fillId="0" borderId="0" xfId="11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right"/>
    </xf>
    <xf numFmtId="43" fontId="5" fillId="0" borderId="0" xfId="110" applyFont="1" applyFill="1" applyAlignment="1">
      <alignment horizontal="center"/>
    </xf>
    <xf numFmtId="164" fontId="0" fillId="49" borderId="32" xfId="110" applyNumberFormat="1" applyFont="1" applyFill="1" applyBorder="1"/>
    <xf numFmtId="37" fontId="0" fillId="0" borderId="0" xfId="0" applyNumberFormat="1" applyBorder="1"/>
    <xf numFmtId="164" fontId="0" fillId="22" borderId="0" xfId="110" applyNumberFormat="1" applyFont="1" applyFill="1" applyBorder="1"/>
    <xf numFmtId="43" fontId="0" fillId="0" borderId="32" xfId="110" applyFont="1" applyBorder="1"/>
    <xf numFmtId="37" fontId="5" fillId="0" borderId="0" xfId="0" applyNumberFormat="1" applyFont="1" applyFill="1"/>
    <xf numFmtId="0" fontId="5" fillId="0" borderId="0" xfId="0" applyFont="1" applyAlignment="1">
      <alignment horizontal="center"/>
    </xf>
    <xf numFmtId="37" fontId="7" fillId="0" borderId="32" xfId="0" applyNumberFormat="1" applyFont="1" applyBorder="1"/>
    <xf numFmtId="164" fontId="7" fillId="0" borderId="32" xfId="110" applyNumberFormat="1" applyFont="1" applyBorder="1"/>
    <xf numFmtId="166" fontId="7" fillId="0" borderId="0" xfId="309" applyNumberFormat="1" applyFont="1"/>
    <xf numFmtId="164" fontId="7" fillId="22" borderId="32" xfId="110" applyNumberFormat="1" applyFont="1" applyFill="1" applyBorder="1"/>
    <xf numFmtId="37" fontId="0" fillId="0" borderId="0" xfId="0" applyNumberFormat="1" applyAlignment="1">
      <alignment horizontal="right"/>
    </xf>
    <xf numFmtId="164" fontId="0" fillId="0" borderId="0" xfId="110" applyNumberFormat="1" applyFont="1" applyAlignment="1">
      <alignment horizontal="right"/>
    </xf>
    <xf numFmtId="166" fontId="61" fillId="0" borderId="0" xfId="309" applyNumberFormat="1" applyFont="1"/>
    <xf numFmtId="164" fontId="61" fillId="22" borderId="0" xfId="110" applyNumberFormat="1" applyFont="1" applyFill="1"/>
    <xf numFmtId="43" fontId="75" fillId="22" borderId="0" xfId="110" applyFont="1" applyFill="1"/>
    <xf numFmtId="41" fontId="76" fillId="0" borderId="0" xfId="896" applyFont="1"/>
    <xf numFmtId="41" fontId="76" fillId="0" borderId="0" xfId="896"/>
    <xf numFmtId="41" fontId="47" fillId="0" borderId="0" xfId="896" applyFont="1"/>
    <xf numFmtId="41" fontId="76" fillId="0" borderId="0" xfId="896" applyFont="1" applyAlignment="1">
      <alignment horizontal="right"/>
    </xf>
    <xf numFmtId="183" fontId="76" fillId="0" borderId="0" xfId="896" applyNumberFormat="1" applyFont="1"/>
    <xf numFmtId="41" fontId="7" fillId="0" borderId="0" xfId="896" applyFont="1" applyFill="1"/>
    <xf numFmtId="41" fontId="5" fillId="0" borderId="0" xfId="896" applyFont="1" applyFill="1"/>
    <xf numFmtId="41" fontId="5" fillId="0" borderId="0" xfId="895" applyFont="1" applyFill="1"/>
    <xf numFmtId="164" fontId="0" fillId="22" borderId="0" xfId="110" applyNumberFormat="1" applyFont="1" applyFill="1" applyAlignment="1">
      <alignment horizontal="center"/>
    </xf>
    <xf numFmtId="41" fontId="7" fillId="22" borderId="0" xfId="896" applyFont="1" applyFill="1"/>
    <xf numFmtId="41" fontId="65" fillId="0" borderId="0" xfId="896" applyFont="1"/>
    <xf numFmtId="41" fontId="5" fillId="0" borderId="0" xfId="896" applyFont="1"/>
    <xf numFmtId="41" fontId="5" fillId="0" borderId="0" xfId="896" applyFont="1" applyAlignment="1">
      <alignment horizontal="center"/>
    </xf>
    <xf numFmtId="41" fontId="7" fillId="0" borderId="0" xfId="896" applyFont="1" applyAlignment="1">
      <alignment horizontal="center"/>
    </xf>
    <xf numFmtId="1" fontId="78" fillId="0" borderId="0" xfId="896" applyNumberFormat="1" applyFont="1"/>
    <xf numFmtId="14" fontId="5" fillId="0" borderId="0" xfId="896" applyNumberFormat="1" applyFont="1"/>
    <xf numFmtId="41" fontId="78" fillId="0" borderId="0" xfId="896" applyFont="1"/>
    <xf numFmtId="41" fontId="5" fillId="0" borderId="0" xfId="896" applyFont="1" applyAlignment="1">
      <alignment horizontal="right"/>
    </xf>
    <xf numFmtId="181" fontId="5" fillId="0" borderId="0" xfId="896" applyNumberFormat="1" applyFont="1" applyAlignment="1">
      <alignment horizontal="center"/>
    </xf>
    <xf numFmtId="0" fontId="10" fillId="0" borderId="0" xfId="896" applyNumberFormat="1" applyFont="1" applyAlignment="1">
      <alignment horizontal="right"/>
    </xf>
    <xf numFmtId="182" fontId="10" fillId="0" borderId="0" xfId="896" applyNumberFormat="1" applyFont="1" applyAlignment="1">
      <alignment horizontal="right"/>
    </xf>
    <xf numFmtId="181" fontId="10" fillId="0" borderId="0" xfId="896" applyNumberFormat="1" applyFont="1" applyAlignment="1">
      <alignment horizontal="center"/>
    </xf>
    <xf numFmtId="181" fontId="5" fillId="0" borderId="0" xfId="896" applyNumberFormat="1" applyFont="1"/>
    <xf numFmtId="41" fontId="5" fillId="0" borderId="0" xfId="896" applyNumberFormat="1" applyFont="1"/>
    <xf numFmtId="183" fontId="5" fillId="0" borderId="0" xfId="896" applyNumberFormat="1" applyFont="1"/>
    <xf numFmtId="3" fontId="5" fillId="0" borderId="0" xfId="896" applyNumberFormat="1" applyFont="1"/>
    <xf numFmtId="41" fontId="5" fillId="0" borderId="0" xfId="896" applyFont="1" applyAlignment="1">
      <alignment horizontal="fill"/>
    </xf>
    <xf numFmtId="183" fontId="7" fillId="27" borderId="37" xfId="896" applyNumberFormat="1" applyFont="1" applyFill="1" applyBorder="1"/>
    <xf numFmtId="41" fontId="79" fillId="27" borderId="3" xfId="896" applyFont="1" applyFill="1" applyBorder="1" applyAlignment="1">
      <alignment horizontal="center"/>
    </xf>
    <xf numFmtId="183" fontId="7" fillId="27" borderId="38" xfId="896" applyNumberFormat="1" applyFont="1" applyFill="1" applyBorder="1"/>
    <xf numFmtId="41" fontId="7" fillId="50" borderId="0" xfId="896" applyFont="1" applyFill="1"/>
    <xf numFmtId="41" fontId="5" fillId="50" borderId="0" xfId="896" applyFont="1" applyFill="1"/>
    <xf numFmtId="14" fontId="7" fillId="50" borderId="0" xfId="896" applyNumberFormat="1" applyFont="1" applyFill="1" applyAlignment="1">
      <alignment horizontal="center"/>
    </xf>
    <xf numFmtId="184" fontId="5" fillId="0" borderId="0" xfId="896" applyNumberFormat="1" applyFont="1"/>
    <xf numFmtId="10" fontId="5" fillId="0" borderId="0" xfId="897" applyNumberFormat="1" applyFont="1"/>
    <xf numFmtId="185" fontId="5" fillId="0" borderId="0" xfId="896" applyNumberFormat="1" applyFont="1"/>
    <xf numFmtId="167" fontId="5" fillId="0" borderId="0" xfId="897" applyNumberFormat="1" applyFont="1"/>
    <xf numFmtId="41" fontId="5" fillId="0" borderId="0" xfId="896" quotePrefix="1" applyNumberFormat="1" applyFont="1"/>
    <xf numFmtId="10" fontId="5" fillId="0" borderId="0" xfId="896" applyNumberFormat="1" applyFont="1"/>
    <xf numFmtId="41" fontId="5" fillId="0" borderId="0" xfId="896" quotePrefix="1" applyFont="1" applyAlignment="1">
      <alignment horizontal="left"/>
    </xf>
    <xf numFmtId="41" fontId="10" fillId="0" borderId="0" xfId="896" applyNumberFormat="1" applyFont="1"/>
    <xf numFmtId="3" fontId="5" fillId="0" borderId="0" xfId="898" applyNumberFormat="1" applyFont="1"/>
    <xf numFmtId="164" fontId="5" fillId="0" borderId="0" xfId="896" applyNumberFormat="1" applyFont="1"/>
    <xf numFmtId="38" fontId="5" fillId="0" borderId="0" xfId="896" applyNumberFormat="1" applyFont="1"/>
    <xf numFmtId="41" fontId="5" fillId="0" borderId="0" xfId="896" applyNumberFormat="1" applyFont="1" applyFill="1"/>
    <xf numFmtId="4" fontId="5" fillId="0" borderId="0" xfId="896" applyNumberFormat="1" applyFont="1"/>
    <xf numFmtId="41" fontId="79" fillId="27" borderId="37" xfId="896" applyFont="1" applyFill="1" applyBorder="1"/>
    <xf numFmtId="41" fontId="5" fillId="0" borderId="4" xfId="896" applyFont="1" applyBorder="1"/>
    <xf numFmtId="38" fontId="5" fillId="0" borderId="0" xfId="896" applyNumberFormat="1" applyFont="1" applyAlignment="1">
      <alignment horizontal="fill"/>
    </xf>
    <xf numFmtId="41" fontId="7" fillId="0" borderId="0" xfId="896" applyNumberFormat="1" applyFont="1"/>
    <xf numFmtId="41" fontId="7" fillId="0" borderId="0" xfId="0" applyNumberFormat="1" applyFont="1" applyFill="1" applyAlignment="1">
      <alignment horizontal="center"/>
    </xf>
    <xf numFmtId="180" fontId="78" fillId="0" borderId="0" xfId="896" applyNumberFormat="1" applyFont="1" applyAlignment="1">
      <alignment horizontal="left"/>
    </xf>
  </cellXfs>
  <cellStyles count="899">
    <cellStyle name="20% - Accent1 2" xfId="1"/>
    <cellStyle name="20% - Accent1 3" xfId="2"/>
    <cellStyle name="20% - Accent1 4" xfId="3"/>
    <cellStyle name="20% - Accent1 5" xfId="4"/>
    <cellStyle name="20% - Accent1 6" xfId="634"/>
    <cellStyle name="20% - Accent2 2" xfId="5"/>
    <cellStyle name="20% - Accent2 3" xfId="6"/>
    <cellStyle name="20% - Accent2 4" xfId="7"/>
    <cellStyle name="20% - Accent2 5" xfId="8"/>
    <cellStyle name="20% - Accent2 6" xfId="635"/>
    <cellStyle name="20% - Accent3 2" xfId="9"/>
    <cellStyle name="20% - Accent3 3" xfId="10"/>
    <cellStyle name="20% - Accent3 4" xfId="11"/>
    <cellStyle name="20% - Accent3 5" xfId="12"/>
    <cellStyle name="20% - Accent3 6" xfId="636"/>
    <cellStyle name="20% - Accent4 2" xfId="13"/>
    <cellStyle name="20% - Accent4 3" xfId="14"/>
    <cellStyle name="20% - Accent4 4" xfId="15"/>
    <cellStyle name="20% - Accent4 5" xfId="16"/>
    <cellStyle name="20% - Accent4 6" xfId="637"/>
    <cellStyle name="20% - Accent5 2" xfId="17"/>
    <cellStyle name="20% - Accent5 3" xfId="18"/>
    <cellStyle name="20% - Accent5 4" xfId="19"/>
    <cellStyle name="20% - Accent5 5" xfId="20"/>
    <cellStyle name="20% - Accent5 6" xfId="638"/>
    <cellStyle name="20% - Accent6 2" xfId="21"/>
    <cellStyle name="20% - Accent6 3" xfId="22"/>
    <cellStyle name="20% - Accent6 4" xfId="23"/>
    <cellStyle name="20% - Accent6 5" xfId="24"/>
    <cellStyle name="20% - Accent6 6" xfId="639"/>
    <cellStyle name="40% - Accent1 2" xfId="25"/>
    <cellStyle name="40% - Accent1 3" xfId="26"/>
    <cellStyle name="40% - Accent1 4" xfId="27"/>
    <cellStyle name="40% - Accent1 5" xfId="28"/>
    <cellStyle name="40% - Accent1 6" xfId="640"/>
    <cellStyle name="40% - Accent2 2" xfId="29"/>
    <cellStyle name="40% - Accent2 3" xfId="30"/>
    <cellStyle name="40% - Accent2 4" xfId="31"/>
    <cellStyle name="40% - Accent2 5" xfId="32"/>
    <cellStyle name="40% - Accent2 6" xfId="641"/>
    <cellStyle name="40% - Accent3 2" xfId="33"/>
    <cellStyle name="40% - Accent3 3" xfId="34"/>
    <cellStyle name="40% - Accent3 4" xfId="35"/>
    <cellStyle name="40% - Accent3 5" xfId="36"/>
    <cellStyle name="40% - Accent3 6" xfId="642"/>
    <cellStyle name="40% - Accent4 2" xfId="37"/>
    <cellStyle name="40% - Accent4 3" xfId="38"/>
    <cellStyle name="40% - Accent4 4" xfId="39"/>
    <cellStyle name="40% - Accent4 5" xfId="40"/>
    <cellStyle name="40% - Accent4 6" xfId="643"/>
    <cellStyle name="40% - Accent5 2" xfId="41"/>
    <cellStyle name="40% - Accent5 3" xfId="42"/>
    <cellStyle name="40% - Accent5 4" xfId="43"/>
    <cellStyle name="40% - Accent5 5" xfId="44"/>
    <cellStyle name="40% - Accent5 6" xfId="644"/>
    <cellStyle name="40% - Accent6 2" xfId="45"/>
    <cellStyle name="40% - Accent6 3" xfId="46"/>
    <cellStyle name="40% - Accent6 4" xfId="47"/>
    <cellStyle name="40% - Accent6 5" xfId="48"/>
    <cellStyle name="40% - Accent6 6" xfId="645"/>
    <cellStyle name="60% - Accent1 2" xfId="49"/>
    <cellStyle name="60% - Accent1 3" xfId="50"/>
    <cellStyle name="60% - Accent1 4" xfId="51"/>
    <cellStyle name="60% - Accent1 5" xfId="52"/>
    <cellStyle name="60% - Accent1 6" xfId="646"/>
    <cellStyle name="60% - Accent2 2" xfId="53"/>
    <cellStyle name="60% - Accent2 3" xfId="54"/>
    <cellStyle name="60% - Accent2 4" xfId="55"/>
    <cellStyle name="60% - Accent2 5" xfId="56"/>
    <cellStyle name="60% - Accent2 6" xfId="647"/>
    <cellStyle name="60% - Accent3 2" xfId="57"/>
    <cellStyle name="60% - Accent3 3" xfId="58"/>
    <cellStyle name="60% - Accent3 4" xfId="59"/>
    <cellStyle name="60% - Accent3 5" xfId="60"/>
    <cellStyle name="60% - Accent3 6" xfId="648"/>
    <cellStyle name="60% - Accent4 2" xfId="61"/>
    <cellStyle name="60% - Accent4 3" xfId="62"/>
    <cellStyle name="60% - Accent4 4" xfId="63"/>
    <cellStyle name="60% - Accent4 5" xfId="64"/>
    <cellStyle name="60% - Accent4 6" xfId="649"/>
    <cellStyle name="60% - Accent5 2" xfId="65"/>
    <cellStyle name="60% - Accent5 3" xfId="66"/>
    <cellStyle name="60% - Accent5 4" xfId="67"/>
    <cellStyle name="60% - Accent5 5" xfId="68"/>
    <cellStyle name="60% - Accent5 6" xfId="650"/>
    <cellStyle name="60% - Accent6 2" xfId="69"/>
    <cellStyle name="60% - Accent6 3" xfId="70"/>
    <cellStyle name="60% - Accent6 4" xfId="71"/>
    <cellStyle name="60% - Accent6 5" xfId="72"/>
    <cellStyle name="60% - Accent6 6" xfId="651"/>
    <cellStyle name="Accent1 2" xfId="73"/>
    <cellStyle name="Accent1 3" xfId="74"/>
    <cellStyle name="Accent1 4" xfId="75"/>
    <cellStyle name="Accent1 5" xfId="76"/>
    <cellStyle name="Accent1 6" xfId="652"/>
    <cellStyle name="Accent2 2" xfId="77"/>
    <cellStyle name="Accent2 3" xfId="78"/>
    <cellStyle name="Accent2 4" xfId="79"/>
    <cellStyle name="Accent2 5" xfId="80"/>
    <cellStyle name="Accent2 6" xfId="653"/>
    <cellStyle name="Accent3 2" xfId="81"/>
    <cellStyle name="Accent3 3" xfId="82"/>
    <cellStyle name="Accent3 4" xfId="83"/>
    <cellStyle name="Accent3 5" xfId="84"/>
    <cellStyle name="Accent3 6" xfId="654"/>
    <cellStyle name="Accent4 2" xfId="85"/>
    <cellStyle name="Accent4 3" xfId="86"/>
    <cellStyle name="Accent4 4" xfId="87"/>
    <cellStyle name="Accent4 5" xfId="88"/>
    <cellStyle name="Accent4 6" xfId="655"/>
    <cellStyle name="Accent5 2" xfId="89"/>
    <cellStyle name="Accent5 3" xfId="90"/>
    <cellStyle name="Accent5 4" xfId="91"/>
    <cellStyle name="Accent5 5" xfId="92"/>
    <cellStyle name="Accent5 6" xfId="656"/>
    <cellStyle name="Accent6 2" xfId="93"/>
    <cellStyle name="Accent6 3" xfId="94"/>
    <cellStyle name="Accent6 4" xfId="95"/>
    <cellStyle name="Accent6 5" xfId="96"/>
    <cellStyle name="Accent6 6" xfId="657"/>
    <cellStyle name="ArrayHeading" xfId="658"/>
    <cellStyle name="ArrayHeading 2" xfId="659"/>
    <cellStyle name="Bad 2" xfId="97"/>
    <cellStyle name="Bad 3" xfId="98"/>
    <cellStyle name="Bad 4" xfId="99"/>
    <cellStyle name="Bad 5" xfId="100"/>
    <cellStyle name="Bad 6" xfId="660"/>
    <cellStyle name="BetweenMacros" xfId="661"/>
    <cellStyle name="BetweenMacros 2" xfId="662"/>
    <cellStyle name="Calc Currency (0)" xfId="462"/>
    <cellStyle name="Calculation 2" xfId="101"/>
    <cellStyle name="Calculation 3" xfId="102"/>
    <cellStyle name="Calculation 4" xfId="103"/>
    <cellStyle name="Calculation 5" xfId="104"/>
    <cellStyle name="Calculation 6" xfId="663"/>
    <cellStyle name="Check Cell 2" xfId="105"/>
    <cellStyle name="Check Cell 3" xfId="106"/>
    <cellStyle name="Check Cell 4" xfId="107"/>
    <cellStyle name="Check Cell 5" xfId="108"/>
    <cellStyle name="Check Cell 6" xfId="664"/>
    <cellStyle name="Column total in dollars" xfId="109"/>
    <cellStyle name="Column total in dollars 2" xfId="665"/>
    <cellStyle name="Comma" xfId="110" builtinId="3"/>
    <cellStyle name="Comma  - Style1" xfId="111"/>
    <cellStyle name="Comma  - Style1 2" xfId="112"/>
    <cellStyle name="Comma  - Style1 2 2" xfId="770"/>
    <cellStyle name="Comma  - Style1 3" xfId="113"/>
    <cellStyle name="Comma  - Style1 3 2" xfId="771"/>
    <cellStyle name="Comma  - Style1 4" xfId="114"/>
    <cellStyle name="Comma  - Style1 4 2" xfId="772"/>
    <cellStyle name="Comma  - Style1 5" xfId="115"/>
    <cellStyle name="Comma  - Style1 5 2" xfId="773"/>
    <cellStyle name="Comma  - Style1 6" xfId="769"/>
    <cellStyle name="Comma  - Style2" xfId="116"/>
    <cellStyle name="Comma  - Style2 2" xfId="117"/>
    <cellStyle name="Comma  - Style2 2 2" xfId="775"/>
    <cellStyle name="Comma  - Style2 3" xfId="118"/>
    <cellStyle name="Comma  - Style2 3 2" xfId="776"/>
    <cellStyle name="Comma  - Style2 4" xfId="119"/>
    <cellStyle name="Comma  - Style2 4 2" xfId="777"/>
    <cellStyle name="Comma  - Style2 5" xfId="120"/>
    <cellStyle name="Comma  - Style2 5 2" xfId="778"/>
    <cellStyle name="Comma  - Style2 6" xfId="774"/>
    <cellStyle name="Comma  - Style3" xfId="121"/>
    <cellStyle name="Comma  - Style3 2" xfId="122"/>
    <cellStyle name="Comma  - Style3 2 2" xfId="780"/>
    <cellStyle name="Comma  - Style3 3" xfId="123"/>
    <cellStyle name="Comma  - Style3 3 2" xfId="781"/>
    <cellStyle name="Comma  - Style3 4" xfId="124"/>
    <cellStyle name="Comma  - Style3 4 2" xfId="782"/>
    <cellStyle name="Comma  - Style3 5" xfId="125"/>
    <cellStyle name="Comma  - Style3 5 2" xfId="783"/>
    <cellStyle name="Comma  - Style3 6" xfId="779"/>
    <cellStyle name="Comma  - Style4" xfId="126"/>
    <cellStyle name="Comma  - Style4 2" xfId="127"/>
    <cellStyle name="Comma  - Style4 2 2" xfId="785"/>
    <cellStyle name="Comma  - Style4 3" xfId="128"/>
    <cellStyle name="Comma  - Style4 3 2" xfId="786"/>
    <cellStyle name="Comma  - Style4 4" xfId="129"/>
    <cellStyle name="Comma  - Style4 4 2" xfId="787"/>
    <cellStyle name="Comma  - Style4 5" xfId="130"/>
    <cellStyle name="Comma  - Style4 5 2" xfId="788"/>
    <cellStyle name="Comma  - Style4 6" xfId="784"/>
    <cellStyle name="Comma  - Style5" xfId="131"/>
    <cellStyle name="Comma  - Style5 2" xfId="132"/>
    <cellStyle name="Comma  - Style5 2 2" xfId="790"/>
    <cellStyle name="Comma  - Style5 3" xfId="133"/>
    <cellStyle name="Comma  - Style5 3 2" xfId="791"/>
    <cellStyle name="Comma  - Style5 4" xfId="134"/>
    <cellStyle name="Comma  - Style5 4 2" xfId="792"/>
    <cellStyle name="Comma  - Style5 5" xfId="135"/>
    <cellStyle name="Comma  - Style5 5 2" xfId="793"/>
    <cellStyle name="Comma  - Style5 6" xfId="789"/>
    <cellStyle name="Comma  - Style6" xfId="136"/>
    <cellStyle name="Comma  - Style6 2" xfId="137"/>
    <cellStyle name="Comma  - Style6 2 2" xfId="795"/>
    <cellStyle name="Comma  - Style6 3" xfId="138"/>
    <cellStyle name="Comma  - Style6 3 2" xfId="796"/>
    <cellStyle name="Comma  - Style6 4" xfId="139"/>
    <cellStyle name="Comma  - Style6 4 2" xfId="797"/>
    <cellStyle name="Comma  - Style6 5" xfId="140"/>
    <cellStyle name="Comma  - Style6 5 2" xfId="798"/>
    <cellStyle name="Comma  - Style6 6" xfId="794"/>
    <cellStyle name="Comma  - Style7" xfId="141"/>
    <cellStyle name="Comma  - Style7 2" xfId="142"/>
    <cellStyle name="Comma  - Style7 2 2" xfId="800"/>
    <cellStyle name="Comma  - Style7 3" xfId="143"/>
    <cellStyle name="Comma  - Style7 3 2" xfId="801"/>
    <cellStyle name="Comma  - Style7 4" xfId="144"/>
    <cellStyle name="Comma  - Style7 4 2" xfId="802"/>
    <cellStyle name="Comma  - Style7 5" xfId="145"/>
    <cellStyle name="Comma  - Style7 5 2" xfId="803"/>
    <cellStyle name="Comma  - Style7 6" xfId="799"/>
    <cellStyle name="Comma  - Style8" xfId="146"/>
    <cellStyle name="Comma  - Style8 2" xfId="147"/>
    <cellStyle name="Comma  - Style8 2 2" xfId="805"/>
    <cellStyle name="Comma  - Style8 3" xfId="148"/>
    <cellStyle name="Comma  - Style8 3 2" xfId="806"/>
    <cellStyle name="Comma  - Style8 4" xfId="149"/>
    <cellStyle name="Comma  - Style8 4 2" xfId="807"/>
    <cellStyle name="Comma  - Style8 5" xfId="150"/>
    <cellStyle name="Comma  - Style8 5 2" xfId="808"/>
    <cellStyle name="Comma  - Style8 6" xfId="804"/>
    <cellStyle name="Comma (0)" xfId="151"/>
    <cellStyle name="Comma [0] 2" xfId="152"/>
    <cellStyle name="Comma [0] 2 2" xfId="809"/>
    <cellStyle name="Comma 10" xfId="153"/>
    <cellStyle name="Comma 10 2" xfId="463"/>
    <cellStyle name="Comma 11" xfId="154"/>
    <cellStyle name="Comma 11 2" xfId="464"/>
    <cellStyle name="Comma 12" xfId="465"/>
    <cellStyle name="Comma 13" xfId="155"/>
    <cellStyle name="Comma 13 2" xfId="810"/>
    <cellStyle name="Comma 14" xfId="466"/>
    <cellStyle name="Comma 15" xfId="467"/>
    <cellStyle name="Comma 16" xfId="468"/>
    <cellStyle name="Comma 16 2" xfId="885"/>
    <cellStyle name="Comma 17" xfId="469"/>
    <cellStyle name="Comma 18" xfId="454"/>
    <cellStyle name="Comma 2" xfId="156"/>
    <cellStyle name="Comma 2 10" xfId="470"/>
    <cellStyle name="Comma 2 11" xfId="811"/>
    <cellStyle name="Comma 2 2" xfId="157"/>
    <cellStyle name="Comma 2 2 2" xfId="457"/>
    <cellStyle name="Comma 2 2 2 2" xfId="471"/>
    <cellStyle name="Comma 2 3" xfId="158"/>
    <cellStyle name="Comma 2 3 2" xfId="812"/>
    <cellStyle name="Comma 2 4" xfId="472"/>
    <cellStyle name="Comma 2 5" xfId="473"/>
    <cellStyle name="Comma 2 6" xfId="474"/>
    <cellStyle name="Comma 2 7" xfId="475"/>
    <cellStyle name="Comma 2 8" xfId="476"/>
    <cellStyle name="Comma 2 9" xfId="477"/>
    <cellStyle name="Comma 3" xfId="159"/>
    <cellStyle name="Comma 3 2" xfId="478"/>
    <cellStyle name="Comma 3 3" xfId="479"/>
    <cellStyle name="Comma 4" xfId="160"/>
    <cellStyle name="Comma 4 2" xfId="480"/>
    <cellStyle name="Comma 4 3" xfId="481"/>
    <cellStyle name="Comma 4 3 2" xfId="482"/>
    <cellStyle name="Comma 4 4" xfId="813"/>
    <cellStyle name="Comma 5" xfId="161"/>
    <cellStyle name="Comma 5 2" xfId="483"/>
    <cellStyle name="Comma 5 3" xfId="666"/>
    <cellStyle name="Comma 5 4" xfId="898"/>
    <cellStyle name="Comma 6" xfId="460"/>
    <cellStyle name="Comma 6 2" xfId="484"/>
    <cellStyle name="Comma 6 3" xfId="485"/>
    <cellStyle name="Comma 6 4" xfId="632"/>
    <cellStyle name="Comma 6 4 2" xfId="892"/>
    <cellStyle name="Comma 6 5" xfId="883"/>
    <cellStyle name="Comma 7" xfId="162"/>
    <cellStyle name="Comma 7 2" xfId="486"/>
    <cellStyle name="Comma 7 2 2" xfId="487"/>
    <cellStyle name="Comma 7 3" xfId="814"/>
    <cellStyle name="Comma 8" xfId="163"/>
    <cellStyle name="Comma 8 2" xfId="815"/>
    <cellStyle name="Comma 9" xfId="164"/>
    <cellStyle name="Comma 9 2" xfId="816"/>
    <cellStyle name="Comma0" xfId="165"/>
    <cellStyle name="Comma0 - Style1" xfId="488"/>
    <cellStyle name="Comma0 - Style2" xfId="489"/>
    <cellStyle name="Comma0 - Style3" xfId="166"/>
    <cellStyle name="Comma0 - Style3 2" xfId="667"/>
    <cellStyle name="Comma0 - Style4" xfId="167"/>
    <cellStyle name="Comma0 - Style4 2" xfId="668"/>
    <cellStyle name="Comma0 2" xfId="168"/>
    <cellStyle name="Comma0 3" xfId="169"/>
    <cellStyle name="Comma0 3 2" xfId="817"/>
    <cellStyle name="Comma0 4" xfId="170"/>
    <cellStyle name="Comma0 4 2" xfId="818"/>
    <cellStyle name="Comma0 5" xfId="171"/>
    <cellStyle name="Comma0 5 2" xfId="819"/>
    <cellStyle name="Comma0 6" xfId="172"/>
    <cellStyle name="Comma0 6 2" xfId="820"/>
    <cellStyle name="Comma0 7" xfId="173"/>
    <cellStyle name="Comma0 7 2" xfId="821"/>
    <cellStyle name="Comma0 8" xfId="174"/>
    <cellStyle name="Comma0 8 2" xfId="822"/>
    <cellStyle name="Comma0_1st Qtr 2009 Global Insight Factors" xfId="490"/>
    <cellStyle name="Comma1 - Style1" xfId="175"/>
    <cellStyle name="Comma1 - Style1 2" xfId="669"/>
    <cellStyle name="Curren - Style2" xfId="491"/>
    <cellStyle name="Curren - Style3" xfId="492"/>
    <cellStyle name="Currency 2" xfId="493"/>
    <cellStyle name="Currency 2 2" xfId="494"/>
    <cellStyle name="Currency 2 2 2" xfId="495"/>
    <cellStyle name="Currency 2 3" xfId="496"/>
    <cellStyle name="Currency 3" xfId="497"/>
    <cellStyle name="Currency 3 2" xfId="498"/>
    <cellStyle name="Currency 3 3" xfId="886"/>
    <cellStyle name="Currency 4" xfId="499"/>
    <cellStyle name="Currency 4 2" xfId="887"/>
    <cellStyle name="Currency 5" xfId="500"/>
    <cellStyle name="Currency 5 2" xfId="888"/>
    <cellStyle name="Currency 6" xfId="501"/>
    <cellStyle name="Currency 7" xfId="502"/>
    <cellStyle name="Currency 8" xfId="670"/>
    <cellStyle name="Currency 9" xfId="671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3"/>
    <cellStyle name="Currency0 4" xfId="181"/>
    <cellStyle name="Currency0 4 2" xfId="824"/>
    <cellStyle name="Currency0 5" xfId="182"/>
    <cellStyle name="Currency0 5 2" xfId="825"/>
    <cellStyle name="Currency0 6" xfId="183"/>
    <cellStyle name="Currency0 6 2" xfId="826"/>
    <cellStyle name="Currency0 7" xfId="184"/>
    <cellStyle name="Currency0 7 2" xfId="827"/>
    <cellStyle name="Currency0 8" xfId="185"/>
    <cellStyle name="Currency0 8 2" xfId="828"/>
    <cellStyle name="Date" xfId="186"/>
    <cellStyle name="Date - Style1" xfId="503"/>
    <cellStyle name="Date - Style3" xfId="187"/>
    <cellStyle name="Date - Style3 2" xfId="672"/>
    <cellStyle name="Date 10" xfId="673"/>
    <cellStyle name="Date 11" xfId="674"/>
    <cellStyle name="Date 12" xfId="675"/>
    <cellStyle name="Date 13" xfId="676"/>
    <cellStyle name="Date 14" xfId="677"/>
    <cellStyle name="Date 2" xfId="188"/>
    <cellStyle name="Date 3" xfId="189"/>
    <cellStyle name="Date 3 2" xfId="829"/>
    <cellStyle name="Date 4" xfId="190"/>
    <cellStyle name="Date 4 2" xfId="830"/>
    <cellStyle name="Date 5" xfId="191"/>
    <cellStyle name="Date 5 2" xfId="831"/>
    <cellStyle name="Date 6" xfId="192"/>
    <cellStyle name="Date 6 2" xfId="832"/>
    <cellStyle name="Date 7" xfId="193"/>
    <cellStyle name="Date 7 2" xfId="833"/>
    <cellStyle name="Date 8" xfId="194"/>
    <cellStyle name="Date 8 2" xfId="834"/>
    <cellStyle name="Date 9" xfId="678"/>
    <cellStyle name="Date_1st Qtr 2009 Global Insight Factors" xfId="504"/>
    <cellStyle name="Explanatory Text 2" xfId="195"/>
    <cellStyle name="Explanatory Text 3" xfId="196"/>
    <cellStyle name="Explanatory Text 4" xfId="197"/>
    <cellStyle name="Explanatory Text 5" xfId="198"/>
    <cellStyle name="Explanatory Text 6" xfId="679"/>
    <cellStyle name="Fixed" xfId="199"/>
    <cellStyle name="Fixed 2" xfId="200"/>
    <cellStyle name="Fixed 3" xfId="201"/>
    <cellStyle name="Fixed 3 2" xfId="835"/>
    <cellStyle name="Fixed 4" xfId="202"/>
    <cellStyle name="Fixed 4 2" xfId="836"/>
    <cellStyle name="Fixed 5" xfId="203"/>
    <cellStyle name="Fixed 5 2" xfId="837"/>
    <cellStyle name="Fixed 6" xfId="204"/>
    <cellStyle name="Fixed 6 2" xfId="838"/>
    <cellStyle name="Fixed 7" xfId="205"/>
    <cellStyle name="Fixed 7 2" xfId="839"/>
    <cellStyle name="Fixed 8" xfId="206"/>
    <cellStyle name="Fixed 8 2" xfId="840"/>
    <cellStyle name="Fixed2 - Style2" xfId="505"/>
    <cellStyle name="General" xfId="207"/>
    <cellStyle name="Good 2" xfId="208"/>
    <cellStyle name="Good 3" xfId="209"/>
    <cellStyle name="Good 4" xfId="210"/>
    <cellStyle name="Good 5" xfId="211"/>
    <cellStyle name="Good 6" xfId="680"/>
    <cellStyle name="Grey" xfId="212"/>
    <cellStyle name="Grey 2" xfId="506"/>
    <cellStyle name="Grey 3" xfId="681"/>
    <cellStyle name="header" xfId="213"/>
    <cellStyle name="header 2" xfId="682"/>
    <cellStyle name="Header1" xfId="214"/>
    <cellStyle name="Header1 2" xfId="683"/>
    <cellStyle name="Header2" xfId="215"/>
    <cellStyle name="Header2 2" xfId="684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5"/>
    <cellStyle name="Heading 4 2" xfId="242"/>
    <cellStyle name="Heading 4 3" xfId="243"/>
    <cellStyle name="Heading 4 4" xfId="244"/>
    <cellStyle name="Heading 4 5" xfId="245"/>
    <cellStyle name="Heading 4 6" xfId="686"/>
    <cellStyle name="Heading1" xfId="507"/>
    <cellStyle name="Heading2" xfId="508"/>
    <cellStyle name="Hyperlink 2" xfId="687"/>
    <cellStyle name="Hyperlink 2 2" xfId="688"/>
    <cellStyle name="Hyperlink 2 3" xfId="689"/>
    <cellStyle name="Hyperlink 3" xfId="690"/>
    <cellStyle name="Hyperlink 4" xfId="691"/>
    <cellStyle name="Input [yellow]" xfId="246"/>
    <cellStyle name="Input [yellow] 2" xfId="509"/>
    <cellStyle name="Input [yellow] 3" xfId="692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10"/>
    <cellStyle name="Inst. Subheading" xfId="511"/>
    <cellStyle name="Linked Cell 2" xfId="258"/>
    <cellStyle name="Linked Cell 3" xfId="259"/>
    <cellStyle name="Linked Cell 4" xfId="260"/>
    <cellStyle name="Linked Cell 5" xfId="261"/>
    <cellStyle name="Linked Cell 6" xfId="693"/>
    <cellStyle name="Macro" xfId="694"/>
    <cellStyle name="Macro 2" xfId="695"/>
    <cellStyle name="macro descr" xfId="696"/>
    <cellStyle name="macro descr 2" xfId="697"/>
    <cellStyle name="Macro_Comments" xfId="698"/>
    <cellStyle name="MacroText" xfId="699"/>
    <cellStyle name="MacroText 2" xfId="700"/>
    <cellStyle name="Marathon" xfId="262"/>
    <cellStyle name="Marathon 2" xfId="263"/>
    <cellStyle name="Marathon 2 2" xfId="842"/>
    <cellStyle name="Marathon 3" xfId="841"/>
    <cellStyle name="MCP" xfId="264"/>
    <cellStyle name="Neutral 2" xfId="265"/>
    <cellStyle name="Neutral 3" xfId="266"/>
    <cellStyle name="Neutral 4" xfId="267"/>
    <cellStyle name="Neutral 5" xfId="268"/>
    <cellStyle name="Neutral 6" xfId="701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2"/>
    <cellStyle name="noninput 3" xfId="513"/>
    <cellStyle name="Normal" xfId="0" builtinId="0"/>
    <cellStyle name="Normal - Style1" xfId="278"/>
    <cellStyle name="Normal - Style1 2" xfId="279"/>
    <cellStyle name="Normal - Style1 2 2" xfId="844"/>
    <cellStyle name="Normal - Style1 3" xfId="280"/>
    <cellStyle name="Normal - Style1 3 2" xfId="845"/>
    <cellStyle name="Normal - Style1 4" xfId="281"/>
    <cellStyle name="Normal - Style1 4 2" xfId="846"/>
    <cellStyle name="Normal - Style1 5" xfId="282"/>
    <cellStyle name="Normal - Style1 5 2" xfId="847"/>
    <cellStyle name="Normal - Style1 6" xfId="843"/>
    <cellStyle name="Normal - Style2" xfId="514"/>
    <cellStyle name="Normal - Style3" xfId="515"/>
    <cellStyle name="Normal - Style4" xfId="516"/>
    <cellStyle name="Normal - Style5" xfId="517"/>
    <cellStyle name="Normal - Style6" xfId="518"/>
    <cellStyle name="Normal - Style7" xfId="519"/>
    <cellStyle name="Normal - Style8" xfId="520"/>
    <cellStyle name="Normal 10" xfId="283"/>
    <cellStyle name="Normal 10 2" xfId="521"/>
    <cellStyle name="Normal 11" xfId="453"/>
    <cellStyle name="Normal 117" xfId="702"/>
    <cellStyle name="Normal 12" xfId="522"/>
    <cellStyle name="Normal 122" xfId="703"/>
    <cellStyle name="Normal 13" xfId="523"/>
    <cellStyle name="Normal 14" xfId="524"/>
    <cellStyle name="Normal 15" xfId="525"/>
    <cellStyle name="Normal 16" xfId="526"/>
    <cellStyle name="Normal 17" xfId="704"/>
    <cellStyle name="Normal 18" xfId="527"/>
    <cellStyle name="Normal 19" xfId="528"/>
    <cellStyle name="Normal 2" xfId="284"/>
    <cellStyle name="Normal 2 10" xfId="529"/>
    <cellStyle name="Normal 2 11" xfId="530"/>
    <cellStyle name="Normal 2 2" xfId="285"/>
    <cellStyle name="Normal 2 2 2" xfId="531"/>
    <cellStyle name="Normal 2 2 2 2" xfId="532"/>
    <cellStyle name="Normal 2 3" xfId="286"/>
    <cellStyle name="Normal 2 3 2" xfId="533"/>
    <cellStyle name="Normal 2 3 2 2" xfId="705"/>
    <cellStyle name="Normal 2 3 3" xfId="706"/>
    <cellStyle name="Normal 2 3 4" xfId="707"/>
    <cellStyle name="Normal 2 3 5" xfId="708"/>
    <cellStyle name="Normal 2 3 6" xfId="709"/>
    <cellStyle name="Normal 2 3 7" xfId="458"/>
    <cellStyle name="Normal 2 4" xfId="534"/>
    <cellStyle name="Normal 2 5" xfId="535"/>
    <cellStyle name="Normal 2 5 2" xfId="710"/>
    <cellStyle name="Normal 2 6" xfId="536"/>
    <cellStyle name="Normal 2 7" xfId="537"/>
    <cellStyle name="Normal 2 8" xfId="538"/>
    <cellStyle name="Normal 2 9" xfId="539"/>
    <cellStyle name="Normal 2_04-2009 MEHC Cross Charge" xfId="540"/>
    <cellStyle name="Normal 20" xfId="711"/>
    <cellStyle name="Normal 21" xfId="712"/>
    <cellStyle name="Normal 22" xfId="541"/>
    <cellStyle name="Normal 23" xfId="713"/>
    <cellStyle name="Normal 24" xfId="714"/>
    <cellStyle name="Normal 25" xfId="715"/>
    <cellStyle name="Normal 26" xfId="716"/>
    <cellStyle name="Normal 27" xfId="717"/>
    <cellStyle name="Normal 28" xfId="718"/>
    <cellStyle name="Normal 29" xfId="719"/>
    <cellStyle name="Normal 29 2" xfId="894"/>
    <cellStyle name="Normal 3" xfId="287"/>
    <cellStyle name="Normal 3 2" xfId="542"/>
    <cellStyle name="Normal 3 2 2" xfId="720"/>
    <cellStyle name="Normal 3 2 2 2" xfId="721"/>
    <cellStyle name="Normal 3 2 3" xfId="722"/>
    <cellStyle name="Normal 3 2 4" xfId="723"/>
    <cellStyle name="Normal 3 2 5" xfId="724"/>
    <cellStyle name="Normal 3 2 6" xfId="725"/>
    <cellStyle name="Normal 3 3" xfId="543"/>
    <cellStyle name="Normal 3 4" xfId="726"/>
    <cellStyle name="Normal 3 5" xfId="727"/>
    <cellStyle name="Normal 3 5 2" xfId="728"/>
    <cellStyle name="Normal 3 6" xfId="729"/>
    <cellStyle name="Normal 3 7" xfId="730"/>
    <cellStyle name="Normal 3 8" xfId="731"/>
    <cellStyle name="Normal 4" xfId="288"/>
    <cellStyle name="Normal 4 2" xfId="289"/>
    <cellStyle name="Normal 4 2 2" xfId="544"/>
    <cellStyle name="Normal 4 2 3" xfId="848"/>
    <cellStyle name="Normal 4 3" xfId="545"/>
    <cellStyle name="Normal 4 4" xfId="732"/>
    <cellStyle name="Normal 4 5" xfId="733"/>
    <cellStyle name="Normal 4 6" xfId="734"/>
    <cellStyle name="Normal 4 7" xfId="735"/>
    <cellStyle name="Normal 4 8" xfId="896"/>
    <cellStyle name="Normal 5" xfId="459"/>
    <cellStyle name="Normal 5 2" xfId="546"/>
    <cellStyle name="Normal 5 3" xfId="631"/>
    <cellStyle name="Normal 5 3 2" xfId="891"/>
    <cellStyle name="Normal 5 4" xfId="882"/>
    <cellStyle name="Normal 6" xfId="290"/>
    <cellStyle name="Normal 6 2" xfId="547"/>
    <cellStyle name="Normal 6 3" xfId="548"/>
    <cellStyle name="Normal 6 4" xfId="549"/>
    <cellStyle name="Normal 6 4 2" xfId="550"/>
    <cellStyle name="Normal 6 5" xfId="849"/>
    <cellStyle name="Normal 7" xfId="291"/>
    <cellStyle name="Normal 7 2" xfId="551"/>
    <cellStyle name="Normal 7 2 2" xfId="736"/>
    <cellStyle name="Normal 8" xfId="552"/>
    <cellStyle name="Normal 8 2" xfId="553"/>
    <cellStyle name="Normal 8 3" xfId="889"/>
    <cellStyle name="Normal 9" xfId="554"/>
    <cellStyle name="Normal 9 2" xfId="737"/>
    <cellStyle name="Normal(0)" xfId="292"/>
    <cellStyle name="Normal_Adjustment Template" xfId="293"/>
    <cellStyle name="Normal_Allocation Table_UT GRC - June 2009 Actual_2008 07 06" xfId="895"/>
    <cellStyle name="Normal_SO2 adjustment" xfId="294"/>
    <cellStyle name="Note 2" xfId="295"/>
    <cellStyle name="Note 2 2" xfId="850"/>
    <cellStyle name="Note 3" xfId="296"/>
    <cellStyle name="Note 3 2" xfId="851"/>
    <cellStyle name="Note 4" xfId="297"/>
    <cellStyle name="Note 4 2" xfId="852"/>
    <cellStyle name="Note 5" xfId="298"/>
    <cellStyle name="Note 5 2" xfId="853"/>
    <cellStyle name="Note 6" xfId="738"/>
    <cellStyle name="Number" xfId="299"/>
    <cellStyle name="Number 10" xfId="739"/>
    <cellStyle name="Number 11" xfId="740"/>
    <cellStyle name="Number 12" xfId="741"/>
    <cellStyle name="Number 13" xfId="742"/>
    <cellStyle name="Number 14" xfId="743"/>
    <cellStyle name="Number 2" xfId="300"/>
    <cellStyle name="Number 3" xfId="301"/>
    <cellStyle name="Number 4" xfId="744"/>
    <cellStyle name="Number 5" xfId="745"/>
    <cellStyle name="Number 6" xfId="746"/>
    <cellStyle name="Number 7" xfId="747"/>
    <cellStyle name="Number 8" xfId="748"/>
    <cellStyle name="Number 9" xfId="749"/>
    <cellStyle name="Output 2" xfId="302"/>
    <cellStyle name="Output 3" xfId="303"/>
    <cellStyle name="Output 4" xfId="304"/>
    <cellStyle name="Output 5" xfId="305"/>
    <cellStyle name="Output 6" xfId="750"/>
    <cellStyle name="Output Amounts" xfId="555"/>
    <cellStyle name="Output Line Items" xfId="556"/>
    <cellStyle name="Password" xfId="306"/>
    <cellStyle name="Percen - Style1" xfId="307"/>
    <cellStyle name="Percen - Style1 2" xfId="751"/>
    <cellStyle name="Percen - Style2" xfId="308"/>
    <cellStyle name="Percen - Style2 2" xfId="752"/>
    <cellStyle name="Percent" xfId="309" builtinId="5"/>
    <cellStyle name="Percent [2]" xfId="310"/>
    <cellStyle name="Percent [2] 2" xfId="311"/>
    <cellStyle name="Percent [2] 2 2" xfId="855"/>
    <cellStyle name="Percent [2] 3" xfId="312"/>
    <cellStyle name="Percent [2] 3 2" xfId="856"/>
    <cellStyle name="Percent [2] 4" xfId="313"/>
    <cellStyle name="Percent [2] 4 2" xfId="857"/>
    <cellStyle name="Percent [2] 5" xfId="314"/>
    <cellStyle name="Percent [2] 5 2" xfId="858"/>
    <cellStyle name="Percent [2] 6" xfId="854"/>
    <cellStyle name="Percent 10" xfId="315"/>
    <cellStyle name="Percent 10 2" xfId="859"/>
    <cellStyle name="Percent 11" xfId="557"/>
    <cellStyle name="Percent 2" xfId="455"/>
    <cellStyle name="Percent 2 2" xfId="316"/>
    <cellStyle name="Percent 2 2 2" xfId="558"/>
    <cellStyle name="Percent 2 3" xfId="317"/>
    <cellStyle name="Percent 3" xfId="452"/>
    <cellStyle name="Percent 3 10" xfId="753"/>
    <cellStyle name="Percent 3 11" xfId="897"/>
    <cellStyle name="Percent 3 2" xfId="456"/>
    <cellStyle name="Percent 3 2 2" xfId="881"/>
    <cellStyle name="Percent 3 3" xfId="559"/>
    <cellStyle name="Percent 3 4" xfId="560"/>
    <cellStyle name="Percent 3 5" xfId="561"/>
    <cellStyle name="Percent 3 6" xfId="562"/>
    <cellStyle name="Percent 3 7" xfId="563"/>
    <cellStyle name="Percent 3 8" xfId="564"/>
    <cellStyle name="Percent 3 9" xfId="565"/>
    <cellStyle name="Percent 4" xfId="461"/>
    <cellStyle name="Percent 4 2" xfId="566"/>
    <cellStyle name="Percent 4 3" xfId="633"/>
    <cellStyle name="Percent 4 3 2" xfId="893"/>
    <cellStyle name="Percent 4 4" xfId="884"/>
    <cellStyle name="Percent 5" xfId="567"/>
    <cellStyle name="Percent 5 2" xfId="568"/>
    <cellStyle name="Percent 5 3" xfId="890"/>
    <cellStyle name="Percent 6" xfId="569"/>
    <cellStyle name="Percent 6 2" xfId="570"/>
    <cellStyle name="Percent 6 3" xfId="571"/>
    <cellStyle name="Percent 7" xfId="572"/>
    <cellStyle name="Percent(0)" xfId="318"/>
    <cellStyle name="SAPBEXaggData" xfId="319"/>
    <cellStyle name="SAPBEXaggDataEmph" xfId="320"/>
    <cellStyle name="SAPBEXaggItem" xfId="321"/>
    <cellStyle name="SAPBEXaggItem 2" xfId="322"/>
    <cellStyle name="SAPBEXaggItem 3" xfId="323"/>
    <cellStyle name="SAPBEXaggItem 4" xfId="573"/>
    <cellStyle name="SAPBEXaggItem 5" xfId="574"/>
    <cellStyle name="SAPBEXaggItem 6" xfId="575"/>
    <cellStyle name="SAPBEXaggItem_Copy of xSAPtemp5457" xfId="576"/>
    <cellStyle name="SAPBEXaggItemX" xfId="324"/>
    <cellStyle name="SAPBEXchaText" xfId="325"/>
    <cellStyle name="SAPBEXchaText 10" xfId="326"/>
    <cellStyle name="SAPBEXchaText 11" xfId="327"/>
    <cellStyle name="SAPBEXchaText 2" xfId="328"/>
    <cellStyle name="SAPBEXchaText 3" xfId="329"/>
    <cellStyle name="SAPBEXchaText 4" xfId="330"/>
    <cellStyle name="SAPBEXchaText 5" xfId="331"/>
    <cellStyle name="SAPBEXchaText 6" xfId="332"/>
    <cellStyle name="SAPBEXchaText 7" xfId="333"/>
    <cellStyle name="SAPBEXchaText 8" xfId="334"/>
    <cellStyle name="SAPBEXchaText 9" xfId="335"/>
    <cellStyle name="SAPBEXchaText_BW Prepaid - Actuals" xfId="336"/>
    <cellStyle name="SAPBEXexcBad7" xfId="337"/>
    <cellStyle name="SAPBEXexcBad8" xfId="338"/>
    <cellStyle name="SAPBEXexcBad9" xfId="339"/>
    <cellStyle name="SAPBEXexcCritical4" xfId="340"/>
    <cellStyle name="SAPBEXexcCritical5" xfId="341"/>
    <cellStyle name="SAPBEXexcCritical6" xfId="342"/>
    <cellStyle name="SAPBEXexcGood1" xfId="343"/>
    <cellStyle name="SAPBEXexcGood2" xfId="344"/>
    <cellStyle name="SAPBEXexcGood3" xfId="345"/>
    <cellStyle name="SAPBEXfilterDrill" xfId="346"/>
    <cellStyle name="SAPBEXfilterItem" xfId="347"/>
    <cellStyle name="SAPBEXfilterItem 2" xfId="348"/>
    <cellStyle name="SAPBEXfilterItem 2 2" xfId="349"/>
    <cellStyle name="SAPBEXfilterItem 3" xfId="350"/>
    <cellStyle name="SAPBEXfilterItem 4" xfId="577"/>
    <cellStyle name="SAPBEXfilterItem 5" xfId="578"/>
    <cellStyle name="SAPBEXfilterItem 6" xfId="579"/>
    <cellStyle name="SAPBEXfilterItem_BW Prepaid - Actuals" xfId="351"/>
    <cellStyle name="SAPBEXfilterText" xfId="352"/>
    <cellStyle name="SAPBEXfilterText 2" xfId="580"/>
    <cellStyle name="SAPBEXfilterText 3" xfId="581"/>
    <cellStyle name="SAPBEXfilterText 4" xfId="582"/>
    <cellStyle name="SAPBEXfilterText 5" xfId="583"/>
    <cellStyle name="SAPBEXformats" xfId="353"/>
    <cellStyle name="SAPBEXheaderItem" xfId="354"/>
    <cellStyle name="SAPBEXheaderItem 2" xfId="355"/>
    <cellStyle name="SAPBEXheaderItem 2 2" xfId="356"/>
    <cellStyle name="SAPBEXheaderItem 3" xfId="357"/>
    <cellStyle name="SAPBEXheaderItem 4" xfId="584"/>
    <cellStyle name="SAPBEXheaderItem 5" xfId="585"/>
    <cellStyle name="SAPBEXheaderItem 6" xfId="586"/>
    <cellStyle name="SAPBEXheaderItem 7" xfId="587"/>
    <cellStyle name="SAPBEXheaderItem_BW Prepaid - Actuals" xfId="358"/>
    <cellStyle name="SAPBEXheaderText" xfId="359"/>
    <cellStyle name="SAPBEXheaderText 2" xfId="360"/>
    <cellStyle name="SAPBEXheaderText 2 2" xfId="361"/>
    <cellStyle name="SAPBEXheaderText 3" xfId="362"/>
    <cellStyle name="SAPBEXheaderText 4" xfId="588"/>
    <cellStyle name="SAPBEXheaderText 5" xfId="589"/>
    <cellStyle name="SAPBEXheaderText 6" xfId="590"/>
    <cellStyle name="SAPBEXheaderText 7" xfId="591"/>
    <cellStyle name="SAPBEXheaderText_BW Prepaid - Actuals" xfId="363"/>
    <cellStyle name="SAPBEXHLevel0" xfId="364"/>
    <cellStyle name="SAPBEXHLevel0 2" xfId="365"/>
    <cellStyle name="SAPBEXHLevel0 2 2" xfId="860"/>
    <cellStyle name="SAPBEXHLevel0 3" xfId="592"/>
    <cellStyle name="SAPBEXHLevel0 4" xfId="593"/>
    <cellStyle name="SAPBEXHLevel0 5" xfId="594"/>
    <cellStyle name="SAPBEXHLevel0 6" xfId="754"/>
    <cellStyle name="SAPBEXHLevel0X" xfId="366"/>
    <cellStyle name="SAPBEXHLevel0X 2" xfId="367"/>
    <cellStyle name="SAPBEXHLevel0X 2 2" xfId="861"/>
    <cellStyle name="SAPBEXHLevel0X 3" xfId="595"/>
    <cellStyle name="SAPBEXHLevel0X 4" xfId="596"/>
    <cellStyle name="SAPBEXHLevel0X 5" xfId="597"/>
    <cellStyle name="SAPBEXHLevel0X 6" xfId="755"/>
    <cellStyle name="SAPBEXHLevel1" xfId="368"/>
    <cellStyle name="SAPBEXHLevel1 2" xfId="369"/>
    <cellStyle name="SAPBEXHLevel1 2 2" xfId="862"/>
    <cellStyle name="SAPBEXHLevel1 3" xfId="598"/>
    <cellStyle name="SAPBEXHLevel1 4" xfId="599"/>
    <cellStyle name="SAPBEXHLevel1 5" xfId="600"/>
    <cellStyle name="SAPBEXHLevel1 6" xfId="756"/>
    <cellStyle name="SAPBEXHLevel1X" xfId="370"/>
    <cellStyle name="SAPBEXHLevel1X 2" xfId="371"/>
    <cellStyle name="SAPBEXHLevel1X 2 2" xfId="863"/>
    <cellStyle name="SAPBEXHLevel1X 3" xfId="601"/>
    <cellStyle name="SAPBEXHLevel1X 4" xfId="602"/>
    <cellStyle name="SAPBEXHLevel1X 5" xfId="603"/>
    <cellStyle name="SAPBEXHLevel1X 6" xfId="757"/>
    <cellStyle name="SAPBEXHLevel2" xfId="372"/>
    <cellStyle name="SAPBEXHLevel2 2" xfId="373"/>
    <cellStyle name="SAPBEXHLevel2 2 2" xfId="864"/>
    <cellStyle name="SAPBEXHLevel2 3" xfId="604"/>
    <cellStyle name="SAPBEXHLevel2 4" xfId="605"/>
    <cellStyle name="SAPBEXHLevel2 5" xfId="606"/>
    <cellStyle name="SAPBEXHLevel2 6" xfId="758"/>
    <cellStyle name="SAPBEXHLevel2X" xfId="374"/>
    <cellStyle name="SAPBEXHLevel2X 2" xfId="375"/>
    <cellStyle name="SAPBEXHLevel2X 2 2" xfId="865"/>
    <cellStyle name="SAPBEXHLevel2X 3" xfId="607"/>
    <cellStyle name="SAPBEXHLevel2X 4" xfId="608"/>
    <cellStyle name="SAPBEXHLevel2X 5" xfId="609"/>
    <cellStyle name="SAPBEXHLevel2X 6" xfId="759"/>
    <cellStyle name="SAPBEXHLevel3" xfId="376"/>
    <cellStyle name="SAPBEXHLevel3 2" xfId="377"/>
    <cellStyle name="SAPBEXHLevel3 2 2" xfId="866"/>
    <cellStyle name="SAPBEXHLevel3 3" xfId="610"/>
    <cellStyle name="SAPBEXHLevel3 4" xfId="611"/>
    <cellStyle name="SAPBEXHLevel3 5" xfId="612"/>
    <cellStyle name="SAPBEXHLevel3 6" xfId="760"/>
    <cellStyle name="SAPBEXHLevel3X" xfId="378"/>
    <cellStyle name="SAPBEXHLevel3X 2" xfId="379"/>
    <cellStyle name="SAPBEXHLevel3X 2 2" xfId="867"/>
    <cellStyle name="SAPBEXHLevel3X 3" xfId="613"/>
    <cellStyle name="SAPBEXHLevel3X 4" xfId="614"/>
    <cellStyle name="SAPBEXHLevel3X 5" xfId="615"/>
    <cellStyle name="SAPBEXHLevel3X 6" xfId="761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 2" xfId="385"/>
    <cellStyle name="SAPBEXstdData 2 2" xfId="386"/>
    <cellStyle name="SAPBEXstdData 3" xfId="387"/>
    <cellStyle name="SAPBEXstdData 4" xfId="616"/>
    <cellStyle name="SAPBEXstdData 5" xfId="617"/>
    <cellStyle name="SAPBEXstdData 6" xfId="618"/>
    <cellStyle name="SAPBEXstdData_BW Prepaid - Actuals" xfId="388"/>
    <cellStyle name="SAPBEXstdDataEmph" xfId="389"/>
    <cellStyle name="SAPBEXstdItem" xfId="390"/>
    <cellStyle name="SAPBEXstdItem 10" xfId="391"/>
    <cellStyle name="SAPBEXstdItem 2" xfId="392"/>
    <cellStyle name="SAPBEXstdItem 3" xfId="393"/>
    <cellStyle name="SAPBEXstdItem 4" xfId="394"/>
    <cellStyle name="SAPBEXstdItem 5" xfId="395"/>
    <cellStyle name="SAPBEXstdItem 6" xfId="396"/>
    <cellStyle name="SAPBEXstdItem 7" xfId="397"/>
    <cellStyle name="SAPBEXstdItem 8" xfId="398"/>
    <cellStyle name="SAPBEXstdItem 9" xfId="399"/>
    <cellStyle name="SAPBEXstdItem_BW Prepaid - Actuals" xfId="400"/>
    <cellStyle name="SAPBEXstdItemX" xfId="401"/>
    <cellStyle name="SAPBEXstdItemX 2" xfId="402"/>
    <cellStyle name="SAPBEXstdItemX 2 2" xfId="403"/>
    <cellStyle name="SAPBEXstdItemX 3" xfId="404"/>
    <cellStyle name="SAPBEXstdItemX 4" xfId="619"/>
    <cellStyle name="SAPBEXstdItemX 5" xfId="620"/>
    <cellStyle name="SAPBEXstdItemX 6" xfId="621"/>
    <cellStyle name="SAPBEXstdItemX_BW Prepaid - Actuals" xfId="405"/>
    <cellStyle name="SAPBEXtitle" xfId="406"/>
    <cellStyle name="SAPBEXtitle 2" xfId="407"/>
    <cellStyle name="SAPBEXtitle 3" xfId="408"/>
    <cellStyle name="SAPBEXtitle 4" xfId="409"/>
    <cellStyle name="SAPBEXtitle 5" xfId="410"/>
    <cellStyle name="SAPBEXtitle 6" xfId="411"/>
    <cellStyle name="SAPBEXtitle 7" xfId="412"/>
    <cellStyle name="SAPBEXtitle 8" xfId="413"/>
    <cellStyle name="SAPBEXtitle_BW Extract" xfId="414"/>
    <cellStyle name="SAPBEXundefined" xfId="415"/>
    <cellStyle name="Shade" xfId="416"/>
    <cellStyle name="Special" xfId="417"/>
    <cellStyle name="Special 2" xfId="418"/>
    <cellStyle name="Special 2 2" xfId="869"/>
    <cellStyle name="Special 3" xfId="419"/>
    <cellStyle name="Special 3 2" xfId="870"/>
    <cellStyle name="Special 4" xfId="420"/>
    <cellStyle name="Special 4 2" xfId="871"/>
    <cellStyle name="Special 5" xfId="868"/>
    <cellStyle name="STYL1 - Style1" xfId="622"/>
    <cellStyle name="Style 1" xfId="421"/>
    <cellStyle name="Style 1 2" xfId="422"/>
    <cellStyle name="Style 1 2 2" xfId="873"/>
    <cellStyle name="Style 1 3" xfId="872"/>
    <cellStyle name="Style 27" xfId="423"/>
    <cellStyle name="Style 27 2" xfId="874"/>
    <cellStyle name="Style 35" xfId="424"/>
    <cellStyle name="Style 35 2" xfId="623"/>
    <cellStyle name="Style 36" xfId="425"/>
    <cellStyle name="Style 36 2" xfId="624"/>
    <cellStyle name="Text" xfId="625"/>
    <cellStyle name="Title 2" xfId="426"/>
    <cellStyle name="Title 3" xfId="427"/>
    <cellStyle name="Title 4" xfId="428"/>
    <cellStyle name="Title 5" xfId="429"/>
    <cellStyle name="Title 6" xfId="762"/>
    <cellStyle name="Titles" xfId="430"/>
    <cellStyle name="Titles 2" xfId="626"/>
    <cellStyle name="Total 10" xfId="431"/>
    <cellStyle name="Total 10 2" xfId="875"/>
    <cellStyle name="Total 11" xfId="432"/>
    <cellStyle name="Total 11 2" xfId="876"/>
    <cellStyle name="Total 12" xfId="433"/>
    <cellStyle name="Total 12 2" xfId="877"/>
    <cellStyle name="Total 2" xfId="434"/>
    <cellStyle name="Total 3" xfId="435"/>
    <cellStyle name="Total 4" xfId="436"/>
    <cellStyle name="Total 5" xfId="437"/>
    <cellStyle name="Total 5 2" xfId="878"/>
    <cellStyle name="Total 6" xfId="438"/>
    <cellStyle name="Total 6 2" xfId="879"/>
    <cellStyle name="Total 7" xfId="439"/>
    <cellStyle name="Total 7 2" xfId="880"/>
    <cellStyle name="Total 8" xfId="440"/>
    <cellStyle name="Total 9" xfId="441"/>
    <cellStyle name="Total2 - Style2" xfId="442"/>
    <cellStyle name="Total2 - Style2 2" xfId="763"/>
    <cellStyle name="TRANSMISSION RELIABILITY PORTION OF PROJECT" xfId="443"/>
    <cellStyle name="Underl - Style4" xfId="444"/>
    <cellStyle name="Underl - Style4 2" xfId="764"/>
    <cellStyle name="UNLocked" xfId="627"/>
    <cellStyle name="Unprot" xfId="445"/>
    <cellStyle name="Unprot 2" xfId="628"/>
    <cellStyle name="Unprot 3" xfId="629"/>
    <cellStyle name="Unprot$" xfId="446"/>
    <cellStyle name="Unprot$ 2" xfId="765"/>
    <cellStyle name="Unprot$ 3" xfId="766"/>
    <cellStyle name="Unprot$ 4" xfId="767"/>
    <cellStyle name="Unprot_Book4 (11) (2)" xfId="630"/>
    <cellStyle name="Unprotect" xfId="447"/>
    <cellStyle name="Warning Text 2" xfId="448"/>
    <cellStyle name="Warning Text 3" xfId="449"/>
    <cellStyle name="Warning Text 4" xfId="450"/>
    <cellStyle name="Warning Text 5" xfId="451"/>
    <cellStyle name="Warning Text 6" xfId="768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58</xdr:row>
      <xdr:rowOff>47625</xdr:rowOff>
    </xdr:from>
    <xdr:to>
      <xdr:col>9</xdr:col>
      <xdr:colOff>428625</xdr:colOff>
      <xdr:row>67</xdr:row>
      <xdr:rowOff>59532</xdr:rowOff>
    </xdr:to>
    <xdr:sp macro="" textlink="">
      <xdr:nvSpPr>
        <xdr:cNvPr id="3" name="TextBox 2"/>
        <xdr:cNvSpPr txBox="1"/>
      </xdr:nvSpPr>
      <xdr:spPr>
        <a:xfrm>
          <a:off x="130969" y="19716750"/>
          <a:ext cx="7048500" cy="1404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The net power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cost adjustment reflects revised net power costs for the Test Period based on the rebuttal testimony of Mr. Greg Duvall.</a:t>
          </a:r>
          <a:endParaRPr lang="en-US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 eaLnBrk="1" fontAlgn="base" latinLnBrk="0" hangingPunct="1"/>
          <a:endParaRPr lang="en-US" sz="10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BI91"/>
  <sheetViews>
    <sheetView tabSelected="1" view="pageBreakPreview" zoomScale="80" zoomScaleNormal="100" zoomScaleSheetLayoutView="80" workbookViewId="0">
      <selection activeCell="A53" sqref="A53"/>
    </sheetView>
  </sheetViews>
  <sheetFormatPr defaultRowHeight="12.75"/>
  <cols>
    <col min="1" max="1" width="1.140625" style="64" customWidth="1"/>
    <col min="2" max="2" width="6.7109375" style="64" customWidth="1"/>
    <col min="3" max="3" width="40" style="64" customWidth="1"/>
    <col min="4" max="4" width="10.140625" style="57" bestFit="1" customWidth="1"/>
    <col min="5" max="5" width="5.5703125" style="57" bestFit="1" customWidth="1"/>
    <col min="6" max="6" width="14.85546875" style="62" customWidth="1"/>
    <col min="7" max="7" width="11.42578125" style="57" bestFit="1" customWidth="1"/>
    <col min="8" max="8" width="11" style="57" bestFit="1" customWidth="1"/>
    <col min="9" max="9" width="13.7109375" style="65" bestFit="1" customWidth="1"/>
    <col min="10" max="10" width="13.42578125" style="57" bestFit="1" customWidth="1"/>
    <col min="11" max="11" width="12.5703125" style="30" bestFit="1" customWidth="1"/>
    <col min="12" max="12" width="14.28515625" style="30" bestFit="1" customWidth="1"/>
    <col min="13" max="27" width="9.140625" style="30"/>
    <col min="28" max="28" width="3" style="30" customWidth="1"/>
    <col min="29" max="29" width="4" style="30" bestFit="1" customWidth="1"/>
    <col min="30" max="30" width="3.85546875" style="30" customWidth="1"/>
    <col min="31" max="61" width="3" style="30" customWidth="1"/>
    <col min="62" max="16384" width="9.140625" style="30"/>
  </cols>
  <sheetData>
    <row r="1" spans="1:61" s="18" customFormat="1" ht="12" customHeight="1">
      <c r="A1" s="33"/>
      <c r="B1" s="33"/>
      <c r="C1" s="33"/>
      <c r="D1" s="31"/>
      <c r="E1" s="31"/>
      <c r="F1" s="60"/>
      <c r="G1" s="31"/>
      <c r="H1" s="31"/>
      <c r="I1" s="34"/>
      <c r="J1" s="23"/>
      <c r="K1" s="30"/>
      <c r="L1" s="30"/>
      <c r="M1" s="30"/>
      <c r="N1" s="30"/>
      <c r="O1" s="30"/>
      <c r="P1" s="30"/>
      <c r="Q1" s="30"/>
      <c r="R1" s="30"/>
      <c r="S1" s="30"/>
      <c r="T1" s="30"/>
      <c r="U1" s="21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8" customFormat="1" ht="12" customHeight="1">
      <c r="A2" s="33"/>
      <c r="B2" s="2" t="s">
        <v>14</v>
      </c>
      <c r="C2" s="33"/>
      <c r="D2" s="31"/>
      <c r="E2" s="31"/>
      <c r="F2" s="60"/>
      <c r="G2" s="31"/>
      <c r="H2" s="31"/>
      <c r="I2" s="25" t="s">
        <v>0</v>
      </c>
      <c r="J2" s="26">
        <v>12.1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</row>
    <row r="3" spans="1:61" s="18" customFormat="1" ht="12" customHeight="1">
      <c r="A3" s="30"/>
      <c r="B3" s="2" t="s">
        <v>54</v>
      </c>
      <c r="D3" s="20"/>
      <c r="E3" s="20"/>
      <c r="F3" s="55"/>
      <c r="G3" s="20"/>
      <c r="H3" s="20"/>
      <c r="I3" s="19"/>
      <c r="J3" s="25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</row>
    <row r="4" spans="1:61" s="18" customFormat="1" ht="12" customHeight="1">
      <c r="A4" s="30"/>
      <c r="B4" s="9" t="s">
        <v>55</v>
      </c>
      <c r="D4" s="20"/>
      <c r="E4" s="20"/>
      <c r="F4" s="55"/>
      <c r="G4" s="20"/>
      <c r="H4" s="20"/>
      <c r="I4" s="19"/>
      <c r="J4" s="27"/>
      <c r="K4" s="30"/>
      <c r="L4" s="30"/>
      <c r="M4" s="30"/>
      <c r="N4" s="30"/>
      <c r="O4" s="30"/>
      <c r="P4" s="30"/>
      <c r="Q4" s="30"/>
      <c r="R4" s="30"/>
      <c r="S4" s="30"/>
      <c r="T4" s="35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</row>
    <row r="5" spans="1:61" s="18" customFormat="1" ht="12" customHeight="1">
      <c r="A5" s="30"/>
      <c r="D5" s="20"/>
      <c r="E5" s="20"/>
      <c r="F5" s="55"/>
      <c r="G5" s="20"/>
      <c r="H5" s="20"/>
      <c r="I5" s="19"/>
      <c r="J5" s="27"/>
      <c r="K5" s="30"/>
      <c r="L5" s="30"/>
      <c r="M5" s="30"/>
      <c r="N5" s="30"/>
      <c r="O5" s="30"/>
      <c r="P5" s="30"/>
      <c r="Q5" s="30"/>
      <c r="R5" s="30"/>
      <c r="S5" s="30"/>
      <c r="T5" s="35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</row>
    <row r="6" spans="1:61" s="18" customFormat="1" ht="12" customHeight="1">
      <c r="A6" s="30"/>
      <c r="D6" s="20"/>
      <c r="E6" s="20"/>
      <c r="F6" s="56" t="s">
        <v>52</v>
      </c>
      <c r="G6" s="20"/>
      <c r="H6" s="20"/>
      <c r="I6" s="19"/>
      <c r="J6" s="27"/>
      <c r="K6" s="30"/>
      <c r="L6" s="30"/>
      <c r="M6" s="30"/>
      <c r="N6" s="30"/>
      <c r="O6" s="30"/>
      <c r="P6" s="30"/>
      <c r="Q6" s="30"/>
      <c r="R6" s="30"/>
      <c r="S6" s="30"/>
      <c r="T6" s="35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</row>
    <row r="7" spans="1:61" s="18" customFormat="1" ht="12" customHeight="1">
      <c r="A7" s="30"/>
      <c r="D7" s="20"/>
      <c r="E7" s="20"/>
      <c r="F7" s="56" t="s">
        <v>1</v>
      </c>
      <c r="G7" s="20"/>
      <c r="H7" s="20"/>
      <c r="I7" s="28" t="s">
        <v>48</v>
      </c>
      <c r="J7" s="20"/>
      <c r="K7" s="30"/>
      <c r="L7" s="30"/>
      <c r="M7" s="30"/>
      <c r="N7" s="30"/>
      <c r="O7" s="30"/>
      <c r="P7" s="30"/>
      <c r="Q7" s="30"/>
      <c r="R7" s="30"/>
      <c r="S7" s="30"/>
      <c r="T7" s="35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</row>
    <row r="8" spans="1:61" s="18" customFormat="1" ht="12" customHeight="1">
      <c r="A8" s="30"/>
      <c r="D8" s="11" t="s">
        <v>2</v>
      </c>
      <c r="E8" s="11" t="s">
        <v>3</v>
      </c>
      <c r="F8" s="14" t="s">
        <v>4</v>
      </c>
      <c r="G8" s="11" t="s">
        <v>5</v>
      </c>
      <c r="H8" s="15" t="s">
        <v>6</v>
      </c>
      <c r="I8" s="12" t="s">
        <v>7</v>
      </c>
      <c r="J8" s="11" t="s">
        <v>8</v>
      </c>
      <c r="K8" s="30"/>
      <c r="L8" s="30"/>
      <c r="M8" s="30"/>
      <c r="N8" s="30"/>
      <c r="O8" s="30"/>
      <c r="P8" s="30"/>
      <c r="Q8" s="30"/>
      <c r="R8" s="30"/>
      <c r="S8" s="30"/>
      <c r="T8" s="63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</row>
    <row r="9" spans="1:61" s="18" customFormat="1" ht="12" customHeight="1">
      <c r="A9" s="33"/>
      <c r="B9" s="7" t="s">
        <v>51</v>
      </c>
      <c r="C9" s="30"/>
      <c r="D9" s="30"/>
      <c r="E9" s="21"/>
      <c r="F9" s="66"/>
      <c r="G9" s="21"/>
      <c r="H9" s="31"/>
      <c r="I9" s="42"/>
      <c r="J9" s="26"/>
      <c r="K9" s="30"/>
      <c r="L9" s="30"/>
      <c r="M9" s="30"/>
      <c r="N9" s="30"/>
      <c r="O9" s="30"/>
      <c r="P9" s="30"/>
      <c r="Q9" s="30"/>
      <c r="R9" s="30"/>
      <c r="S9" s="30"/>
      <c r="T9" s="35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</row>
    <row r="10" spans="1:61" s="18" customFormat="1" ht="12" customHeight="1">
      <c r="A10" s="33"/>
      <c r="B10" s="72" t="s">
        <v>18</v>
      </c>
      <c r="C10" s="54"/>
      <c r="D10" s="24"/>
      <c r="E10" s="24"/>
      <c r="F10" s="32"/>
      <c r="G10" s="24"/>
      <c r="H10" s="22"/>
      <c r="I10" s="23"/>
      <c r="J10" s="20"/>
      <c r="K10" s="30"/>
      <c r="L10" s="30"/>
      <c r="M10" s="30"/>
      <c r="N10" s="30"/>
      <c r="O10" s="30"/>
      <c r="P10" s="30"/>
      <c r="Q10" s="30"/>
      <c r="R10" s="30"/>
      <c r="S10" s="30"/>
      <c r="T10" s="35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</row>
    <row r="11" spans="1:61" s="18" customFormat="1" ht="12" customHeight="1">
      <c r="A11" s="33"/>
      <c r="B11" s="79" t="s">
        <v>19</v>
      </c>
      <c r="C11" s="79"/>
      <c r="D11" s="69" t="s">
        <v>43</v>
      </c>
      <c r="E11" s="24">
        <v>3</v>
      </c>
      <c r="F11" s="32">
        <f>+'pg 12.1.1'!K10</f>
        <v>-249164.6400000006</v>
      </c>
      <c r="G11" s="24" t="s">
        <v>12</v>
      </c>
      <c r="H11" s="22">
        <v>0.4315468104876492</v>
      </c>
      <c r="I11" s="23">
        <f t="shared" ref="I11:I14" si="0">F11*H11</f>
        <v>-107526.2056783036</v>
      </c>
      <c r="J11" s="71" t="s">
        <v>56</v>
      </c>
      <c r="K11" s="30"/>
      <c r="L11" s="30"/>
      <c r="M11" s="30"/>
      <c r="N11" s="30"/>
      <c r="O11" s="30"/>
      <c r="P11" s="30"/>
      <c r="Q11" s="30"/>
      <c r="R11" s="30"/>
      <c r="S11" s="30"/>
      <c r="T11" s="35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</row>
    <row r="12" spans="1:61" s="18" customFormat="1" ht="12" customHeight="1">
      <c r="A12" s="33"/>
      <c r="B12" s="79" t="s">
        <v>20</v>
      </c>
      <c r="C12" s="79"/>
      <c r="D12" s="69" t="s">
        <v>43</v>
      </c>
      <c r="E12" s="24">
        <v>3</v>
      </c>
      <c r="F12" s="32">
        <f>+'pg 12.1.1'!K11</f>
        <v>0</v>
      </c>
      <c r="G12" s="24" t="s">
        <v>12</v>
      </c>
      <c r="H12" s="22">
        <v>0.4315468104876492</v>
      </c>
      <c r="I12" s="23">
        <f t="shared" si="0"/>
        <v>0</v>
      </c>
      <c r="J12" s="71" t="s">
        <v>56</v>
      </c>
      <c r="K12" s="30"/>
      <c r="L12" s="30"/>
      <c r="M12" s="30"/>
      <c r="N12" s="30"/>
      <c r="O12" s="30"/>
      <c r="P12" s="30"/>
      <c r="Q12" s="30"/>
      <c r="R12" s="30"/>
      <c r="S12" s="30"/>
      <c r="T12" s="63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</row>
    <row r="13" spans="1:61" s="18" customFormat="1" ht="12" customHeight="1">
      <c r="A13" s="33"/>
      <c r="B13" s="80" t="s">
        <v>21</v>
      </c>
      <c r="C13" s="80"/>
      <c r="D13" s="69" t="s">
        <v>43</v>
      </c>
      <c r="E13" s="24">
        <v>3</v>
      </c>
      <c r="F13" s="32">
        <f>+'pg 12.1.1'!K12</f>
        <v>-65432295.529999971</v>
      </c>
      <c r="G13" s="24" t="s">
        <v>12</v>
      </c>
      <c r="H13" s="22">
        <v>0.4315468104876492</v>
      </c>
      <c r="I13" s="23">
        <f t="shared" si="0"/>
        <v>-28237098.438856754</v>
      </c>
      <c r="J13" s="71" t="s">
        <v>56</v>
      </c>
      <c r="K13" s="30"/>
      <c r="L13" s="30"/>
      <c r="M13" s="30"/>
      <c r="N13" s="30"/>
      <c r="O13" s="30"/>
      <c r="P13" s="30"/>
      <c r="Q13" s="30"/>
      <c r="R13" s="30"/>
      <c r="S13" s="30"/>
      <c r="T13" s="35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</row>
    <row r="14" spans="1:61" s="18" customFormat="1" ht="12" customHeight="1">
      <c r="A14" s="33"/>
      <c r="B14" s="81" t="s">
        <v>22</v>
      </c>
      <c r="C14" s="81"/>
      <c r="D14" s="69" t="s">
        <v>43</v>
      </c>
      <c r="E14" s="24">
        <v>3</v>
      </c>
      <c r="F14" s="32">
        <f>+'pg 12.1.1'!K13</f>
        <v>0</v>
      </c>
      <c r="G14" s="24" t="s">
        <v>9</v>
      </c>
      <c r="H14" s="22">
        <v>0.429533673391716</v>
      </c>
      <c r="I14" s="23">
        <f t="shared" si="0"/>
        <v>0</v>
      </c>
      <c r="J14" s="71" t="s">
        <v>56</v>
      </c>
      <c r="K14" s="30"/>
      <c r="L14" s="30"/>
      <c r="M14" s="30"/>
      <c r="N14" s="30"/>
      <c r="O14" s="30"/>
      <c r="P14" s="30"/>
      <c r="Q14" s="30"/>
      <c r="R14" s="30"/>
      <c r="S14" s="30"/>
      <c r="T14" s="63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1" s="18" customFormat="1" ht="12" customHeight="1">
      <c r="A15" s="33"/>
      <c r="B15" s="13" t="s">
        <v>23</v>
      </c>
      <c r="C15" s="54"/>
      <c r="D15" s="24"/>
      <c r="E15" s="24"/>
      <c r="F15" s="70">
        <f>SUM(F11:F14)</f>
        <v>-65681460.169999972</v>
      </c>
      <c r="G15" s="24"/>
      <c r="H15" s="22"/>
      <c r="I15" s="70">
        <f>SUM(I11:I14)</f>
        <v>-28344624.644535057</v>
      </c>
      <c r="J15" s="71"/>
      <c r="K15" s="30"/>
      <c r="L15" s="30"/>
      <c r="M15" s="30"/>
      <c r="N15" s="30"/>
      <c r="O15" s="30"/>
      <c r="P15" s="30"/>
      <c r="Q15" s="30"/>
      <c r="R15" s="30"/>
      <c r="S15" s="30"/>
      <c r="T15" s="35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</row>
    <row r="16" spans="1:61" s="18" customFormat="1" ht="12" customHeight="1">
      <c r="A16" s="33"/>
      <c r="B16" s="54"/>
      <c r="C16" s="54"/>
      <c r="D16" s="24"/>
      <c r="E16" s="24"/>
      <c r="F16" s="32"/>
      <c r="G16" s="24"/>
      <c r="H16" s="6"/>
      <c r="I16" s="10"/>
      <c r="J16" s="71"/>
      <c r="K16" s="30"/>
      <c r="L16" s="30"/>
      <c r="M16" s="30"/>
      <c r="N16" s="30"/>
      <c r="O16" s="30"/>
      <c r="P16" s="30"/>
      <c r="Q16" s="30"/>
      <c r="R16" s="30"/>
      <c r="S16" s="30"/>
      <c r="T16" s="35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</row>
    <row r="17" spans="1:61" s="18" customFormat="1" ht="12" customHeight="1">
      <c r="A17" s="33"/>
      <c r="B17" s="16" t="s">
        <v>16</v>
      </c>
      <c r="C17" s="54"/>
      <c r="D17" s="24"/>
      <c r="E17" s="24"/>
      <c r="F17" s="32"/>
      <c r="G17" s="24"/>
      <c r="H17" s="5"/>
      <c r="I17" s="8"/>
      <c r="J17" s="71"/>
      <c r="K17" s="30"/>
      <c r="L17" s="30"/>
      <c r="M17" s="30"/>
      <c r="N17" s="30"/>
      <c r="O17" s="30"/>
      <c r="P17" s="30"/>
      <c r="Q17" s="30"/>
      <c r="R17" s="30"/>
      <c r="S17" s="30"/>
      <c r="T17" s="45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</row>
    <row r="18" spans="1:61" s="18" customFormat="1" ht="12" customHeight="1">
      <c r="A18" s="33"/>
      <c r="B18" s="16" t="s">
        <v>24</v>
      </c>
      <c r="C18" s="54"/>
      <c r="D18" s="24"/>
      <c r="E18" s="24"/>
      <c r="F18" s="32"/>
      <c r="G18" s="24"/>
      <c r="H18" s="5"/>
      <c r="I18" s="4"/>
      <c r="J18" s="71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</row>
    <row r="19" spans="1:61" s="18" customFormat="1" ht="12" customHeight="1">
      <c r="A19" s="33"/>
      <c r="B19" s="80" t="s">
        <v>25</v>
      </c>
      <c r="C19" s="80"/>
      <c r="D19" s="69" t="s">
        <v>17</v>
      </c>
      <c r="E19" s="24">
        <v>3</v>
      </c>
      <c r="F19" s="32">
        <f>+'pg 12.1.1'!K19</f>
        <v>296803.65829622932</v>
      </c>
      <c r="G19" s="24" t="s">
        <v>12</v>
      </c>
      <c r="H19" s="22">
        <v>0.4315468104876492</v>
      </c>
      <c r="I19" s="23">
        <f t="shared" ref="I19:I24" si="1">F19*H19</f>
        <v>128084.67207880387</v>
      </c>
      <c r="J19" s="71" t="s">
        <v>56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</row>
    <row r="20" spans="1:61" s="18" customFormat="1" ht="12" customHeight="1">
      <c r="A20" s="33"/>
      <c r="B20" s="81" t="s">
        <v>26</v>
      </c>
      <c r="C20" s="81"/>
      <c r="D20" s="69" t="s">
        <v>17</v>
      </c>
      <c r="E20" s="24">
        <v>3</v>
      </c>
      <c r="F20" s="32">
        <f>+'pg 12.1.1'!K20</f>
        <v>3.9462968707084656E-3</v>
      </c>
      <c r="G20" s="24" t="s">
        <v>12</v>
      </c>
      <c r="H20" s="22">
        <v>0.4315468104876492</v>
      </c>
      <c r="I20" s="23">
        <f t="shared" si="1"/>
        <v>1.7030118277916292E-3</v>
      </c>
      <c r="J20" s="71" t="s">
        <v>56</v>
      </c>
      <c r="K20" s="30"/>
      <c r="L20" s="30"/>
      <c r="M20" s="30"/>
      <c r="N20" s="30"/>
      <c r="O20" s="30"/>
      <c r="P20" s="30"/>
      <c r="Q20" s="30"/>
      <c r="R20" s="30"/>
      <c r="S20" s="30"/>
      <c r="T20" s="35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</row>
    <row r="21" spans="1:61" s="18" customFormat="1" ht="12" customHeight="1">
      <c r="A21" s="33"/>
      <c r="B21" s="81" t="s">
        <v>27</v>
      </c>
      <c r="C21" s="81"/>
      <c r="D21" s="69" t="s">
        <v>17</v>
      </c>
      <c r="E21" s="24">
        <v>3</v>
      </c>
      <c r="F21" s="32">
        <f>+'pg 12.1.1'!K21</f>
        <v>663972.31339503825</v>
      </c>
      <c r="G21" s="24" t="s">
        <v>9</v>
      </c>
      <c r="H21" s="22">
        <v>0.429533673391716</v>
      </c>
      <c r="I21" s="23">
        <f t="shared" si="1"/>
        <v>285198.46680296643</v>
      </c>
      <c r="J21" s="71" t="s">
        <v>56</v>
      </c>
      <c r="K21" s="30"/>
      <c r="L21" s="30"/>
      <c r="M21" s="30"/>
      <c r="N21" s="30"/>
      <c r="O21" s="30"/>
      <c r="P21" s="30"/>
      <c r="Q21" s="30"/>
      <c r="R21" s="30"/>
      <c r="S21" s="30"/>
      <c r="T21" s="35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</row>
    <row r="22" spans="1:61" s="18" customFormat="1" ht="12" customHeight="1">
      <c r="A22" s="33"/>
      <c r="B22" s="81" t="s">
        <v>28</v>
      </c>
      <c r="C22" s="81"/>
      <c r="D22" s="69" t="s">
        <v>17</v>
      </c>
      <c r="E22" s="24">
        <v>3</v>
      </c>
      <c r="F22" s="32">
        <f>+'pg 12.1.1'!K22</f>
        <v>-27491776.975637555</v>
      </c>
      <c r="G22" s="24" t="s">
        <v>12</v>
      </c>
      <c r="H22" s="22">
        <v>0.4315468104876492</v>
      </c>
      <c r="I22" s="23">
        <f t="shared" si="1"/>
        <v>-11863988.668474177</v>
      </c>
      <c r="J22" s="71" t="s">
        <v>56</v>
      </c>
      <c r="K22" s="30"/>
      <c r="L22" s="30"/>
      <c r="M22" s="30"/>
      <c r="N22" s="30"/>
      <c r="O22" s="30"/>
      <c r="P22" s="30"/>
      <c r="Q22" s="30"/>
      <c r="R22" s="30"/>
      <c r="S22" s="30"/>
      <c r="T22" s="35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</row>
    <row r="23" spans="1:61" s="18" customFormat="1" ht="12" customHeight="1">
      <c r="A23" s="33"/>
      <c r="B23" s="81" t="s">
        <v>29</v>
      </c>
      <c r="C23" s="81"/>
      <c r="D23" s="69" t="s">
        <v>17</v>
      </c>
      <c r="E23" s="24">
        <v>3</v>
      </c>
      <c r="F23" s="32">
        <f>+'pg 12.1.1'!K23</f>
        <v>0</v>
      </c>
      <c r="G23" s="24" t="s">
        <v>9</v>
      </c>
      <c r="H23" s="22">
        <v>0.429533673391716</v>
      </c>
      <c r="I23" s="23">
        <f t="shared" si="1"/>
        <v>0</v>
      </c>
      <c r="J23" s="71" t="s">
        <v>56</v>
      </c>
      <c r="K23" s="30"/>
      <c r="L23" s="30"/>
      <c r="M23" s="30"/>
      <c r="N23" s="30"/>
      <c r="O23" s="30"/>
      <c r="P23" s="30"/>
      <c r="Q23" s="30"/>
      <c r="R23" s="30"/>
      <c r="S23" s="30"/>
      <c r="T23" s="63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</row>
    <row r="24" spans="1:61" s="18" customFormat="1" ht="12" customHeight="1">
      <c r="A24" s="33"/>
      <c r="B24" s="81" t="s">
        <v>53</v>
      </c>
      <c r="C24" s="81"/>
      <c r="D24" s="69" t="s">
        <v>17</v>
      </c>
      <c r="E24" s="24">
        <v>3</v>
      </c>
      <c r="F24" s="32">
        <f>+'pg 12.1.1'!K25</f>
        <v>-100689.45000000019</v>
      </c>
      <c r="G24" s="24" t="s">
        <v>12</v>
      </c>
      <c r="H24" s="22">
        <v>0.4315468104876492</v>
      </c>
      <c r="I24" s="23">
        <f t="shared" si="1"/>
        <v>-43452.210997255708</v>
      </c>
      <c r="J24" s="71" t="s">
        <v>56</v>
      </c>
      <c r="K24" s="30"/>
      <c r="L24" s="30"/>
      <c r="M24" s="30"/>
      <c r="N24" s="30"/>
      <c r="O24" s="30"/>
      <c r="P24" s="30"/>
      <c r="Q24" s="30"/>
      <c r="R24" s="30"/>
      <c r="S24" s="30"/>
      <c r="T24" s="35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</row>
    <row r="25" spans="1:61" s="18" customFormat="1" ht="12" customHeight="1">
      <c r="A25" s="33"/>
      <c r="B25" s="16" t="s">
        <v>30</v>
      </c>
      <c r="C25" s="54"/>
      <c r="D25" s="24"/>
      <c r="E25" s="24"/>
      <c r="F25" s="70">
        <f>SUM(F19:F24)</f>
        <v>-26631690.449999992</v>
      </c>
      <c r="G25" s="24"/>
      <c r="H25" s="22"/>
      <c r="I25" s="70">
        <f>SUM(I19:I24)</f>
        <v>-11494157.738886651</v>
      </c>
      <c r="J25" s="71"/>
      <c r="K25" s="30"/>
      <c r="L25" s="30"/>
      <c r="M25" s="30"/>
      <c r="N25" s="30"/>
      <c r="O25" s="30"/>
      <c r="P25" s="30"/>
      <c r="Q25" s="30"/>
      <c r="R25" s="30"/>
      <c r="S25" s="30"/>
      <c r="T25" s="35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</row>
    <row r="26" spans="1:61" s="18" customFormat="1" ht="12" customHeight="1">
      <c r="A26" s="33"/>
      <c r="B26" s="73"/>
      <c r="C26" s="54"/>
      <c r="D26" s="24"/>
      <c r="E26" s="24"/>
      <c r="F26" s="32"/>
      <c r="G26" s="24"/>
      <c r="H26" s="3"/>
      <c r="I26" s="10"/>
      <c r="J26" s="71"/>
      <c r="K26" s="30"/>
      <c r="L26" s="30"/>
      <c r="M26" s="30"/>
      <c r="N26" s="30"/>
      <c r="O26" s="30"/>
      <c r="P26" s="30"/>
      <c r="Q26" s="30"/>
      <c r="R26" s="30"/>
      <c r="S26" s="30"/>
      <c r="T26" s="35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</row>
    <row r="27" spans="1:61" s="18" customFormat="1" ht="12" customHeight="1">
      <c r="A27" s="33"/>
      <c r="B27" s="13" t="s">
        <v>31</v>
      </c>
      <c r="C27" s="54"/>
      <c r="D27" s="24"/>
      <c r="E27" s="24"/>
      <c r="F27" s="32"/>
      <c r="G27" s="24"/>
      <c r="H27" s="22"/>
      <c r="I27" s="23"/>
      <c r="J27" s="71"/>
      <c r="K27" s="30"/>
      <c r="L27" s="30"/>
      <c r="M27" s="30"/>
      <c r="N27" s="30"/>
      <c r="O27" s="30"/>
      <c r="P27" s="30"/>
      <c r="Q27" s="30"/>
      <c r="R27" s="30"/>
      <c r="S27" s="30"/>
      <c r="T27" s="35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</row>
    <row r="28" spans="1:61" s="18" customFormat="1" ht="12" customHeight="1">
      <c r="A28" s="33"/>
      <c r="B28" s="81" t="s">
        <v>19</v>
      </c>
      <c r="C28" s="81"/>
      <c r="D28" s="69" t="s">
        <v>44</v>
      </c>
      <c r="E28" s="24">
        <v>3</v>
      </c>
      <c r="F28" s="32">
        <f>+'pg 12.1.1'!K31</f>
        <v>0</v>
      </c>
      <c r="G28" s="24" t="s">
        <v>12</v>
      </c>
      <c r="H28" s="22">
        <v>0.4315468104876492</v>
      </c>
      <c r="I28" s="23">
        <f t="shared" ref="I28:I31" si="2">F28*H28</f>
        <v>0</v>
      </c>
      <c r="J28" s="71" t="s">
        <v>56</v>
      </c>
      <c r="K28" s="30"/>
      <c r="L28" s="30"/>
      <c r="M28" s="30"/>
      <c r="N28" s="30"/>
      <c r="O28" s="30"/>
      <c r="P28" s="30"/>
      <c r="Q28" s="30"/>
      <c r="R28" s="30"/>
      <c r="S28" s="30"/>
      <c r="T28" s="35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</row>
    <row r="29" spans="1:61" s="18" customFormat="1" ht="12" customHeight="1">
      <c r="A29" s="33"/>
      <c r="B29" s="81" t="s">
        <v>20</v>
      </c>
      <c r="C29" s="81"/>
      <c r="D29" s="69" t="s">
        <v>44</v>
      </c>
      <c r="E29" s="24">
        <v>3</v>
      </c>
      <c r="F29" s="32">
        <f>+'pg 12.1.1'!K32</f>
        <v>0</v>
      </c>
      <c r="G29" s="24" t="s">
        <v>12</v>
      </c>
      <c r="H29" s="22">
        <v>0.4315468104876492</v>
      </c>
      <c r="I29" s="23">
        <f t="shared" si="2"/>
        <v>0</v>
      </c>
      <c r="J29" s="71" t="s">
        <v>56</v>
      </c>
      <c r="K29" s="30"/>
      <c r="L29" s="30"/>
      <c r="M29" s="30"/>
      <c r="N29" s="30"/>
      <c r="O29" s="30"/>
      <c r="P29" s="30"/>
      <c r="Q29" s="30"/>
      <c r="R29" s="30"/>
      <c r="S29" s="30"/>
      <c r="T29" s="35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</row>
    <row r="30" spans="1:61" s="18" customFormat="1" ht="12" customHeight="1">
      <c r="A30" s="33"/>
      <c r="B30" s="80" t="s">
        <v>28</v>
      </c>
      <c r="C30" s="80"/>
      <c r="D30" s="69" t="s">
        <v>44</v>
      </c>
      <c r="E30" s="24">
        <v>3</v>
      </c>
      <c r="F30" s="32">
        <f>+'pg 12.1.1'!K33</f>
        <v>2935019.7700000256</v>
      </c>
      <c r="G30" s="24" t="s">
        <v>12</v>
      </c>
      <c r="H30" s="22">
        <v>0.4315468104876492</v>
      </c>
      <c r="I30" s="23">
        <f t="shared" si="2"/>
        <v>1266598.4204617047</v>
      </c>
      <c r="J30" s="71" t="s">
        <v>56</v>
      </c>
      <c r="K30" s="30"/>
      <c r="L30" s="30"/>
      <c r="M30" s="30"/>
      <c r="N30" s="30"/>
      <c r="O30" s="30"/>
      <c r="P30" s="30"/>
      <c r="Q30" s="30"/>
      <c r="R30" s="30"/>
      <c r="S30" s="30"/>
      <c r="T30" s="35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</row>
    <row r="31" spans="1:61" s="18" customFormat="1" ht="12" customHeight="1">
      <c r="A31" s="33"/>
      <c r="B31" s="80" t="s">
        <v>22</v>
      </c>
      <c r="C31" s="80"/>
      <c r="D31" s="69" t="s">
        <v>44</v>
      </c>
      <c r="E31" s="24">
        <v>3</v>
      </c>
      <c r="F31" s="32">
        <f>+'pg 12.1.1'!K34</f>
        <v>-344283.5</v>
      </c>
      <c r="G31" s="24" t="s">
        <v>9</v>
      </c>
      <c r="H31" s="22">
        <v>0.429533673391716</v>
      </c>
      <c r="I31" s="23">
        <f t="shared" si="2"/>
        <v>-147881.35644315687</v>
      </c>
      <c r="J31" s="71" t="s">
        <v>56</v>
      </c>
      <c r="K31" s="30"/>
      <c r="L31" s="30"/>
      <c r="M31" s="30"/>
      <c r="N31" s="30"/>
      <c r="O31" s="30"/>
      <c r="P31" s="30"/>
      <c r="Q31" s="30"/>
      <c r="R31" s="30"/>
      <c r="S31" s="30"/>
      <c r="T31" s="35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</row>
    <row r="32" spans="1:61" s="18" customFormat="1" ht="12" customHeight="1">
      <c r="A32" s="33"/>
      <c r="B32" s="74" t="s">
        <v>32</v>
      </c>
      <c r="C32" s="54"/>
      <c r="D32" s="69"/>
      <c r="E32" s="24"/>
      <c r="F32" s="70">
        <f>SUM(F28:F31)</f>
        <v>2590736.2700000256</v>
      </c>
      <c r="G32" s="24"/>
      <c r="H32" s="22"/>
      <c r="I32" s="70">
        <f>SUM(I28:I31)</f>
        <v>1118717.0640185478</v>
      </c>
      <c r="J32" s="71"/>
      <c r="K32" s="30"/>
      <c r="L32" s="30"/>
      <c r="M32" s="30"/>
      <c r="N32" s="30"/>
      <c r="O32" s="30"/>
      <c r="P32" s="30"/>
      <c r="Q32" s="30"/>
      <c r="R32" s="30"/>
      <c r="S32" s="30"/>
      <c r="T32" s="35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</row>
    <row r="33" spans="1:61" s="18" customFormat="1" ht="12" customHeight="1">
      <c r="A33" s="33"/>
      <c r="B33" s="73" t="s">
        <v>11</v>
      </c>
      <c r="C33" s="54"/>
      <c r="D33" s="69" t="s">
        <v>11</v>
      </c>
      <c r="E33" s="24"/>
      <c r="F33" s="32"/>
      <c r="G33" s="24"/>
      <c r="H33" s="6"/>
      <c r="I33" s="10"/>
      <c r="J33" s="71"/>
      <c r="K33" s="30"/>
      <c r="L33" s="30"/>
      <c r="M33" s="30"/>
      <c r="N33" s="30"/>
      <c r="O33" s="30"/>
      <c r="P33" s="30"/>
      <c r="Q33" s="30"/>
      <c r="R33" s="30"/>
      <c r="S33" s="30"/>
      <c r="T33" s="35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</row>
    <row r="34" spans="1:61" s="18" customFormat="1" ht="12" customHeight="1">
      <c r="A34" s="33"/>
      <c r="B34" s="73"/>
      <c r="C34" s="54"/>
      <c r="D34" s="24"/>
      <c r="E34" s="24"/>
      <c r="F34" s="32"/>
      <c r="G34" s="24"/>
      <c r="H34" s="6"/>
      <c r="I34" s="4"/>
      <c r="J34" s="71"/>
      <c r="K34" s="30"/>
      <c r="L34" s="30"/>
      <c r="M34" s="30"/>
      <c r="N34" s="30"/>
      <c r="O34" s="30"/>
      <c r="P34" s="30"/>
      <c r="Q34" s="30"/>
      <c r="R34" s="30"/>
      <c r="S34" s="30"/>
      <c r="T34" s="35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</row>
    <row r="35" spans="1:61" s="18" customFormat="1" ht="12" customHeight="1">
      <c r="A35" s="33"/>
      <c r="B35" s="74" t="s">
        <v>33</v>
      </c>
      <c r="C35" s="54"/>
      <c r="D35" s="24"/>
      <c r="E35" s="24"/>
      <c r="F35" s="32"/>
      <c r="G35" s="24"/>
      <c r="H35" s="22"/>
      <c r="I35" s="23"/>
      <c r="J35" s="71"/>
      <c r="K35" s="30"/>
      <c r="L35" s="30"/>
      <c r="M35" s="30"/>
      <c r="N35" s="30"/>
      <c r="O35" s="30"/>
      <c r="P35" s="30"/>
      <c r="Q35" s="30"/>
      <c r="R35" s="30"/>
      <c r="S35" s="30"/>
      <c r="T35" s="35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1:61" s="18" customFormat="1" ht="12" customHeight="1">
      <c r="A36" s="29"/>
      <c r="B36" s="80" t="s">
        <v>49</v>
      </c>
      <c r="C36" s="80"/>
      <c r="D36" s="69" t="s">
        <v>45</v>
      </c>
      <c r="E36" s="24">
        <v>3</v>
      </c>
      <c r="F36" s="32">
        <f>+'pg 12.1.1'!K38</f>
        <v>0</v>
      </c>
      <c r="G36" s="24" t="s">
        <v>15</v>
      </c>
      <c r="H36" s="22">
        <v>0</v>
      </c>
      <c r="I36" s="23">
        <f t="shared" ref="I36:I43" si="3">F36*H36</f>
        <v>0</v>
      </c>
      <c r="J36" s="71" t="s">
        <v>56</v>
      </c>
      <c r="K36" s="30"/>
      <c r="L36" s="30"/>
      <c r="M36" s="30"/>
      <c r="N36" s="30"/>
      <c r="O36" s="30"/>
      <c r="P36" s="30"/>
      <c r="Q36" s="30"/>
      <c r="R36" s="30"/>
      <c r="S36" s="30"/>
      <c r="T36" s="35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1:61" s="18" customFormat="1" ht="12" customHeight="1">
      <c r="A37" s="33"/>
      <c r="B37" s="80" t="s">
        <v>50</v>
      </c>
      <c r="C37" s="80"/>
      <c r="D37" s="69" t="s">
        <v>45</v>
      </c>
      <c r="E37" s="24">
        <v>3</v>
      </c>
      <c r="F37" s="32">
        <f>+'pg 12.1.1'!K39</f>
        <v>0</v>
      </c>
      <c r="G37" s="24" t="s">
        <v>42</v>
      </c>
      <c r="H37" s="22">
        <v>0</v>
      </c>
      <c r="I37" s="23">
        <f t="shared" si="3"/>
        <v>0</v>
      </c>
      <c r="J37" s="71" t="s">
        <v>56</v>
      </c>
      <c r="K37" s="30"/>
      <c r="L37" s="30"/>
      <c r="M37" s="30"/>
      <c r="N37" s="30"/>
      <c r="O37" s="30"/>
      <c r="P37" s="30"/>
      <c r="Q37" s="30"/>
      <c r="R37" s="30"/>
      <c r="S37" s="30"/>
      <c r="T37" s="35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1:61" s="18" customFormat="1" ht="12" customHeight="1">
      <c r="A38" s="33"/>
      <c r="B38" s="80" t="s">
        <v>34</v>
      </c>
      <c r="C38" s="80"/>
      <c r="D38" s="69" t="s">
        <v>45</v>
      </c>
      <c r="E38" s="24">
        <v>3</v>
      </c>
      <c r="F38" s="32">
        <f>+'pg 12.1.1'!K40</f>
        <v>-29565712.230000138</v>
      </c>
      <c r="G38" s="24" t="s">
        <v>9</v>
      </c>
      <c r="H38" s="22">
        <v>0.429533673391716</v>
      </c>
      <c r="I38" s="23">
        <f t="shared" si="3"/>
        <v>-12699468.980594343</v>
      </c>
      <c r="J38" s="71" t="s">
        <v>56</v>
      </c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1:61" s="18" customFormat="1" ht="12" customHeight="1">
      <c r="A39" s="33"/>
      <c r="B39" s="80" t="s">
        <v>35</v>
      </c>
      <c r="C39" s="80"/>
      <c r="D39" s="69" t="s">
        <v>45</v>
      </c>
      <c r="E39" s="24">
        <v>3</v>
      </c>
      <c r="F39" s="32">
        <f>+'pg 12.1.1'!K41</f>
        <v>-667147.93132819701</v>
      </c>
      <c r="G39" s="24" t="s">
        <v>9</v>
      </c>
      <c r="H39" s="22">
        <v>0.429533673391716</v>
      </c>
      <c r="I39" s="23">
        <f t="shared" si="3"/>
        <v>-286562.50163908477</v>
      </c>
      <c r="J39" s="71" t="s">
        <v>56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1:61" s="18" customFormat="1" ht="12" customHeight="1">
      <c r="A40" s="33"/>
      <c r="B40" s="81" t="s">
        <v>36</v>
      </c>
      <c r="C40" s="81"/>
      <c r="D40" s="69" t="s">
        <v>46</v>
      </c>
      <c r="E40" s="24">
        <v>3</v>
      </c>
      <c r="F40" s="32">
        <f>+'pg 12.1.1'!K42</f>
        <v>-169327.77000000002</v>
      </c>
      <c r="G40" s="24" t="s">
        <v>9</v>
      </c>
      <c r="H40" s="22">
        <v>0.429533673391716</v>
      </c>
      <c r="I40" s="23">
        <f t="shared" si="3"/>
        <v>-72731.979055327611</v>
      </c>
      <c r="J40" s="71" t="s">
        <v>56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1:61" s="18" customFormat="1" ht="12" customHeight="1">
      <c r="A41" s="33"/>
      <c r="B41" s="80" t="s">
        <v>37</v>
      </c>
      <c r="C41" s="80"/>
      <c r="D41" s="69" t="s">
        <v>47</v>
      </c>
      <c r="E41" s="24">
        <v>3</v>
      </c>
      <c r="F41" s="32">
        <f>+'pg 12.1.1'!K43</f>
        <v>-27311891.762946427</v>
      </c>
      <c r="G41" s="24" t="s">
        <v>9</v>
      </c>
      <c r="H41" s="22">
        <v>0.429533673391716</v>
      </c>
      <c r="I41" s="23">
        <f t="shared" si="3"/>
        <v>-11731377.19621533</v>
      </c>
      <c r="J41" s="71" t="s">
        <v>56</v>
      </c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1:61" s="18" customFormat="1" ht="12" customHeight="1">
      <c r="A42" s="33"/>
      <c r="B42" s="80" t="s">
        <v>38</v>
      </c>
      <c r="C42" s="80"/>
      <c r="D42" s="69" t="s">
        <v>47</v>
      </c>
      <c r="E42" s="24">
        <v>3</v>
      </c>
      <c r="F42" s="32">
        <f>+'pg 12.1.1'!K44</f>
        <v>-1798795.9088272825</v>
      </c>
      <c r="G42" s="24" t="s">
        <v>9</v>
      </c>
      <c r="H42" s="22">
        <v>0.429533673391716</v>
      </c>
      <c r="I42" s="23">
        <f t="shared" si="3"/>
        <v>-772643.41440057289</v>
      </c>
      <c r="J42" s="71" t="s">
        <v>56</v>
      </c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1:61" s="18" customFormat="1" ht="12" customHeight="1">
      <c r="A43" s="33"/>
      <c r="B43" s="80" t="s">
        <v>39</v>
      </c>
      <c r="C43" s="80"/>
      <c r="D43" s="69" t="s">
        <v>45</v>
      </c>
      <c r="E43" s="24">
        <v>3</v>
      </c>
      <c r="F43" s="32">
        <f>+'pg 12.1.1'!K45</f>
        <v>-2475753.4900000021</v>
      </c>
      <c r="G43" s="24" t="s">
        <v>9</v>
      </c>
      <c r="H43" s="22">
        <v>0.429533673391716</v>
      </c>
      <c r="I43" s="23">
        <f t="shared" si="3"/>
        <v>-1063419.4909720619</v>
      </c>
      <c r="J43" s="71" t="s">
        <v>56</v>
      </c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  <row r="44" spans="1:61" s="18" customFormat="1" ht="12" customHeight="1">
      <c r="A44" s="33"/>
      <c r="B44" s="74" t="s">
        <v>40</v>
      </c>
      <c r="C44" s="54"/>
      <c r="D44" s="24"/>
      <c r="E44" s="24"/>
      <c r="F44" s="70">
        <f>SUM(F36:F43)</f>
        <v>-61988629.093102045</v>
      </c>
      <c r="G44" s="24"/>
      <c r="H44" s="22"/>
      <c r="I44" s="70">
        <f>SUM(I36:I43)</f>
        <v>-26626203.56287672</v>
      </c>
      <c r="J44" s="7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</row>
    <row r="45" spans="1:61" s="18" customFormat="1" ht="12" customHeight="1">
      <c r="A45" s="33"/>
      <c r="B45" s="73"/>
      <c r="C45" s="54"/>
      <c r="D45" s="24"/>
      <c r="E45" s="24"/>
      <c r="F45" s="32"/>
      <c r="G45" s="24"/>
      <c r="H45" s="6"/>
      <c r="I45" s="32"/>
      <c r="J45" s="7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</row>
    <row r="46" spans="1:61" s="18" customFormat="1" ht="12" customHeight="1" thickBot="1">
      <c r="A46" s="33"/>
      <c r="B46" s="13" t="s">
        <v>41</v>
      </c>
      <c r="C46" s="54"/>
      <c r="D46" s="24"/>
      <c r="E46" s="24"/>
      <c r="F46" s="75">
        <f>(F44+F32+F25)-F15</f>
        <v>-20348123.103102043</v>
      </c>
      <c r="G46" s="24"/>
      <c r="H46" s="3"/>
      <c r="I46" s="75">
        <f>(I44+I32+I25)-I15</f>
        <v>-8657019.5932097659</v>
      </c>
      <c r="J46" s="7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  <row r="47" spans="1:61" s="18" customFormat="1" ht="12" customHeight="1" thickTop="1">
      <c r="A47" s="33"/>
      <c r="B47" s="73"/>
      <c r="C47" s="54"/>
      <c r="D47" s="24"/>
      <c r="E47" s="24"/>
      <c r="F47" s="32"/>
      <c r="G47" s="24"/>
      <c r="H47" s="3"/>
      <c r="I47" s="10"/>
      <c r="J47" s="7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</row>
    <row r="48" spans="1:61" s="18" customFormat="1" ht="12" customHeight="1">
      <c r="A48" s="33"/>
      <c r="B48" s="68"/>
      <c r="C48" s="54"/>
      <c r="D48" s="69"/>
      <c r="E48" s="24"/>
      <c r="F48" s="32"/>
      <c r="G48" s="24"/>
      <c r="H48" s="22"/>
      <c r="I48" s="23"/>
      <c r="J48" s="7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</row>
    <row r="49" spans="1:61" s="18" customFormat="1" ht="12" customHeight="1">
      <c r="A49" s="33"/>
      <c r="B49" s="33"/>
      <c r="C49" s="33"/>
      <c r="D49" s="31"/>
      <c r="E49" s="31"/>
      <c r="F49" s="60"/>
      <c r="G49" s="31"/>
      <c r="H49" s="76"/>
      <c r="I49" s="42"/>
      <c r="J49" s="23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18" customFormat="1" ht="12" customHeight="1">
      <c r="A50" s="33"/>
      <c r="B50" s="33"/>
      <c r="C50" s="33"/>
      <c r="D50" s="47"/>
      <c r="E50" s="31"/>
      <c r="F50" s="53"/>
      <c r="G50" s="31"/>
      <c r="H50" s="77"/>
      <c r="I50" s="34"/>
      <c r="J50" s="23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18" customFormat="1" ht="12" customHeight="1">
      <c r="A51" s="33"/>
      <c r="B51" s="33"/>
      <c r="C51" s="33"/>
      <c r="D51" s="47"/>
      <c r="E51" s="31"/>
      <c r="F51" s="60"/>
      <c r="G51" s="31"/>
      <c r="H51" s="78"/>
      <c r="I51" s="34"/>
      <c r="J51" s="23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s="18" customFormat="1" ht="12" customHeight="1">
      <c r="A52" s="33"/>
      <c r="B52" s="33"/>
      <c r="C52" s="33"/>
      <c r="D52" s="47"/>
      <c r="E52" s="31"/>
      <c r="F52" s="60"/>
      <c r="G52" s="31"/>
      <c r="H52" s="58"/>
      <c r="I52" s="34"/>
      <c r="J52" s="23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</row>
    <row r="53" spans="1:61" s="18" customFormat="1" ht="12" customHeight="1">
      <c r="A53" s="33"/>
      <c r="B53" s="33"/>
      <c r="C53" s="33"/>
      <c r="D53" s="47"/>
      <c r="E53" s="31"/>
      <c r="F53" s="60"/>
      <c r="G53" s="31"/>
      <c r="H53" s="58"/>
      <c r="I53" s="34"/>
      <c r="J53" s="23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1:61" s="18" customFormat="1" ht="12" customHeight="1">
      <c r="A54" s="33"/>
      <c r="B54" s="33"/>
      <c r="C54" s="33"/>
      <c r="D54" s="31"/>
      <c r="E54" s="31"/>
      <c r="F54" s="46"/>
      <c r="G54" s="58"/>
      <c r="H54" s="58"/>
      <c r="I54" s="34"/>
      <c r="J54" s="23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</row>
    <row r="55" spans="1:61" s="18" customFormat="1" ht="12" customHeight="1">
      <c r="A55" s="33"/>
      <c r="B55" s="33"/>
      <c r="C55" s="33"/>
      <c r="D55" s="31"/>
      <c r="E55" s="31"/>
      <c r="F55" s="60"/>
      <c r="G55" s="58"/>
      <c r="H55" s="58"/>
      <c r="I55" s="34"/>
      <c r="J55" s="23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</row>
    <row r="56" spans="1:61" s="18" customFormat="1" ht="12" customHeight="1">
      <c r="A56" s="33"/>
      <c r="B56" s="33"/>
      <c r="C56" s="33"/>
      <c r="D56" s="31"/>
      <c r="E56" s="31"/>
      <c r="F56" s="60"/>
      <c r="G56" s="58"/>
      <c r="H56" s="58"/>
      <c r="I56" s="34"/>
      <c r="J56" s="23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</row>
    <row r="57" spans="1:61" s="18" customFormat="1" ht="12" customHeight="1">
      <c r="A57" s="33"/>
      <c r="B57" s="3"/>
      <c r="C57" s="33"/>
      <c r="D57" s="31"/>
      <c r="E57" s="31"/>
      <c r="F57" s="60"/>
      <c r="G57" s="31"/>
      <c r="H57" s="31"/>
      <c r="I57" s="34"/>
      <c r="J57" s="23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</row>
    <row r="58" spans="1:61" s="18" customFormat="1" ht="12" customHeight="1" thickBot="1">
      <c r="A58" s="33"/>
      <c r="B58" s="3" t="s">
        <v>10</v>
      </c>
      <c r="C58" s="33"/>
      <c r="D58" s="31"/>
      <c r="E58" s="31"/>
      <c r="F58" s="60"/>
      <c r="G58" s="31"/>
      <c r="H58" s="31"/>
      <c r="I58" s="34"/>
      <c r="J58" s="23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</row>
    <row r="59" spans="1:61" s="18" customFormat="1" ht="12" customHeight="1">
      <c r="A59" s="36"/>
      <c r="B59" s="67"/>
      <c r="C59" s="37"/>
      <c r="D59" s="38"/>
      <c r="E59" s="38"/>
      <c r="F59" s="59"/>
      <c r="G59" s="38"/>
      <c r="H59" s="38"/>
      <c r="I59" s="39"/>
      <c r="J59" s="4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</row>
    <row r="60" spans="1:61" s="18" customFormat="1" ht="12" customHeight="1">
      <c r="A60" s="41"/>
      <c r="B60" s="44"/>
      <c r="C60" s="33"/>
      <c r="D60" s="31"/>
      <c r="E60" s="31"/>
      <c r="F60" s="60"/>
      <c r="G60" s="31"/>
      <c r="H60" s="31"/>
      <c r="I60" s="34"/>
      <c r="J60" s="43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</row>
    <row r="61" spans="1:61" s="18" customFormat="1" ht="12" customHeight="1">
      <c r="A61" s="41"/>
      <c r="B61" s="3"/>
      <c r="C61" s="33"/>
      <c r="D61" s="31"/>
      <c r="E61" s="31"/>
      <c r="F61" s="60"/>
      <c r="G61" s="31"/>
      <c r="H61" s="31"/>
      <c r="I61" s="34"/>
      <c r="J61" s="43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</row>
    <row r="62" spans="1:61" s="18" customFormat="1" ht="12" customHeight="1">
      <c r="A62" s="41"/>
      <c r="B62" s="33"/>
      <c r="C62" s="33"/>
      <c r="D62" s="31"/>
      <c r="E62" s="31"/>
      <c r="F62" s="60"/>
      <c r="G62" s="31"/>
      <c r="H62" s="31"/>
      <c r="I62" s="34"/>
      <c r="J62" s="43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</row>
    <row r="63" spans="1:61" s="18" customFormat="1" ht="12" customHeight="1">
      <c r="A63" s="41"/>
      <c r="B63" s="33"/>
      <c r="C63" s="33"/>
      <c r="D63" s="31"/>
      <c r="E63" s="31"/>
      <c r="F63" s="60"/>
      <c r="G63" s="31"/>
      <c r="H63" s="31"/>
      <c r="I63" s="34"/>
      <c r="J63" s="43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</row>
    <row r="64" spans="1:61" s="18" customFormat="1" ht="12" customHeight="1">
      <c r="A64" s="41"/>
      <c r="B64" s="33"/>
      <c r="C64" s="33"/>
      <c r="D64" s="31"/>
      <c r="E64" s="31"/>
      <c r="F64" s="60"/>
      <c r="G64" s="31"/>
      <c r="H64" s="31"/>
      <c r="I64" s="34"/>
      <c r="J64" s="43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</row>
    <row r="65" spans="1:61" s="18" customFormat="1" ht="12" customHeight="1">
      <c r="A65" s="41"/>
      <c r="B65" s="33"/>
      <c r="C65" s="33"/>
      <c r="D65" s="31"/>
      <c r="E65" s="31"/>
      <c r="F65" s="60"/>
      <c r="G65" s="31"/>
      <c r="H65" s="31"/>
      <c r="I65" s="34"/>
      <c r="J65" s="43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</row>
    <row r="66" spans="1:61" s="18" customFormat="1" ht="12" customHeight="1">
      <c r="A66" s="41"/>
      <c r="B66" s="33"/>
      <c r="C66" s="33"/>
      <c r="D66" s="31"/>
      <c r="E66" s="31"/>
      <c r="F66" s="60"/>
      <c r="G66" s="31"/>
      <c r="H66" s="31"/>
      <c r="I66" s="34"/>
      <c r="J66" s="43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</row>
    <row r="67" spans="1:61" s="18" customFormat="1" ht="12" customHeight="1">
      <c r="A67" s="41"/>
      <c r="B67" s="33"/>
      <c r="C67" s="33"/>
      <c r="D67" s="31"/>
      <c r="E67" s="31"/>
      <c r="F67" s="60"/>
      <c r="G67" s="31"/>
      <c r="H67" s="31"/>
      <c r="I67" s="34"/>
      <c r="J67" s="43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</row>
    <row r="68" spans="1:61" s="18" customFormat="1" ht="12" customHeight="1" thickBot="1">
      <c r="A68" s="48"/>
      <c r="B68" s="49"/>
      <c r="C68" s="49"/>
      <c r="D68" s="50"/>
      <c r="E68" s="50"/>
      <c r="F68" s="61"/>
      <c r="G68" s="50"/>
      <c r="H68" s="50"/>
      <c r="I68" s="51"/>
      <c r="J68" s="52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</row>
    <row r="69" spans="1:61" ht="12" customHeight="1"/>
    <row r="70" spans="1:61" ht="12" customHeight="1"/>
    <row r="71" spans="1:61" ht="12" customHeight="1"/>
    <row r="72" spans="1:61" ht="12" customHeight="1"/>
    <row r="73" spans="1:61" ht="12" customHeight="1"/>
    <row r="74" spans="1:61" ht="12" customHeight="1"/>
    <row r="75" spans="1:61" ht="12" customHeight="1"/>
    <row r="76" spans="1:61" ht="12" customHeight="1"/>
    <row r="77" spans="1:61" ht="12" customHeight="1"/>
    <row r="78" spans="1:61" ht="12" customHeight="1"/>
    <row r="79" spans="1:61" ht="12" customHeight="1"/>
    <row r="80" spans="1:61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</sheetData>
  <phoneticPr fontId="6" type="noConversion"/>
  <conditionalFormatting sqref="B10 B12:B15 B27:B29 B17:B22">
    <cfRule type="cellIs" dxfId="1" priority="121" stopIfTrue="1" operator="equal">
      <formula>"Title"</formula>
    </cfRule>
  </conditionalFormatting>
  <conditionalFormatting sqref="B14:B15 B21:B22 B27:B29">
    <cfRule type="cellIs" dxfId="0" priority="122" stopIfTrue="1" operator="equal">
      <formula>"Adjustment to Income/Expense/Rate Base:"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D19:D27">
      <formula1>#REF!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8:E27 E10:E15">
      <formula1>"1, 2, 3"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view="pageBreakPreview" zoomScale="80" zoomScaleNormal="80" zoomScaleSheetLayoutView="80" workbookViewId="0">
      <pane xSplit="1" ySplit="7" topLeftCell="B8" activePane="bottomRight" state="frozen"/>
      <selection activeCell="C27" sqref="C27"/>
      <selection pane="topRight" activeCell="C27" sqref="C27"/>
      <selection pane="bottomLeft" activeCell="C27" sqref="C27"/>
      <selection pane="bottomRight" activeCell="A18" sqref="A18"/>
    </sheetView>
  </sheetViews>
  <sheetFormatPr defaultRowHeight="12.75"/>
  <cols>
    <col min="1" max="1" width="39.42578125" customWidth="1"/>
    <col min="2" max="2" width="52.7109375" bestFit="1" customWidth="1"/>
    <col min="3" max="3" width="18.140625" hidden="1" customWidth="1"/>
    <col min="4" max="4" width="17.28515625" hidden="1" customWidth="1"/>
    <col min="5" max="5" width="19.42578125" style="85" hidden="1" customWidth="1"/>
    <col min="6" max="6" width="16.5703125" style="85" hidden="1" customWidth="1"/>
    <col min="7" max="7" width="18.42578125" hidden="1" customWidth="1"/>
    <col min="8" max="8" width="20.140625" style="85" customWidth="1"/>
    <col min="9" max="12" width="19.42578125" style="85" customWidth="1"/>
    <col min="13" max="13" width="13.7109375" bestFit="1" customWidth="1"/>
    <col min="14" max="14" width="15.85546875" style="89" hidden="1" customWidth="1"/>
    <col min="15" max="17" width="21.140625" style="90" hidden="1" customWidth="1"/>
  </cols>
  <sheetData>
    <row r="1" spans="1:17">
      <c r="A1" s="1" t="s">
        <v>14</v>
      </c>
      <c r="H1" s="87"/>
      <c r="I1" s="88"/>
      <c r="J1" s="88"/>
      <c r="K1" s="88"/>
      <c r="L1" s="88"/>
    </row>
    <row r="2" spans="1:17">
      <c r="A2" s="1" t="s">
        <v>54</v>
      </c>
    </row>
    <row r="3" spans="1:17">
      <c r="A3" s="1" t="s">
        <v>230</v>
      </c>
      <c r="P3" s="97" t="s">
        <v>250</v>
      </c>
      <c r="Q3" s="97" t="s">
        <v>249</v>
      </c>
    </row>
    <row r="4" spans="1:17" s="91" customFormat="1">
      <c r="C4" s="91" t="s">
        <v>57</v>
      </c>
      <c r="D4" s="92" t="s">
        <v>58</v>
      </c>
      <c r="E4" s="93" t="s">
        <v>59</v>
      </c>
      <c r="F4" s="94" t="s">
        <v>60</v>
      </c>
      <c r="G4" s="95" t="s">
        <v>61</v>
      </c>
      <c r="H4" s="94"/>
      <c r="I4" s="94"/>
      <c r="J4" s="94"/>
      <c r="K4" s="94"/>
      <c r="L4" s="94"/>
      <c r="N4" s="96"/>
      <c r="O4" s="97" t="s">
        <v>62</v>
      </c>
      <c r="P4" s="97" t="s">
        <v>62</v>
      </c>
      <c r="Q4" s="97" t="s">
        <v>62</v>
      </c>
    </row>
    <row r="5" spans="1:17" s="91" customFormat="1">
      <c r="C5" s="91" t="s">
        <v>63</v>
      </c>
      <c r="D5" s="91" t="s">
        <v>64</v>
      </c>
      <c r="E5" s="94" t="s">
        <v>65</v>
      </c>
      <c r="F5" s="98" t="s">
        <v>66</v>
      </c>
      <c r="G5" s="91" t="s">
        <v>66</v>
      </c>
      <c r="H5" s="94" t="s">
        <v>67</v>
      </c>
      <c r="I5" s="94" t="s">
        <v>67</v>
      </c>
      <c r="J5" s="94" t="s">
        <v>68</v>
      </c>
      <c r="K5" s="94" t="s">
        <v>69</v>
      </c>
      <c r="L5" s="94" t="s">
        <v>69</v>
      </c>
      <c r="M5" s="91" t="s">
        <v>11</v>
      </c>
      <c r="N5" s="96"/>
      <c r="O5" s="97" t="s">
        <v>71</v>
      </c>
      <c r="P5" s="97" t="s">
        <v>70</v>
      </c>
      <c r="Q5" s="97" t="s">
        <v>70</v>
      </c>
    </row>
    <row r="6" spans="1:17" s="91" customFormat="1">
      <c r="C6" s="91" t="s">
        <v>72</v>
      </c>
      <c r="D6" s="91" t="s">
        <v>73</v>
      </c>
      <c r="E6" s="94" t="s">
        <v>74</v>
      </c>
      <c r="F6" s="98" t="s">
        <v>75</v>
      </c>
      <c r="G6" s="91" t="s">
        <v>76</v>
      </c>
      <c r="H6" s="94" t="s">
        <v>77</v>
      </c>
      <c r="I6" s="94" t="s">
        <v>78</v>
      </c>
      <c r="J6" s="94" t="s">
        <v>79</v>
      </c>
      <c r="K6" s="94" t="s">
        <v>80</v>
      </c>
      <c r="L6" s="94" t="s">
        <v>80</v>
      </c>
      <c r="M6" s="91" t="s">
        <v>81</v>
      </c>
      <c r="N6" s="96"/>
      <c r="O6" s="97" t="s">
        <v>82</v>
      </c>
      <c r="P6" s="97" t="s">
        <v>82</v>
      </c>
      <c r="Q6" s="97" t="s">
        <v>82</v>
      </c>
    </row>
    <row r="7" spans="1:17" s="91" customFormat="1">
      <c r="A7" s="99" t="s">
        <v>83</v>
      </c>
      <c r="B7" s="99" t="s">
        <v>72</v>
      </c>
      <c r="C7" s="99" t="s">
        <v>84</v>
      </c>
      <c r="D7" s="99"/>
      <c r="E7" s="100" t="s">
        <v>85</v>
      </c>
      <c r="F7" s="100"/>
      <c r="G7" s="99" t="s">
        <v>86</v>
      </c>
      <c r="H7" s="100" t="s">
        <v>87</v>
      </c>
      <c r="I7" s="100" t="s">
        <v>87</v>
      </c>
      <c r="J7" s="100" t="s">
        <v>63</v>
      </c>
      <c r="K7" s="100" t="s">
        <v>63</v>
      </c>
      <c r="L7" s="100" t="s">
        <v>62</v>
      </c>
      <c r="M7" s="91" t="s">
        <v>88</v>
      </c>
      <c r="N7" s="96" t="s">
        <v>89</v>
      </c>
      <c r="O7" s="101"/>
      <c r="P7" s="137" t="s">
        <v>11</v>
      </c>
      <c r="Q7" s="137" t="s">
        <v>11</v>
      </c>
    </row>
    <row r="9" spans="1:17">
      <c r="A9" t="s">
        <v>90</v>
      </c>
    </row>
    <row r="10" spans="1:17">
      <c r="A10" s="102" t="s">
        <v>91</v>
      </c>
      <c r="B10" s="103">
        <v>447.12</v>
      </c>
      <c r="C10" s="104"/>
      <c r="D10" s="105"/>
      <c r="E10" s="85">
        <f t="shared" ref="E10:E15" si="0">C10+D10</f>
        <v>0</v>
      </c>
      <c r="G10" s="85">
        <f>E10+F10</f>
        <v>0</v>
      </c>
      <c r="H10" s="85">
        <v>21806165.960000001</v>
      </c>
      <c r="I10" s="85">
        <f t="shared" ref="I10:I15" si="1">H10-G10</f>
        <v>21806165.960000001</v>
      </c>
      <c r="J10" s="85">
        <v>21557001.32</v>
      </c>
      <c r="K10" s="85">
        <f>J10-H10</f>
        <v>-249164.6400000006</v>
      </c>
      <c r="L10" s="85">
        <f>K10*N10</f>
        <v>-107526.2056783036</v>
      </c>
      <c r="M10" s="17" t="s">
        <v>12</v>
      </c>
      <c r="N10" s="82">
        <v>0.4315468104876492</v>
      </c>
      <c r="O10" s="90">
        <f t="shared" ref="O10:O15" si="2">+E10*N10</f>
        <v>0</v>
      </c>
      <c r="P10" s="90">
        <f>N10*H10</f>
        <v>9410381.3690023478</v>
      </c>
      <c r="Q10" s="90">
        <f>N10*J10</f>
        <v>9302855.1633240432</v>
      </c>
    </row>
    <row r="11" spans="1:17">
      <c r="A11" s="102" t="s">
        <v>92</v>
      </c>
      <c r="B11" s="103">
        <v>447.12200000000001</v>
      </c>
      <c r="C11" s="104"/>
      <c r="D11" s="105"/>
      <c r="E11" s="85">
        <f t="shared" si="0"/>
        <v>0</v>
      </c>
      <c r="G11" s="85">
        <f t="shared" ref="G11:G15" si="3">E11+F11</f>
        <v>0</v>
      </c>
      <c r="H11" s="85">
        <v>30104809.300000001</v>
      </c>
      <c r="I11" s="85">
        <f t="shared" si="1"/>
        <v>30104809.300000001</v>
      </c>
      <c r="J11" s="85">
        <v>30104809.300000001</v>
      </c>
      <c r="K11" s="85">
        <f t="shared" ref="K11:K13" si="4">J11-H11</f>
        <v>0</v>
      </c>
      <c r="L11" s="85">
        <f t="shared" ref="L11:L13" si="5">K11*N11</f>
        <v>0</v>
      </c>
      <c r="M11" s="17" t="s">
        <v>12</v>
      </c>
      <c r="N11" s="82">
        <v>0.4315468104876492</v>
      </c>
      <c r="O11" s="90">
        <f t="shared" si="2"/>
        <v>0</v>
      </c>
      <c r="P11" s="90">
        <f t="shared" ref="P11:P13" si="6">N11*H11</f>
        <v>12991634.433753919</v>
      </c>
      <c r="Q11" s="90">
        <f t="shared" ref="Q11:Q13" si="7">N11*J11</f>
        <v>12991634.433753919</v>
      </c>
    </row>
    <row r="12" spans="1:17">
      <c r="A12" s="102" t="s">
        <v>93</v>
      </c>
      <c r="B12" s="103" t="s">
        <v>94</v>
      </c>
      <c r="C12" s="104">
        <v>369045838.92999995</v>
      </c>
      <c r="D12" s="104"/>
      <c r="E12" s="85">
        <f t="shared" si="0"/>
        <v>369045838.92999995</v>
      </c>
      <c r="G12" s="85">
        <f t="shared" si="3"/>
        <v>369045838.92999995</v>
      </c>
      <c r="H12" s="85">
        <v>470049654.75999999</v>
      </c>
      <c r="I12" s="85">
        <f t="shared" si="1"/>
        <v>101003815.83000004</v>
      </c>
      <c r="J12" s="85">
        <v>404617359.23000002</v>
      </c>
      <c r="K12" s="85">
        <f t="shared" si="4"/>
        <v>-65432295.529999971</v>
      </c>
      <c r="L12" s="85">
        <f t="shared" si="5"/>
        <v>-28237098.438856754</v>
      </c>
      <c r="M12" s="17" t="s">
        <v>12</v>
      </c>
      <c r="N12" s="82">
        <v>0.4315468104876492</v>
      </c>
      <c r="O12" s="90">
        <f t="shared" si="2"/>
        <v>159260554.7139802</v>
      </c>
      <c r="P12" s="90">
        <f t="shared" si="6"/>
        <v>202848429.28249866</v>
      </c>
      <c r="Q12" s="90">
        <f t="shared" si="7"/>
        <v>174611330.84364191</v>
      </c>
    </row>
    <row r="13" spans="1:17">
      <c r="A13" s="102" t="s">
        <v>95</v>
      </c>
      <c r="B13" s="103">
        <v>447.5</v>
      </c>
      <c r="C13" s="104">
        <v>975103.89999999991</v>
      </c>
      <c r="D13" s="105"/>
      <c r="E13" s="85">
        <f t="shared" si="0"/>
        <v>975103.89999999991</v>
      </c>
      <c r="G13" s="85">
        <f t="shared" si="3"/>
        <v>975103.89999999991</v>
      </c>
      <c r="H13" s="85">
        <v>0</v>
      </c>
      <c r="I13" s="85">
        <f t="shared" si="1"/>
        <v>-975103.89999999991</v>
      </c>
      <c r="K13" s="85">
        <f t="shared" si="4"/>
        <v>0</v>
      </c>
      <c r="L13" s="85">
        <f t="shared" si="5"/>
        <v>0</v>
      </c>
      <c r="M13" s="17" t="s">
        <v>9</v>
      </c>
      <c r="N13" s="82">
        <v>0.429533673391716</v>
      </c>
      <c r="O13" s="90">
        <f t="shared" si="2"/>
        <v>418839.96010558849</v>
      </c>
      <c r="P13" s="90">
        <f t="shared" si="6"/>
        <v>0</v>
      </c>
      <c r="Q13" s="90">
        <f t="shared" si="7"/>
        <v>0</v>
      </c>
    </row>
    <row r="14" spans="1:17">
      <c r="A14" s="102" t="s">
        <v>96</v>
      </c>
      <c r="B14" s="103">
        <v>447.9</v>
      </c>
      <c r="C14" s="104">
        <v>1429557.9500000002</v>
      </c>
      <c r="D14" s="104">
        <f>-C14</f>
        <v>-1429557.9500000002</v>
      </c>
      <c r="E14" s="85">
        <f t="shared" si="0"/>
        <v>0</v>
      </c>
      <c r="G14" s="85">
        <f t="shared" si="3"/>
        <v>0</v>
      </c>
      <c r="I14" s="85">
        <f t="shared" si="1"/>
        <v>0</v>
      </c>
      <c r="M14" s="17" t="s">
        <v>97</v>
      </c>
      <c r="O14" s="90">
        <f t="shared" si="2"/>
        <v>0</v>
      </c>
    </row>
    <row r="15" spans="1:17">
      <c r="A15" s="102" t="s">
        <v>98</v>
      </c>
      <c r="B15" s="103">
        <v>447.1</v>
      </c>
      <c r="C15" s="104">
        <v>7728993.8599999994</v>
      </c>
      <c r="D15" s="104">
        <f>-C15</f>
        <v>-7728993.8599999994</v>
      </c>
      <c r="E15" s="85">
        <f t="shared" si="0"/>
        <v>0</v>
      </c>
      <c r="G15" s="85">
        <f t="shared" si="3"/>
        <v>0</v>
      </c>
      <c r="I15" s="85">
        <f t="shared" si="1"/>
        <v>0</v>
      </c>
      <c r="M15" s="17" t="s">
        <v>97</v>
      </c>
      <c r="O15" s="90">
        <f t="shared" si="2"/>
        <v>0</v>
      </c>
    </row>
    <row r="16" spans="1:17" ht="13.5" thickBot="1">
      <c r="A16" t="s">
        <v>99</v>
      </c>
      <c r="B16" s="103"/>
      <c r="C16" s="106">
        <f t="shared" ref="C16:G16" si="8">SUM(C10:C15)</f>
        <v>379179494.63999993</v>
      </c>
      <c r="D16" s="106">
        <f>SUM(D10:D15)</f>
        <v>-9158551.8099999987</v>
      </c>
      <c r="E16" s="107">
        <f t="shared" si="8"/>
        <v>370020942.82999992</v>
      </c>
      <c r="F16" s="107">
        <f t="shared" si="8"/>
        <v>0</v>
      </c>
      <c r="G16" s="106">
        <f t="shared" si="8"/>
        <v>370020942.82999992</v>
      </c>
      <c r="H16" s="107">
        <f>SUM(H10:H15)</f>
        <v>521960630.01999998</v>
      </c>
      <c r="I16" s="107">
        <f>SUM(I10:I15)</f>
        <v>151939687.19000003</v>
      </c>
      <c r="J16" s="107">
        <f>SUM(J10:J15)</f>
        <v>456279169.85000002</v>
      </c>
      <c r="K16" s="107">
        <f>SUM(K10:K15)</f>
        <v>-65681460.169999972</v>
      </c>
      <c r="L16" s="107">
        <f>SUM(L10:L15)</f>
        <v>-28344624.644535057</v>
      </c>
      <c r="M16" s="17"/>
      <c r="O16" s="108">
        <f>SUM(O10:O15)</f>
        <v>159679394.6740858</v>
      </c>
      <c r="P16" s="108">
        <f t="shared" ref="P16:Q16" si="9">SUM(P10:P15)</f>
        <v>225250445.08525491</v>
      </c>
      <c r="Q16" s="108">
        <f t="shared" si="9"/>
        <v>196905820.44071987</v>
      </c>
    </row>
    <row r="17" spans="1:17" ht="13.5" thickTop="1">
      <c r="B17" s="103"/>
      <c r="C17" s="105"/>
      <c r="D17" s="105"/>
      <c r="G17" s="105"/>
      <c r="M17" s="17"/>
    </row>
    <row r="18" spans="1:17">
      <c r="A18" t="s">
        <v>24</v>
      </c>
      <c r="B18" s="103"/>
      <c r="C18" s="105"/>
      <c r="D18" s="105"/>
      <c r="G18" s="105"/>
      <c r="M18" s="17"/>
    </row>
    <row r="19" spans="1:17">
      <c r="A19" s="102" t="s">
        <v>25</v>
      </c>
      <c r="B19" s="103">
        <v>555.66</v>
      </c>
      <c r="C19" s="104"/>
      <c r="D19" s="105"/>
      <c r="E19" s="85">
        <f t="shared" ref="E19:E26" si="10">C19+D19</f>
        <v>0</v>
      </c>
      <c r="G19" s="85">
        <f t="shared" ref="G19:G26" si="11">E19+F19</f>
        <v>0</v>
      </c>
      <c r="H19" s="85">
        <v>3391595.3805740154</v>
      </c>
      <c r="I19" s="85">
        <f t="shared" ref="I19:I26" si="12">H19-G19</f>
        <v>3391595.3805740154</v>
      </c>
      <c r="J19" s="85">
        <v>3688399.0388702448</v>
      </c>
      <c r="K19" s="85">
        <f t="shared" ref="K19:K25" si="13">J19-H19</f>
        <v>296803.65829622932</v>
      </c>
      <c r="L19" s="85">
        <f t="shared" ref="L19:L25" si="14">K19*N19</f>
        <v>128084.67207880387</v>
      </c>
      <c r="M19" s="109" t="s">
        <v>12</v>
      </c>
      <c r="N19" s="82">
        <v>0.4315468104876492</v>
      </c>
      <c r="O19" s="90">
        <f t="shared" ref="O19:O26" si="15">+E19*N19</f>
        <v>0</v>
      </c>
      <c r="P19" s="90">
        <f t="shared" ref="P19:P26" si="16">N19*H19</f>
        <v>1463632.1689513612</v>
      </c>
      <c r="Q19" s="90">
        <f t="shared" ref="Q19:Q26" si="17">N19*J19</f>
        <v>1591716.8410301651</v>
      </c>
    </row>
    <row r="20" spans="1:17">
      <c r="A20" s="102" t="s">
        <v>26</v>
      </c>
      <c r="B20" s="103">
        <v>555.67999999999995</v>
      </c>
      <c r="C20" s="104"/>
      <c r="D20" s="105"/>
      <c r="E20" s="85">
        <f t="shared" si="10"/>
        <v>0</v>
      </c>
      <c r="G20" s="85">
        <f t="shared" si="11"/>
        <v>0</v>
      </c>
      <c r="H20" s="85">
        <v>51657480.079053707</v>
      </c>
      <c r="I20" s="85">
        <f t="shared" si="12"/>
        <v>51657480.079053707</v>
      </c>
      <c r="J20" s="85">
        <v>51657480.083000004</v>
      </c>
      <c r="K20" s="85">
        <f t="shared" si="13"/>
        <v>3.9462968707084656E-3</v>
      </c>
      <c r="L20" s="85">
        <f t="shared" si="14"/>
        <v>1.7030118277916292E-3</v>
      </c>
      <c r="M20" s="109" t="s">
        <v>12</v>
      </c>
      <c r="N20" s="82">
        <v>0.4315468104876492</v>
      </c>
      <c r="O20" s="90">
        <f t="shared" si="15"/>
        <v>0</v>
      </c>
      <c r="P20" s="90">
        <f t="shared" si="16"/>
        <v>22292620.765944906</v>
      </c>
      <c r="Q20" s="90">
        <f t="shared" si="17"/>
        <v>22292620.767647915</v>
      </c>
    </row>
    <row r="21" spans="1:17">
      <c r="A21" s="102" t="s">
        <v>27</v>
      </c>
      <c r="B21" s="103" t="s">
        <v>100</v>
      </c>
      <c r="C21" s="104"/>
      <c r="D21" s="105"/>
      <c r="E21" s="85">
        <f t="shared" si="10"/>
        <v>0</v>
      </c>
      <c r="G21" s="85">
        <f t="shared" si="11"/>
        <v>0</v>
      </c>
      <c r="H21" s="85">
        <v>27632065.584734716</v>
      </c>
      <c r="I21" s="85">
        <f t="shared" si="12"/>
        <v>27632065.584734716</v>
      </c>
      <c r="J21" s="85">
        <v>28296037.898129754</v>
      </c>
      <c r="K21" s="85">
        <f t="shared" si="13"/>
        <v>663972.31339503825</v>
      </c>
      <c r="L21" s="85">
        <f t="shared" si="14"/>
        <v>285198.46680296643</v>
      </c>
      <c r="M21" s="109" t="s">
        <v>9</v>
      </c>
      <c r="N21" s="82">
        <v>0.429533673391716</v>
      </c>
      <c r="O21" s="90">
        <f t="shared" si="15"/>
        <v>0</v>
      </c>
      <c r="P21" s="90">
        <f t="shared" si="16"/>
        <v>11868902.634011917</v>
      </c>
      <c r="Q21" s="90">
        <f t="shared" si="17"/>
        <v>12154101.100814885</v>
      </c>
    </row>
    <row r="22" spans="1:17">
      <c r="A22" s="102" t="s">
        <v>28</v>
      </c>
      <c r="B22" s="110" t="s">
        <v>101</v>
      </c>
      <c r="C22" s="104">
        <v>402775435.91000009</v>
      </c>
      <c r="D22" s="104"/>
      <c r="E22" s="85">
        <f>C22+D22</f>
        <v>402775435.91000009</v>
      </c>
      <c r="F22" s="83">
        <v>27567522.229999997</v>
      </c>
      <c r="G22" s="85">
        <f t="shared" si="11"/>
        <v>430342958.1400001</v>
      </c>
      <c r="H22" s="85">
        <v>617141054.7856375</v>
      </c>
      <c r="I22" s="85">
        <f t="shared" si="12"/>
        <v>186798096.64563739</v>
      </c>
      <c r="J22" s="85">
        <v>589649277.80999994</v>
      </c>
      <c r="K22" s="85">
        <f t="shared" si="13"/>
        <v>-27491776.975637555</v>
      </c>
      <c r="L22" s="85">
        <f t="shared" si="14"/>
        <v>-11863988.668474177</v>
      </c>
      <c r="M22" s="109" t="s">
        <v>12</v>
      </c>
      <c r="N22" s="82">
        <v>0.4315468104876492</v>
      </c>
      <c r="O22" s="90">
        <f t="shared" si="15"/>
        <v>173816454.7097331</v>
      </c>
      <c r="P22" s="90">
        <f t="shared" si="16"/>
        <v>266325253.81372544</v>
      </c>
      <c r="Q22" s="90">
        <f t="shared" si="17"/>
        <v>254461265.14525127</v>
      </c>
    </row>
    <row r="23" spans="1:17">
      <c r="A23" s="102" t="s">
        <v>102</v>
      </c>
      <c r="B23" s="103" t="s">
        <v>103</v>
      </c>
      <c r="C23" s="104">
        <v>23644780.140000001</v>
      </c>
      <c r="D23" s="105"/>
      <c r="E23" s="85">
        <f t="shared" si="10"/>
        <v>23644780.140000001</v>
      </c>
      <c r="F23" s="86"/>
      <c r="G23" s="85">
        <f t="shared" si="11"/>
        <v>23644780.140000001</v>
      </c>
      <c r="H23" s="85">
        <v>0</v>
      </c>
      <c r="I23" s="85">
        <f t="shared" si="12"/>
        <v>-23644780.140000001</v>
      </c>
      <c r="K23" s="85">
        <f t="shared" si="13"/>
        <v>0</v>
      </c>
      <c r="L23" s="85">
        <f t="shared" si="14"/>
        <v>0</v>
      </c>
      <c r="M23" s="109" t="s">
        <v>9</v>
      </c>
      <c r="N23" s="82">
        <v>0.429533673391716</v>
      </c>
      <c r="O23" s="90">
        <f t="shared" si="15"/>
        <v>10156229.270073693</v>
      </c>
      <c r="P23" s="90">
        <f t="shared" si="16"/>
        <v>0</v>
      </c>
      <c r="Q23" s="90">
        <f t="shared" si="17"/>
        <v>0</v>
      </c>
    </row>
    <row r="24" spans="1:17">
      <c r="A24" s="111" t="s">
        <v>104</v>
      </c>
      <c r="B24" s="112"/>
      <c r="C24" s="104"/>
      <c r="D24" s="104"/>
      <c r="E24" s="83">
        <f t="shared" si="10"/>
        <v>0</v>
      </c>
      <c r="F24" s="83"/>
      <c r="G24" s="83">
        <f t="shared" si="11"/>
        <v>0</v>
      </c>
      <c r="H24" s="83">
        <v>0</v>
      </c>
      <c r="I24" s="83">
        <f t="shared" si="12"/>
        <v>0</v>
      </c>
      <c r="J24" s="83"/>
      <c r="K24" s="85">
        <f t="shared" si="13"/>
        <v>0</v>
      </c>
      <c r="L24" s="85">
        <f t="shared" si="14"/>
        <v>0</v>
      </c>
      <c r="M24" s="113"/>
      <c r="N24" s="82">
        <v>0</v>
      </c>
      <c r="O24" s="90">
        <f t="shared" si="15"/>
        <v>0</v>
      </c>
      <c r="P24" s="90">
        <f t="shared" si="16"/>
        <v>0</v>
      </c>
      <c r="Q24" s="90">
        <f t="shared" si="17"/>
        <v>0</v>
      </c>
    </row>
    <row r="25" spans="1:17">
      <c r="A25" s="102" t="s">
        <v>105</v>
      </c>
      <c r="B25" s="103"/>
      <c r="C25" s="104"/>
      <c r="D25" s="105"/>
      <c r="G25" s="85">
        <f t="shared" si="11"/>
        <v>0</v>
      </c>
      <c r="H25" s="85">
        <v>5405923.1100000003</v>
      </c>
      <c r="I25" s="85">
        <f t="shared" si="12"/>
        <v>5405923.1100000003</v>
      </c>
      <c r="J25" s="85">
        <v>5305233.66</v>
      </c>
      <c r="K25" s="85">
        <f t="shared" si="13"/>
        <v>-100689.45000000019</v>
      </c>
      <c r="L25" s="85">
        <f t="shared" si="14"/>
        <v>-43452.210997255708</v>
      </c>
      <c r="M25" s="109" t="s">
        <v>12</v>
      </c>
      <c r="N25" s="82">
        <v>0.4315468104876492</v>
      </c>
      <c r="O25" s="90">
        <f t="shared" si="15"/>
        <v>0</v>
      </c>
      <c r="P25" s="90">
        <f t="shared" si="16"/>
        <v>2332908.8758619735</v>
      </c>
      <c r="Q25" s="90">
        <f t="shared" si="17"/>
        <v>2289456.6648647175</v>
      </c>
    </row>
    <row r="26" spans="1:17">
      <c r="A26" s="102" t="s">
        <v>106</v>
      </c>
      <c r="B26" s="103" t="s">
        <v>107</v>
      </c>
      <c r="C26" s="104">
        <v>-30986809.460000001</v>
      </c>
      <c r="D26" s="83">
        <f>-C26</f>
        <v>30986809.460000001</v>
      </c>
      <c r="E26" s="85">
        <f t="shared" si="10"/>
        <v>0</v>
      </c>
      <c r="G26" s="85">
        <f t="shared" si="11"/>
        <v>0</v>
      </c>
      <c r="H26" s="85">
        <v>0</v>
      </c>
      <c r="I26" s="85">
        <f t="shared" si="12"/>
        <v>0</v>
      </c>
      <c r="M26" s="109" t="s">
        <v>97</v>
      </c>
      <c r="O26" s="90">
        <f t="shared" si="15"/>
        <v>0</v>
      </c>
      <c r="P26" s="90">
        <f t="shared" si="16"/>
        <v>0</v>
      </c>
      <c r="Q26" s="90">
        <f t="shared" si="17"/>
        <v>0</v>
      </c>
    </row>
    <row r="27" spans="1:17">
      <c r="A27" s="102" t="s">
        <v>11</v>
      </c>
      <c r="B27" s="103"/>
      <c r="C27" s="104"/>
      <c r="D27" s="104"/>
      <c r="E27" s="85" t="s">
        <v>11</v>
      </c>
      <c r="F27" s="83"/>
      <c r="G27" s="85" t="s">
        <v>11</v>
      </c>
      <c r="H27" s="83" t="s">
        <v>11</v>
      </c>
      <c r="I27" s="85" t="s">
        <v>11</v>
      </c>
      <c r="J27" s="85" t="s">
        <v>11</v>
      </c>
      <c r="M27" s="109" t="s">
        <v>11</v>
      </c>
      <c r="N27" s="82" t="s">
        <v>11</v>
      </c>
      <c r="O27" s="90" t="s">
        <v>11</v>
      </c>
      <c r="P27" s="90" t="s">
        <v>11</v>
      </c>
      <c r="Q27" s="90" t="s">
        <v>11</v>
      </c>
    </row>
    <row r="28" spans="1:17" ht="13.5" thickBot="1">
      <c r="A28" t="s">
        <v>108</v>
      </c>
      <c r="B28" s="103"/>
      <c r="C28" s="106">
        <f>SUM(C19:C27)</f>
        <v>395433406.59000009</v>
      </c>
      <c r="D28" s="107">
        <f t="shared" ref="D28:G28" si="18">SUM(D19:D27)</f>
        <v>30986809.460000001</v>
      </c>
      <c r="E28" s="107">
        <f>SUM(E19:E27)</f>
        <v>426420216.05000007</v>
      </c>
      <c r="F28" s="107">
        <f>SUM(F19:F27)</f>
        <v>27567522.229999997</v>
      </c>
      <c r="G28" s="106">
        <f t="shared" si="18"/>
        <v>453987738.28000009</v>
      </c>
      <c r="H28" s="107">
        <f>SUM(H19:H27)</f>
        <v>705228118.93999994</v>
      </c>
      <c r="I28" s="107">
        <f>SUM(I19:I27)</f>
        <v>251240380.65999985</v>
      </c>
      <c r="J28" s="107">
        <f>SUM(J19:J27)</f>
        <v>678596428.48999989</v>
      </c>
      <c r="K28" s="107">
        <f>SUM(K19:K27)</f>
        <v>-26631690.449999992</v>
      </c>
      <c r="L28" s="107">
        <f>SUM(L19:L27)</f>
        <v>-11494157.738886651</v>
      </c>
      <c r="M28" s="17"/>
      <c r="O28" s="114">
        <f>SUM(O19:O27)</f>
        <v>183972683.97980678</v>
      </c>
      <c r="P28" s="114">
        <f t="shared" ref="P28:Q28" si="19">SUM(P19:P27)</f>
        <v>304283318.25849563</v>
      </c>
      <c r="Q28" s="114">
        <f t="shared" si="19"/>
        <v>292789160.51960897</v>
      </c>
    </row>
    <row r="29" spans="1:17" ht="13.5" thickTop="1">
      <c r="B29" s="103"/>
      <c r="C29" s="115"/>
      <c r="D29" s="115"/>
      <c r="E29" s="84"/>
      <c r="F29" s="84"/>
      <c r="G29" s="115"/>
      <c r="H29" s="84"/>
      <c r="I29" s="84"/>
      <c r="J29" s="84"/>
      <c r="K29" s="84"/>
      <c r="L29" s="84"/>
      <c r="M29" s="17"/>
      <c r="O29" s="116"/>
      <c r="P29" s="116"/>
      <c r="Q29" s="116"/>
    </row>
    <row r="30" spans="1:17">
      <c r="A30" t="s">
        <v>109</v>
      </c>
      <c r="B30" s="103"/>
      <c r="C30" s="105"/>
      <c r="D30" s="105"/>
      <c r="G30" s="105"/>
      <c r="M30" s="17"/>
    </row>
    <row r="31" spans="1:17">
      <c r="A31" s="102" t="s">
        <v>19</v>
      </c>
      <c r="B31" s="103">
        <v>565.26</v>
      </c>
      <c r="C31" s="104"/>
      <c r="D31" s="105"/>
      <c r="E31" s="85">
        <f>C31+D31</f>
        <v>0</v>
      </c>
      <c r="G31" s="85">
        <f t="shared" ref="G31:G34" si="20">E31+F31</f>
        <v>0</v>
      </c>
      <c r="H31" s="85">
        <v>24712269.729999993</v>
      </c>
      <c r="I31" s="85">
        <f>H31-G31</f>
        <v>24712269.729999993</v>
      </c>
      <c r="J31" s="85">
        <v>24712269.729999993</v>
      </c>
      <c r="K31" s="85">
        <f t="shared" ref="K31:K34" si="21">J31-H31</f>
        <v>0</v>
      </c>
      <c r="L31" s="85">
        <f t="shared" ref="L31:L34" si="22">K31*N31</f>
        <v>0</v>
      </c>
      <c r="M31" s="109" t="s">
        <v>12</v>
      </c>
      <c r="N31" s="82">
        <v>0.4315468104876492</v>
      </c>
      <c r="O31" s="90">
        <f>+E31*N31</f>
        <v>0</v>
      </c>
      <c r="P31" s="90">
        <f t="shared" ref="P31:P34" si="23">N31*H31</f>
        <v>10664501.181891978</v>
      </c>
      <c r="Q31" s="90">
        <f t="shared" ref="Q31:Q34" si="24">N31*J31</f>
        <v>10664501.181891978</v>
      </c>
    </row>
    <row r="32" spans="1:17">
      <c r="A32" s="102" t="s">
        <v>20</v>
      </c>
      <c r="B32" s="103">
        <v>565.27</v>
      </c>
      <c r="C32" s="104">
        <v>0</v>
      </c>
      <c r="D32" s="105"/>
      <c r="E32" s="85">
        <f>C32+D32</f>
        <v>0</v>
      </c>
      <c r="G32" s="85">
        <f t="shared" si="20"/>
        <v>0</v>
      </c>
      <c r="H32" s="85">
        <v>0</v>
      </c>
      <c r="I32" s="85">
        <f>H32-G32</f>
        <v>0</v>
      </c>
      <c r="K32" s="85">
        <f t="shared" si="21"/>
        <v>0</v>
      </c>
      <c r="L32" s="85">
        <f t="shared" si="22"/>
        <v>0</v>
      </c>
      <c r="M32" s="109" t="s">
        <v>12</v>
      </c>
      <c r="N32" s="82">
        <v>0.4315468104876492</v>
      </c>
      <c r="O32" s="90">
        <f>+E32*N32</f>
        <v>0</v>
      </c>
      <c r="P32" s="90">
        <f t="shared" si="23"/>
        <v>0</v>
      </c>
      <c r="Q32" s="90">
        <f t="shared" si="24"/>
        <v>0</v>
      </c>
    </row>
    <row r="33" spans="1:17">
      <c r="A33" s="102" t="s">
        <v>28</v>
      </c>
      <c r="B33" s="103" t="s">
        <v>110</v>
      </c>
      <c r="C33" s="104">
        <v>131608085.83</v>
      </c>
      <c r="D33" s="105"/>
      <c r="E33" s="85">
        <f>C33+D33</f>
        <v>131608085.83</v>
      </c>
      <c r="G33" s="85">
        <f t="shared" si="20"/>
        <v>131608085.83</v>
      </c>
      <c r="H33" s="85">
        <v>101580885.06</v>
      </c>
      <c r="I33" s="85">
        <f>H33-G33</f>
        <v>-30027200.769999996</v>
      </c>
      <c r="J33" s="85">
        <v>104515904.83000003</v>
      </c>
      <c r="K33" s="85">
        <f t="shared" si="21"/>
        <v>2935019.7700000256</v>
      </c>
      <c r="L33" s="85">
        <f t="shared" si="22"/>
        <v>1266598.4204617047</v>
      </c>
      <c r="M33" s="109" t="s">
        <v>12</v>
      </c>
      <c r="N33" s="82">
        <v>0.4315468104876492</v>
      </c>
      <c r="O33" s="90">
        <f>+E33*N33</f>
        <v>56795049.674321279</v>
      </c>
      <c r="P33" s="90">
        <f t="shared" si="23"/>
        <v>43836906.954155497</v>
      </c>
      <c r="Q33" s="90">
        <f t="shared" si="24"/>
        <v>45103505.374617204</v>
      </c>
    </row>
    <row r="34" spans="1:17">
      <c r="A34" s="102" t="s">
        <v>111</v>
      </c>
      <c r="B34" s="103">
        <v>565.25</v>
      </c>
      <c r="C34" s="104">
        <v>6292489.8799999999</v>
      </c>
      <c r="D34" s="105"/>
      <c r="E34" s="85">
        <f>C34+D34</f>
        <v>6292489.8799999999</v>
      </c>
      <c r="G34" s="85">
        <f t="shared" si="20"/>
        <v>6292489.8799999999</v>
      </c>
      <c r="H34" s="85">
        <v>6361487.0099999998</v>
      </c>
      <c r="I34" s="85">
        <f>H34-G34</f>
        <v>68997.129999999888</v>
      </c>
      <c r="J34" s="85">
        <v>6017203.5099999998</v>
      </c>
      <c r="K34" s="85">
        <f t="shared" si="21"/>
        <v>-344283.5</v>
      </c>
      <c r="L34" s="85">
        <f t="shared" si="22"/>
        <v>-147881.35644315687</v>
      </c>
      <c r="M34" s="17" t="s">
        <v>9</v>
      </c>
      <c r="N34" s="82">
        <v>0.429533673391716</v>
      </c>
      <c r="O34" s="90">
        <f>+E34*N34</f>
        <v>2702836.292936598</v>
      </c>
      <c r="P34" s="90">
        <f t="shared" si="23"/>
        <v>2732472.8836389841</v>
      </c>
      <c r="Q34" s="90">
        <f t="shared" si="24"/>
        <v>2584591.5271958271</v>
      </c>
    </row>
    <row r="35" spans="1:17" ht="13.5" thickBot="1">
      <c r="A35" t="s">
        <v>112</v>
      </c>
      <c r="B35" s="103"/>
      <c r="C35" s="106">
        <f>SUM(C31:C34)</f>
        <v>137900575.71000001</v>
      </c>
      <c r="D35" s="117">
        <v>0</v>
      </c>
      <c r="E35" s="107">
        <f t="shared" ref="E35:L35" si="25">SUM(E31:E34)</f>
        <v>137900575.71000001</v>
      </c>
      <c r="F35" s="107">
        <f t="shared" si="25"/>
        <v>0</v>
      </c>
      <c r="G35" s="106">
        <f t="shared" si="25"/>
        <v>137900575.71000001</v>
      </c>
      <c r="H35" s="107">
        <f t="shared" si="25"/>
        <v>132654641.8</v>
      </c>
      <c r="I35" s="107">
        <f t="shared" si="25"/>
        <v>-5245933.9100000029</v>
      </c>
      <c r="J35" s="107">
        <f t="shared" si="25"/>
        <v>135245378.07000002</v>
      </c>
      <c r="K35" s="107">
        <f t="shared" si="25"/>
        <v>2590736.2700000256</v>
      </c>
      <c r="L35" s="107">
        <f t="shared" si="25"/>
        <v>1118717.0640185478</v>
      </c>
      <c r="M35" s="17"/>
      <c r="O35" s="108">
        <f>SUM(O31:O34)</f>
        <v>59497885.96725788</v>
      </c>
      <c r="P35" s="108">
        <f t="shared" ref="P35:Q35" si="26">SUM(P31:P34)</f>
        <v>57233881.01968646</v>
      </c>
      <c r="Q35" s="108">
        <f t="shared" si="26"/>
        <v>58352598.083705008</v>
      </c>
    </row>
    <row r="36" spans="1:17" ht="13.5" thickTop="1">
      <c r="B36" s="103"/>
      <c r="C36" s="105"/>
      <c r="D36" s="105"/>
      <c r="G36" s="105"/>
      <c r="M36" s="17"/>
    </row>
    <row r="37" spans="1:17">
      <c r="A37" t="s">
        <v>113</v>
      </c>
      <c r="B37" s="103"/>
      <c r="C37" s="105"/>
      <c r="D37" s="105"/>
      <c r="G37" s="105"/>
      <c r="M37" s="17"/>
    </row>
    <row r="38" spans="1:17">
      <c r="A38" s="102" t="s">
        <v>114</v>
      </c>
      <c r="B38" s="103">
        <v>501.12</v>
      </c>
      <c r="C38" s="104">
        <v>-103365.08</v>
      </c>
      <c r="D38" s="118"/>
      <c r="E38" s="85">
        <f t="shared" ref="E38:E46" si="27">C38+D38</f>
        <v>-103365.08</v>
      </c>
      <c r="G38" s="85">
        <f t="shared" ref="G38:G46" si="28">E38+F38</f>
        <v>-103365.08</v>
      </c>
      <c r="H38" s="85">
        <v>0</v>
      </c>
      <c r="I38" s="85">
        <f t="shared" ref="I38:I46" si="29">H38-G38</f>
        <v>103365.08</v>
      </c>
      <c r="K38" s="85">
        <f t="shared" ref="K38:K45" si="30">J38-H38</f>
        <v>0</v>
      </c>
      <c r="L38" s="85">
        <f t="shared" ref="L38:L45" si="31">K38*N38</f>
        <v>0</v>
      </c>
      <c r="M38" s="119" t="s">
        <v>15</v>
      </c>
      <c r="N38" s="82">
        <v>0</v>
      </c>
      <c r="O38" s="90">
        <f t="shared" ref="O38:O46" si="32">+E38*N38</f>
        <v>0</v>
      </c>
      <c r="P38" s="90">
        <f t="shared" ref="P38:P45" si="33">N38*H38</f>
        <v>0</v>
      </c>
      <c r="Q38" s="90">
        <f t="shared" ref="Q38:Q46" si="34">N38*J38</f>
        <v>0</v>
      </c>
    </row>
    <row r="39" spans="1:17">
      <c r="A39" s="102" t="s">
        <v>115</v>
      </c>
      <c r="B39" s="103">
        <v>501.12</v>
      </c>
      <c r="C39" s="104">
        <v>-305916.83999999997</v>
      </c>
      <c r="D39" s="118"/>
      <c r="E39" s="85">
        <f t="shared" si="27"/>
        <v>-305916.83999999997</v>
      </c>
      <c r="G39" s="85">
        <f t="shared" si="28"/>
        <v>-305916.83999999997</v>
      </c>
      <c r="H39" s="85">
        <v>0</v>
      </c>
      <c r="I39" s="85">
        <f t="shared" si="29"/>
        <v>305916.83999999997</v>
      </c>
      <c r="K39" s="85">
        <f t="shared" si="30"/>
        <v>0</v>
      </c>
      <c r="L39" s="85">
        <f t="shared" si="31"/>
        <v>0</v>
      </c>
      <c r="M39" s="119" t="s">
        <v>13</v>
      </c>
      <c r="N39" s="82">
        <v>0</v>
      </c>
      <c r="O39" s="90">
        <f t="shared" si="32"/>
        <v>0</v>
      </c>
      <c r="P39" s="90">
        <f t="shared" si="33"/>
        <v>0</v>
      </c>
      <c r="Q39" s="90">
        <f t="shared" si="34"/>
        <v>0</v>
      </c>
    </row>
    <row r="40" spans="1:17">
      <c r="A40" s="102" t="s">
        <v>34</v>
      </c>
      <c r="B40" s="103">
        <v>501.1</v>
      </c>
      <c r="C40" s="118">
        <v>600800160.78000093</v>
      </c>
      <c r="D40" s="118"/>
      <c r="E40" s="85">
        <f t="shared" si="27"/>
        <v>600800160.78000093</v>
      </c>
      <c r="G40" s="85">
        <f t="shared" si="28"/>
        <v>600800160.78000093</v>
      </c>
      <c r="H40" s="85">
        <v>712834129.4000001</v>
      </c>
      <c r="I40" s="85">
        <f t="shared" si="29"/>
        <v>112033968.61999917</v>
      </c>
      <c r="J40" s="85">
        <v>683268417.16999996</v>
      </c>
      <c r="K40" s="85">
        <f t="shared" si="30"/>
        <v>-29565712.230000138</v>
      </c>
      <c r="L40" s="85">
        <f t="shared" si="31"/>
        <v>-12699468.980594343</v>
      </c>
      <c r="M40" s="17" t="s">
        <v>9</v>
      </c>
      <c r="N40" s="82">
        <v>0.429533673391716</v>
      </c>
      <c r="O40" s="90">
        <f t="shared" si="32"/>
        <v>258063900.03416738</v>
      </c>
      <c r="P40" s="90">
        <f t="shared" si="33"/>
        <v>306186262.12016785</v>
      </c>
      <c r="Q40" s="90">
        <f t="shared" si="34"/>
        <v>293486793.13957351</v>
      </c>
    </row>
    <row r="41" spans="1:17">
      <c r="A41" s="102" t="s">
        <v>35</v>
      </c>
      <c r="B41" s="103">
        <v>501.35</v>
      </c>
      <c r="C41" s="104">
        <v>13695407.24</v>
      </c>
      <c r="D41" s="105"/>
      <c r="E41" s="85">
        <f t="shared" si="27"/>
        <v>13695407.24</v>
      </c>
      <c r="G41" s="85">
        <f t="shared" si="28"/>
        <v>13695407.24</v>
      </c>
      <c r="H41" s="85">
        <v>6134544.3970143236</v>
      </c>
      <c r="I41" s="85">
        <f t="shared" si="29"/>
        <v>-7560862.8429856766</v>
      </c>
      <c r="J41" s="85">
        <v>5467396.4656861266</v>
      </c>
      <c r="K41" s="85">
        <f t="shared" si="30"/>
        <v>-667147.93132819701</v>
      </c>
      <c r="L41" s="85">
        <f t="shared" si="31"/>
        <v>-286562.50163908477</v>
      </c>
      <c r="M41" s="17" t="s">
        <v>9</v>
      </c>
      <c r="N41" s="82">
        <v>0.429533673391716</v>
      </c>
      <c r="O41" s="90">
        <f t="shared" si="32"/>
        <v>5882638.5803927025</v>
      </c>
      <c r="P41" s="90">
        <f t="shared" si="33"/>
        <v>2634993.3894341318</v>
      </c>
      <c r="Q41" s="90">
        <f t="shared" si="34"/>
        <v>2348430.8877950469</v>
      </c>
    </row>
    <row r="42" spans="1:17">
      <c r="A42" s="102" t="s">
        <v>116</v>
      </c>
      <c r="B42" s="103">
        <v>503</v>
      </c>
      <c r="C42" s="104">
        <v>3321607.7199999997</v>
      </c>
      <c r="D42" s="105"/>
      <c r="E42" s="85">
        <f t="shared" si="27"/>
        <v>3321607.7199999997</v>
      </c>
      <c r="G42" s="85">
        <f t="shared" si="28"/>
        <v>3321607.7199999997</v>
      </c>
      <c r="H42" s="85">
        <v>3653154.72</v>
      </c>
      <c r="I42" s="85">
        <f t="shared" si="29"/>
        <v>331547.00000000047</v>
      </c>
      <c r="J42" s="85">
        <v>3483826.95</v>
      </c>
      <c r="K42" s="85">
        <f t="shared" si="30"/>
        <v>-169327.77000000002</v>
      </c>
      <c r="L42" s="85">
        <f t="shared" si="31"/>
        <v>-72731.979055327611</v>
      </c>
      <c r="M42" s="17" t="s">
        <v>9</v>
      </c>
      <c r="N42" s="82">
        <v>0.429533673391716</v>
      </c>
      <c r="O42" s="90">
        <f t="shared" si="32"/>
        <v>1426742.3655378823</v>
      </c>
      <c r="P42" s="90">
        <f t="shared" si="33"/>
        <v>1569152.9663498858</v>
      </c>
      <c r="Q42" s="90">
        <f t="shared" si="34"/>
        <v>1496420.9872945582</v>
      </c>
    </row>
    <row r="43" spans="1:17">
      <c r="A43" s="102" t="s">
        <v>37</v>
      </c>
      <c r="B43" s="103">
        <v>547</v>
      </c>
      <c r="C43" s="104">
        <v>365731150.58999896</v>
      </c>
      <c r="D43" s="105"/>
      <c r="E43" s="85">
        <f t="shared" si="27"/>
        <v>365731150.58999896</v>
      </c>
      <c r="G43" s="85">
        <f t="shared" si="28"/>
        <v>365731150.58999896</v>
      </c>
      <c r="H43" s="85">
        <v>385646789.21963966</v>
      </c>
      <c r="I43" s="85">
        <f t="shared" si="29"/>
        <v>19915638.629640698</v>
      </c>
      <c r="J43" s="85">
        <v>358334897.45669323</v>
      </c>
      <c r="K43" s="85">
        <f t="shared" si="30"/>
        <v>-27311891.762946427</v>
      </c>
      <c r="L43" s="85">
        <f t="shared" si="31"/>
        <v>-11731377.19621533</v>
      </c>
      <c r="M43" s="17" t="s">
        <v>9</v>
      </c>
      <c r="N43" s="82">
        <v>0.429533673391716</v>
      </c>
      <c r="O43" s="90">
        <f t="shared" si="32"/>
        <v>157093844.58670112</v>
      </c>
      <c r="P43" s="90">
        <f t="shared" si="33"/>
        <v>165648282.00523263</v>
      </c>
      <c r="Q43" s="90">
        <f t="shared" si="34"/>
        <v>153916904.8090173</v>
      </c>
    </row>
    <row r="44" spans="1:17">
      <c r="A44" s="102" t="s">
        <v>38</v>
      </c>
      <c r="B44" s="103">
        <v>547</v>
      </c>
      <c r="C44" s="104">
        <v>16065664.24</v>
      </c>
      <c r="D44" s="105"/>
      <c r="E44" s="85">
        <f t="shared" si="27"/>
        <v>16065664.24</v>
      </c>
      <c r="G44" s="85">
        <f t="shared" si="28"/>
        <v>16065664.24</v>
      </c>
      <c r="H44" s="85">
        <v>20798119.962942347</v>
      </c>
      <c r="I44" s="85">
        <f t="shared" si="29"/>
        <v>4732455.7229423467</v>
      </c>
      <c r="J44" s="85">
        <v>18999324.054115064</v>
      </c>
      <c r="K44" s="85">
        <f t="shared" si="30"/>
        <v>-1798795.9088272825</v>
      </c>
      <c r="L44" s="85">
        <f t="shared" si="31"/>
        <v>-772643.41440057289</v>
      </c>
      <c r="M44" s="17" t="s">
        <v>9</v>
      </c>
      <c r="N44" s="82">
        <v>0.429533673391716</v>
      </c>
      <c r="O44" s="90">
        <f t="shared" si="32"/>
        <v>6900743.7764851311</v>
      </c>
      <c r="P44" s="90">
        <f t="shared" si="33"/>
        <v>8933492.867324207</v>
      </c>
      <c r="Q44" s="90">
        <f t="shared" si="34"/>
        <v>8160849.4529236332</v>
      </c>
    </row>
    <row r="45" spans="1:17">
      <c r="A45" s="102" t="s">
        <v>117</v>
      </c>
      <c r="B45" s="110" t="s">
        <v>118</v>
      </c>
      <c r="C45" s="104">
        <v>49297564.449999996</v>
      </c>
      <c r="D45" s="105"/>
      <c r="E45" s="85">
        <f t="shared" si="27"/>
        <v>49297564.449999996</v>
      </c>
      <c r="G45" s="85">
        <f t="shared" si="28"/>
        <v>49297564.449999996</v>
      </c>
      <c r="H45" s="85">
        <v>54523788.770000003</v>
      </c>
      <c r="I45" s="85">
        <f t="shared" si="29"/>
        <v>5226224.3200000077</v>
      </c>
      <c r="J45" s="85">
        <v>52048035.280000001</v>
      </c>
      <c r="K45" s="85">
        <f t="shared" si="30"/>
        <v>-2475753.4900000021</v>
      </c>
      <c r="L45" s="85">
        <f t="shared" si="31"/>
        <v>-1063419.4909720619</v>
      </c>
      <c r="M45" s="17" t="s">
        <v>9</v>
      </c>
      <c r="N45" s="82">
        <v>0.429533673391716</v>
      </c>
      <c r="O45" s="90">
        <f t="shared" si="32"/>
        <v>21174963.947473366</v>
      </c>
      <c r="P45" s="90">
        <f t="shared" si="33"/>
        <v>23419803.277612094</v>
      </c>
      <c r="Q45" s="90">
        <f t="shared" si="34"/>
        <v>22356383.786640033</v>
      </c>
    </row>
    <row r="46" spans="1:17">
      <c r="A46" s="102" t="s">
        <v>119</v>
      </c>
      <c r="B46" s="110" t="s">
        <v>120</v>
      </c>
      <c r="C46" s="104">
        <v>21254205.049999997</v>
      </c>
      <c r="D46" s="83">
        <f>-C46</f>
        <v>-21254205.049999997</v>
      </c>
      <c r="E46" s="85">
        <f t="shared" si="27"/>
        <v>0</v>
      </c>
      <c r="G46" s="85">
        <f t="shared" si="28"/>
        <v>0</v>
      </c>
      <c r="I46" s="85">
        <f t="shared" si="29"/>
        <v>0</v>
      </c>
      <c r="M46" s="17" t="s">
        <v>9</v>
      </c>
      <c r="N46" s="82">
        <v>0.429533673391716</v>
      </c>
      <c r="O46" s="90">
        <f t="shared" si="32"/>
        <v>0</v>
      </c>
      <c r="P46" s="90">
        <f>N46*H46</f>
        <v>0</v>
      </c>
      <c r="Q46" s="90">
        <f t="shared" si="34"/>
        <v>0</v>
      </c>
    </row>
    <row r="47" spans="1:17" ht="13.5" thickBot="1">
      <c r="A47" t="s">
        <v>121</v>
      </c>
      <c r="C47" s="106">
        <f t="shared" ref="C47:G47" si="35">SUM(C38:C46)</f>
        <v>1069756478.15</v>
      </c>
      <c r="D47" s="106">
        <f t="shared" si="35"/>
        <v>-21254205.049999997</v>
      </c>
      <c r="E47" s="107">
        <f t="shared" si="35"/>
        <v>1048502273.1</v>
      </c>
      <c r="F47" s="107">
        <f t="shared" si="35"/>
        <v>0</v>
      </c>
      <c r="G47" s="106">
        <f t="shared" si="35"/>
        <v>1048502273.1</v>
      </c>
      <c r="H47" s="107">
        <f>SUM(H38:H46)</f>
        <v>1183590526.4695966</v>
      </c>
      <c r="I47" s="107">
        <f>SUM(I38:I46)</f>
        <v>135088253.36959654</v>
      </c>
      <c r="J47" s="107">
        <f>SUM(J38:J46)</f>
        <v>1121601897.3764944</v>
      </c>
      <c r="K47" s="107">
        <f>SUM(K38:K46)</f>
        <v>-61988629.093102045</v>
      </c>
      <c r="L47" s="107">
        <f>SUM(L38:L46)</f>
        <v>-26626203.56287672</v>
      </c>
      <c r="M47" s="17"/>
      <c r="O47" s="108">
        <f>SUM(O38:O46)</f>
        <v>450542833.29075754</v>
      </c>
      <c r="P47" s="108">
        <f t="shared" ref="P47:Q47" si="36">SUM(P38:P46)</f>
        <v>508391986.62612087</v>
      </c>
      <c r="Q47" s="108">
        <f t="shared" si="36"/>
        <v>481765783.0632441</v>
      </c>
    </row>
    <row r="48" spans="1:17" ht="13.5" thickTop="1">
      <c r="C48" s="105"/>
      <c r="D48" s="105"/>
      <c r="G48" s="105"/>
      <c r="M48" s="17"/>
    </row>
    <row r="49" spans="1:18" s="1" customFormat="1" ht="13.5" thickBot="1">
      <c r="A49" s="91" t="s">
        <v>122</v>
      </c>
      <c r="C49" s="120">
        <f t="shared" ref="C49:H49" si="37">C28+C35+C47-C16</f>
        <v>1223910965.8100002</v>
      </c>
      <c r="D49" s="120">
        <f t="shared" si="37"/>
        <v>18891156.220000003</v>
      </c>
      <c r="E49" s="121">
        <f t="shared" si="37"/>
        <v>1242802122.0300002</v>
      </c>
      <c r="F49" s="121">
        <f t="shared" si="37"/>
        <v>27567522.229999997</v>
      </c>
      <c r="G49" s="120">
        <f>G28+G35+G47-G16</f>
        <v>1270369644.2600002</v>
      </c>
      <c r="H49" s="121">
        <f t="shared" si="37"/>
        <v>1499512657.1895967</v>
      </c>
      <c r="I49" s="121">
        <f>I28+I35+I47-I16</f>
        <v>229143012.92959633</v>
      </c>
      <c r="J49" s="121">
        <f>J28+J35+J47-J16</f>
        <v>1479164534.0864944</v>
      </c>
      <c r="K49" s="121">
        <f>K28+K35+K47-K16</f>
        <v>-20348123.103102043</v>
      </c>
      <c r="L49" s="121">
        <f>L28+L35+L47-L16</f>
        <v>-8657019.5932097659</v>
      </c>
      <c r="M49" s="91"/>
      <c r="N49" s="122"/>
      <c r="O49" s="123">
        <f>O28+O35+O47-O16</f>
        <v>534334008.56373638</v>
      </c>
      <c r="P49" s="123">
        <f t="shared" ref="P49:Q49" si="38">P28+P35+P47-P16</f>
        <v>644658740.81904805</v>
      </c>
      <c r="Q49" s="123">
        <f t="shared" si="38"/>
        <v>636001721.22583818</v>
      </c>
    </row>
    <row r="50" spans="1:18" ht="13.5" thickTop="1">
      <c r="C50" s="105"/>
      <c r="D50" s="87" t="s">
        <v>123</v>
      </c>
      <c r="E50" s="87" t="s">
        <v>124</v>
      </c>
      <c r="F50" s="87" t="s">
        <v>125</v>
      </c>
      <c r="G50" s="124"/>
      <c r="H50" s="87" t="s">
        <v>126</v>
      </c>
      <c r="I50" s="87" t="s">
        <v>126</v>
      </c>
      <c r="J50" s="87" t="s">
        <v>127</v>
      </c>
      <c r="K50" s="87" t="s">
        <v>128</v>
      </c>
      <c r="L50" s="87" t="s">
        <v>128</v>
      </c>
    </row>
    <row r="51" spans="1:18">
      <c r="C51" s="105"/>
      <c r="D51" s="124"/>
      <c r="E51" s="125"/>
      <c r="F51" s="125"/>
      <c r="G51" s="124"/>
      <c r="H51" s="87"/>
      <c r="I51" s="125"/>
      <c r="J51" s="125"/>
      <c r="K51" s="125"/>
      <c r="L51" s="125"/>
      <c r="N51" s="126" t="s">
        <v>11</v>
      </c>
      <c r="O51" s="127" t="s">
        <v>11</v>
      </c>
      <c r="P51" s="127" t="s">
        <v>11</v>
      </c>
      <c r="Q51" s="127" t="s">
        <v>11</v>
      </c>
      <c r="R51" t="s">
        <v>11</v>
      </c>
    </row>
    <row r="52" spans="1:18">
      <c r="C52" s="105"/>
      <c r="D52" s="105"/>
      <c r="G52" s="105"/>
      <c r="O52" s="128" t="s">
        <v>251</v>
      </c>
      <c r="P52" s="128" t="s">
        <v>11</v>
      </c>
      <c r="Q52" s="128" t="s">
        <v>11</v>
      </c>
    </row>
    <row r="53" spans="1:18">
      <c r="C53" s="105"/>
      <c r="D53" s="105"/>
      <c r="G53" s="105"/>
      <c r="N53" s="82"/>
    </row>
    <row r="54" spans="1:18">
      <c r="C54" s="105"/>
      <c r="D54" s="105"/>
      <c r="G54" s="105"/>
    </row>
  </sheetData>
  <pageMargins left="0.5" right="0.5" top="1" bottom="0.75" header="0.5" footer="0.75"/>
  <pageSetup scale="63" orientation="landscape" r:id="rId1"/>
  <headerFooter alignWithMargins="0">
    <oddFooter>&amp;CPage 12.1.1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28"/>
  <sheetViews>
    <sheetView zoomScale="80" zoomScaleNormal="80" workbookViewId="0">
      <selection activeCell="F93" sqref="F93"/>
    </sheetView>
  </sheetViews>
  <sheetFormatPr defaultColWidth="9.42578125" defaultRowHeight="10.5"/>
  <cols>
    <col min="1" max="1" width="2.5703125" style="129" customWidth="1"/>
    <col min="2" max="2" width="2.28515625" style="129" customWidth="1"/>
    <col min="3" max="3" width="28.42578125" style="129" customWidth="1"/>
    <col min="4" max="4" width="19.140625" style="129" bestFit="1" customWidth="1"/>
    <col min="5" max="5" width="2" style="129" customWidth="1"/>
    <col min="6" max="6" width="17.28515625" style="129" customWidth="1"/>
    <col min="7" max="9" width="16.140625" style="129" bestFit="1" customWidth="1"/>
    <col min="10" max="10" width="9.42578125" style="129" hidden="1" customWidth="1"/>
    <col min="11" max="11" width="12.42578125" style="129" hidden="1" customWidth="1"/>
    <col min="12" max="12" width="9.42578125" style="129" hidden="1" customWidth="1"/>
    <col min="13" max="13" width="12.140625" style="129" hidden="1" customWidth="1"/>
    <col min="14" max="14" width="17.28515625" style="131" hidden="1" customWidth="1"/>
    <col min="15" max="15" width="12.85546875" style="129" hidden="1" customWidth="1"/>
    <col min="16" max="16" width="12.5703125" style="129" hidden="1" customWidth="1"/>
    <col min="17" max="16384" width="9.42578125" style="129"/>
  </cols>
  <sheetData>
    <row r="1" spans="1:18" ht="12.75">
      <c r="A1" s="139" t="s">
        <v>14</v>
      </c>
      <c r="B1" s="140"/>
      <c r="C1" s="140"/>
      <c r="D1" s="140"/>
      <c r="E1" s="141"/>
      <c r="F1" s="142" t="s">
        <v>129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2.75">
      <c r="A2" s="143"/>
      <c r="B2" s="140"/>
      <c r="C2" s="140"/>
      <c r="D2" s="140"/>
      <c r="E2" s="141"/>
      <c r="F2" s="141" t="s">
        <v>130</v>
      </c>
      <c r="G2" s="140"/>
      <c r="H2" s="140"/>
      <c r="I2" s="140"/>
      <c r="J2" s="140"/>
      <c r="K2" s="144"/>
      <c r="L2" s="140"/>
      <c r="M2" s="140"/>
      <c r="N2" s="140"/>
      <c r="O2" s="140"/>
      <c r="P2" s="140"/>
      <c r="Q2" s="140"/>
      <c r="R2" s="140"/>
    </row>
    <row r="3" spans="1:18" ht="12.75">
      <c r="A3" s="145" t="s">
        <v>131</v>
      </c>
      <c r="B3" s="140"/>
      <c r="C3" s="140"/>
      <c r="D3" s="146"/>
      <c r="E3" s="146"/>
      <c r="F3" s="142" t="s">
        <v>132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12.75">
      <c r="A4" s="180">
        <v>41395</v>
      </c>
      <c r="B4" s="180"/>
      <c r="C4" s="180"/>
      <c r="D4" s="146"/>
      <c r="E4" s="146"/>
      <c r="F4" s="141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12.75">
      <c r="A5" s="140"/>
      <c r="B5" s="145"/>
      <c r="C5" s="140"/>
      <c r="D5" s="146" t="s">
        <v>133</v>
      </c>
      <c r="E5" s="146"/>
      <c r="F5" s="147" t="s">
        <v>134</v>
      </c>
      <c r="G5" s="147" t="s">
        <v>134</v>
      </c>
      <c r="H5" s="147"/>
      <c r="I5" s="147"/>
      <c r="J5" s="140"/>
      <c r="K5" s="140"/>
      <c r="L5" s="140"/>
      <c r="M5" s="140"/>
      <c r="N5" s="140"/>
      <c r="O5" s="140"/>
      <c r="P5" s="140"/>
      <c r="Q5" s="140"/>
      <c r="R5" s="140"/>
    </row>
    <row r="6" spans="1:18" s="132" customFormat="1" ht="12.75">
      <c r="A6" s="140"/>
      <c r="B6" s="140"/>
      <c r="C6" s="140"/>
      <c r="D6" s="148" t="s">
        <v>231</v>
      </c>
      <c r="E6" s="149"/>
      <c r="F6" s="150" t="s">
        <v>135</v>
      </c>
      <c r="G6" s="150" t="s">
        <v>136</v>
      </c>
      <c r="H6" s="150" t="s">
        <v>22</v>
      </c>
      <c r="I6" s="150" t="s">
        <v>137</v>
      </c>
      <c r="J6" s="146"/>
      <c r="K6" s="146"/>
      <c r="L6" s="146"/>
      <c r="M6" s="146"/>
      <c r="N6" s="146"/>
      <c r="O6" s="146"/>
      <c r="P6" s="146"/>
      <c r="Q6" s="146"/>
      <c r="R6" s="146"/>
    </row>
    <row r="7" spans="1:18" ht="12.75">
      <c r="A7" s="140" t="s">
        <v>138</v>
      </c>
      <c r="B7" s="140"/>
      <c r="C7" s="140"/>
      <c r="D7" s="140"/>
      <c r="E7" s="140"/>
      <c r="F7" s="151"/>
      <c r="G7" s="151"/>
      <c r="H7" s="151"/>
      <c r="I7" s="151"/>
      <c r="J7" s="140"/>
      <c r="K7" s="140"/>
      <c r="L7" s="140"/>
      <c r="M7" s="140"/>
      <c r="N7" s="140"/>
      <c r="O7" s="140"/>
      <c r="P7" s="140"/>
      <c r="Q7" s="140"/>
      <c r="R7" s="140"/>
    </row>
    <row r="8" spans="1:18" ht="12.75">
      <c r="A8" s="140"/>
      <c r="B8" s="140" t="s">
        <v>139</v>
      </c>
      <c r="C8" s="140"/>
      <c r="D8" s="152">
        <v>21557001.32</v>
      </c>
      <c r="E8" s="153"/>
      <c r="F8" s="152">
        <f>D8</f>
        <v>21557001.32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18" ht="12.75">
      <c r="A9" s="140"/>
      <c r="B9" s="140"/>
      <c r="C9" s="140"/>
      <c r="D9" s="153"/>
      <c r="E9" s="153"/>
      <c r="F9" s="154"/>
      <c r="G9" s="151"/>
      <c r="H9" s="151"/>
      <c r="I9" s="151"/>
      <c r="J9" s="140"/>
      <c r="K9" s="140"/>
      <c r="L9" s="140"/>
      <c r="M9" s="140"/>
      <c r="N9" s="140"/>
      <c r="O9" s="140"/>
      <c r="P9" s="140"/>
      <c r="Q9" s="140"/>
      <c r="R9" s="140"/>
    </row>
    <row r="10" spans="1:18" ht="12.75">
      <c r="A10" s="140"/>
      <c r="B10" s="140" t="s">
        <v>140</v>
      </c>
      <c r="C10" s="140"/>
      <c r="D10" s="152">
        <v>404617359.23000002</v>
      </c>
      <c r="E10" s="153"/>
      <c r="F10" s="154"/>
      <c r="G10" s="151"/>
      <c r="H10" s="151"/>
      <c r="I10" s="152">
        <f>D10</f>
        <v>404617359.23000002</v>
      </c>
      <c r="J10" s="140"/>
      <c r="K10" s="140"/>
      <c r="L10" s="140"/>
      <c r="M10" s="140"/>
      <c r="N10" s="140"/>
      <c r="O10" s="140"/>
      <c r="P10" s="140"/>
      <c r="Q10" s="140"/>
      <c r="R10" s="140"/>
    </row>
    <row r="11" spans="1:18" ht="12.75">
      <c r="A11" s="140"/>
      <c r="B11" s="140"/>
      <c r="C11" s="140"/>
      <c r="D11" s="153"/>
      <c r="E11" s="153"/>
      <c r="F11" s="154"/>
      <c r="G11" s="151"/>
      <c r="H11" s="151"/>
      <c r="I11" s="151"/>
      <c r="J11" s="140"/>
      <c r="K11" s="140"/>
      <c r="L11" s="140"/>
      <c r="M11" s="140"/>
      <c r="N11" s="140"/>
      <c r="O11" s="140"/>
      <c r="P11" s="140"/>
      <c r="Q11" s="140"/>
      <c r="R11" s="140"/>
    </row>
    <row r="12" spans="1:18" ht="12.75">
      <c r="A12" s="140"/>
      <c r="B12" s="140" t="s">
        <v>141</v>
      </c>
      <c r="C12" s="140"/>
      <c r="D12" s="152">
        <v>30104809.300000001</v>
      </c>
      <c r="E12" s="153"/>
      <c r="F12" s="152">
        <f>D12</f>
        <v>30104809.300000001</v>
      </c>
      <c r="G12" s="151"/>
      <c r="H12" s="151"/>
      <c r="I12" s="151"/>
      <c r="J12" s="140"/>
      <c r="K12" s="140"/>
      <c r="L12" s="140"/>
      <c r="M12" s="140"/>
      <c r="N12" s="140"/>
      <c r="O12" s="140"/>
      <c r="P12" s="140"/>
      <c r="Q12" s="140"/>
      <c r="R12" s="140"/>
    </row>
    <row r="13" spans="1:18" ht="12.75">
      <c r="A13" s="140"/>
      <c r="B13" s="140"/>
      <c r="C13" s="140"/>
      <c r="D13" s="153"/>
      <c r="E13" s="153"/>
      <c r="F13" s="151"/>
      <c r="G13" s="151"/>
      <c r="H13" s="151"/>
      <c r="I13" s="151"/>
      <c r="J13" s="140"/>
      <c r="K13" s="140"/>
      <c r="L13" s="140"/>
      <c r="M13" s="140"/>
      <c r="N13" s="140"/>
      <c r="O13" s="140"/>
      <c r="P13" s="140"/>
      <c r="Q13" s="140"/>
      <c r="R13" s="140"/>
    </row>
    <row r="14" spans="1:18" ht="12.75">
      <c r="A14" s="140"/>
      <c r="B14" s="140" t="s">
        <v>142</v>
      </c>
      <c r="C14" s="140"/>
      <c r="D14" s="152">
        <v>0</v>
      </c>
      <c r="E14" s="153"/>
      <c r="F14" s="151"/>
      <c r="G14" s="151"/>
      <c r="H14" s="152">
        <f>D14</f>
        <v>0</v>
      </c>
      <c r="I14" s="151"/>
      <c r="J14" s="140"/>
      <c r="K14" s="140"/>
      <c r="L14" s="140"/>
      <c r="M14" s="140"/>
      <c r="N14" s="140"/>
      <c r="O14" s="140"/>
      <c r="P14" s="140"/>
      <c r="Q14" s="140"/>
      <c r="R14" s="140"/>
    </row>
    <row r="15" spans="1:18" ht="13.5" thickBot="1">
      <c r="A15" s="140"/>
      <c r="B15" s="140"/>
      <c r="C15" s="140"/>
      <c r="D15" s="146" t="s">
        <v>143</v>
      </c>
      <c r="E15" s="155" t="s">
        <v>11</v>
      </c>
      <c r="F15" s="146" t="s">
        <v>143</v>
      </c>
      <c r="G15" s="146" t="s">
        <v>143</v>
      </c>
      <c r="H15" s="146" t="s">
        <v>143</v>
      </c>
      <c r="I15" s="146" t="s">
        <v>143</v>
      </c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18" ht="13.5" thickBot="1">
      <c r="A16" s="140" t="s">
        <v>144</v>
      </c>
      <c r="B16" s="140"/>
      <c r="C16" s="140"/>
      <c r="D16" s="152">
        <f>SUM(D8:D14)</f>
        <v>456279169.85000002</v>
      </c>
      <c r="E16" s="153"/>
      <c r="F16" s="152">
        <f>SUM(F8:F14)</f>
        <v>51661810.620000005</v>
      </c>
      <c r="G16" s="152">
        <f>SUM(G8:G14)</f>
        <v>0</v>
      </c>
      <c r="H16" s="152">
        <f>SUM(H8:H14)</f>
        <v>0</v>
      </c>
      <c r="I16" s="152">
        <f>SUM(I8:I14)</f>
        <v>404617359.23000002</v>
      </c>
      <c r="J16" s="140"/>
      <c r="K16" s="156">
        <v>0</v>
      </c>
      <c r="L16" s="157" t="s">
        <v>145</v>
      </c>
      <c r="M16" s="158">
        <f>D16-SUM(F16:I16)</f>
        <v>0</v>
      </c>
      <c r="N16" s="140"/>
      <c r="O16" s="140"/>
      <c r="P16" s="140"/>
      <c r="Q16" s="140"/>
      <c r="R16" s="140"/>
    </row>
    <row r="17" spans="1:19" ht="12.75">
      <c r="A17" s="140"/>
      <c r="B17" s="140"/>
      <c r="C17" s="140"/>
      <c r="D17" s="153"/>
      <c r="E17" s="153"/>
      <c r="F17" s="153"/>
      <c r="G17" s="153"/>
      <c r="H17" s="153"/>
      <c r="I17" s="153"/>
      <c r="J17" s="140"/>
      <c r="K17" s="140"/>
      <c r="L17" s="140"/>
      <c r="M17" s="140"/>
      <c r="N17" s="140"/>
      <c r="O17" s="140"/>
      <c r="P17" s="142" t="s">
        <v>146</v>
      </c>
      <c r="Q17" s="140"/>
      <c r="R17" s="140"/>
    </row>
    <row r="18" spans="1:19" ht="12.75">
      <c r="A18" s="140"/>
      <c r="B18" s="140"/>
      <c r="C18" s="140"/>
      <c r="D18" s="140"/>
      <c r="E18" s="151"/>
      <c r="F18" s="151"/>
      <c r="G18" s="151"/>
      <c r="H18" s="151"/>
      <c r="I18" s="151"/>
      <c r="J18" s="140"/>
      <c r="K18" s="140"/>
      <c r="L18" s="140"/>
      <c r="M18" s="140"/>
      <c r="N18" s="159"/>
      <c r="O18" s="160"/>
      <c r="P18" s="161">
        <f>+A4</f>
        <v>41395</v>
      </c>
      <c r="Q18" s="140"/>
      <c r="R18" s="140"/>
    </row>
    <row r="19" spans="1:19" ht="12.75">
      <c r="A19" s="140" t="s">
        <v>147</v>
      </c>
      <c r="B19" s="140"/>
      <c r="C19" s="140"/>
      <c r="D19" s="153"/>
      <c r="E19" s="153"/>
      <c r="F19" s="162"/>
      <c r="G19" s="151"/>
      <c r="H19" s="151"/>
      <c r="I19" s="151"/>
      <c r="J19" s="140"/>
      <c r="K19" s="140"/>
      <c r="L19" s="140"/>
      <c r="M19" s="140"/>
      <c r="N19" s="138" t="s">
        <v>148</v>
      </c>
      <c r="O19" s="163">
        <v>0.5348143451455637</v>
      </c>
      <c r="P19" s="153">
        <v>15929408.859999998</v>
      </c>
      <c r="Q19" s="164"/>
      <c r="R19" s="165"/>
      <c r="S19" s="133"/>
    </row>
    <row r="20" spans="1:19" ht="12.75">
      <c r="A20" s="140"/>
      <c r="B20" s="140"/>
      <c r="C20" s="140" t="s">
        <v>149</v>
      </c>
      <c r="D20" s="152">
        <v>0</v>
      </c>
      <c r="E20" s="153"/>
      <c r="F20" s="152">
        <f>D20</f>
        <v>0</v>
      </c>
      <c r="G20" s="151"/>
      <c r="H20" s="151"/>
      <c r="I20" s="151"/>
      <c r="J20" s="140"/>
      <c r="K20" s="140"/>
      <c r="L20" s="140"/>
      <c r="M20" s="140"/>
      <c r="N20" s="138" t="s">
        <v>150</v>
      </c>
      <c r="O20" s="163">
        <f>1-O19</f>
        <v>0.4651856548544363</v>
      </c>
      <c r="P20" s="153">
        <v>13855523.060000001</v>
      </c>
      <c r="Q20" s="164"/>
      <c r="R20" s="165"/>
      <c r="S20" s="133"/>
    </row>
    <row r="21" spans="1:19" ht="12.75">
      <c r="A21" s="140"/>
      <c r="B21" s="140"/>
      <c r="C21" s="140" t="s">
        <v>151</v>
      </c>
      <c r="D21" s="152">
        <v>122928.67</v>
      </c>
      <c r="E21" s="153"/>
      <c r="F21" s="152">
        <f>D21-G21</f>
        <v>50000</v>
      </c>
      <c r="G21" s="152">
        <v>72928.67</v>
      </c>
      <c r="H21" s="151"/>
      <c r="I21" s="151"/>
      <c r="J21" s="140"/>
      <c r="K21" s="140"/>
      <c r="L21" s="140"/>
      <c r="M21" s="140"/>
      <c r="N21" s="138" t="s">
        <v>152</v>
      </c>
      <c r="O21" s="163">
        <f>P21/(P21+P22)</f>
        <v>0.56235425717248122</v>
      </c>
      <c r="P21" s="153">
        <v>4313329.55</v>
      </c>
      <c r="Q21" s="164"/>
      <c r="R21" s="165"/>
      <c r="S21" s="133"/>
    </row>
    <row r="22" spans="1:19" ht="12.75">
      <c r="A22" s="140"/>
      <c r="B22" s="140"/>
      <c r="C22" s="140" t="s">
        <v>153</v>
      </c>
      <c r="D22" s="152">
        <v>1689158.2799999993</v>
      </c>
      <c r="E22" s="153"/>
      <c r="F22" s="152">
        <f>D22*0.3</f>
        <v>506747.48399999976</v>
      </c>
      <c r="G22" s="152">
        <f>D22*0.7</f>
        <v>1182410.7959999994</v>
      </c>
      <c r="H22" s="151"/>
      <c r="I22" s="151"/>
      <c r="J22" s="140"/>
      <c r="K22" s="140"/>
      <c r="L22" s="140"/>
      <c r="M22" s="140"/>
      <c r="N22" s="138" t="s">
        <v>154</v>
      </c>
      <c r="O22" s="163">
        <f>1-O21</f>
        <v>0.43764574282751878</v>
      </c>
      <c r="P22" s="153">
        <v>3356799.19</v>
      </c>
      <c r="Q22" s="164"/>
      <c r="R22" s="165"/>
      <c r="S22" s="133"/>
    </row>
    <row r="23" spans="1:19" ht="12.75">
      <c r="A23" s="140"/>
      <c r="B23" s="140"/>
      <c r="C23" s="140" t="s">
        <v>155</v>
      </c>
      <c r="D23" s="152">
        <v>2020347.47</v>
      </c>
      <c r="E23" s="153"/>
      <c r="F23" s="152">
        <f>D23*0.2073628</f>
        <v>418944.90835211601</v>
      </c>
      <c r="G23" s="152">
        <f>D23-F23</f>
        <v>1601402.5616478841</v>
      </c>
      <c r="H23" s="151"/>
      <c r="I23" s="151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1:19" ht="12.75">
      <c r="A24" s="140"/>
      <c r="B24" s="140"/>
      <c r="C24" s="140" t="s">
        <v>156</v>
      </c>
      <c r="D24" s="152">
        <f>N27</f>
        <v>58434177.409999996</v>
      </c>
      <c r="E24" s="153"/>
      <c r="F24" s="166">
        <f>(N25+N24*O19)*K24</f>
        <v>2712706.6465181289</v>
      </c>
      <c r="G24" s="166">
        <f>(N25+N24*O19)*L24</f>
        <v>13216702.213481868</v>
      </c>
      <c r="H24" s="151"/>
      <c r="I24" s="166">
        <f>(N26+N24*O20)</f>
        <v>42504768.549999997</v>
      </c>
      <c r="J24" s="140"/>
      <c r="K24" s="167">
        <v>0.17029549999999999</v>
      </c>
      <c r="L24" s="167">
        <f>1-K24</f>
        <v>0.82970450000000007</v>
      </c>
      <c r="M24" s="140"/>
      <c r="N24" s="152">
        <v>29784931.919999998</v>
      </c>
      <c r="O24" s="140" t="s">
        <v>157</v>
      </c>
      <c r="P24" s="140"/>
      <c r="Q24" s="140"/>
      <c r="R24" s="140"/>
    </row>
    <row r="25" spans="1:19" ht="12.75">
      <c r="A25" s="140"/>
      <c r="B25" s="140"/>
      <c r="C25" s="140" t="s">
        <v>158</v>
      </c>
      <c r="D25" s="152">
        <v>15932.01</v>
      </c>
      <c r="E25" s="153"/>
      <c r="F25" s="151"/>
      <c r="G25" s="152">
        <f>D25</f>
        <v>15932.01</v>
      </c>
      <c r="H25" s="151"/>
      <c r="I25" s="152"/>
      <c r="J25" s="140"/>
      <c r="K25" s="140"/>
      <c r="L25" s="140"/>
      <c r="M25" s="140"/>
      <c r="N25" s="152">
        <v>0</v>
      </c>
      <c r="O25" s="140" t="s">
        <v>159</v>
      </c>
      <c r="P25" s="140"/>
      <c r="Q25" s="140"/>
      <c r="R25" s="140"/>
    </row>
    <row r="26" spans="1:19" ht="12.75">
      <c r="A26" s="140"/>
      <c r="B26" s="168" t="s">
        <v>160</v>
      </c>
      <c r="C26" s="155"/>
      <c r="D26" s="146" t="s">
        <v>143</v>
      </c>
      <c r="E26" s="155" t="s">
        <v>11</v>
      </c>
      <c r="F26" s="146" t="s">
        <v>143</v>
      </c>
      <c r="G26" s="146" t="s">
        <v>143</v>
      </c>
      <c r="H26" s="146" t="s">
        <v>143</v>
      </c>
      <c r="I26" s="146" t="s">
        <v>143</v>
      </c>
      <c r="J26" s="140"/>
      <c r="K26" s="167"/>
      <c r="L26" s="167"/>
      <c r="M26" s="140"/>
      <c r="N26" s="169">
        <v>28649245.489999998</v>
      </c>
      <c r="O26" s="140" t="s">
        <v>161</v>
      </c>
      <c r="P26" s="140"/>
      <c r="Q26" s="140"/>
      <c r="R26" s="140"/>
    </row>
    <row r="27" spans="1:19" ht="12.75">
      <c r="A27" s="140"/>
      <c r="B27" s="140" t="s">
        <v>162</v>
      </c>
      <c r="C27" s="140"/>
      <c r="D27" s="152">
        <f>SUM(D20:D26)</f>
        <v>62282543.839999996</v>
      </c>
      <c r="E27" s="153"/>
      <c r="F27" s="152">
        <f t="shared" ref="F27:I27" si="0">SUM(F20:F26)</f>
        <v>3688399.0388702448</v>
      </c>
      <c r="G27" s="152">
        <f t="shared" si="0"/>
        <v>16089376.251129752</v>
      </c>
      <c r="H27" s="152">
        <f t="shared" si="0"/>
        <v>0</v>
      </c>
      <c r="I27" s="152">
        <f t="shared" si="0"/>
        <v>42504768.549999997</v>
      </c>
      <c r="J27" s="140"/>
      <c r="K27" s="167"/>
      <c r="L27" s="167"/>
      <c r="M27" s="140"/>
      <c r="N27" s="152">
        <f>SUM(N24:N26)</f>
        <v>58434177.409999996</v>
      </c>
      <c r="O27" s="140"/>
      <c r="P27" s="140"/>
      <c r="Q27" s="140"/>
      <c r="R27" s="140"/>
    </row>
    <row r="28" spans="1:19" ht="12.75">
      <c r="A28" s="140"/>
      <c r="B28" s="140"/>
      <c r="C28" s="140"/>
      <c r="D28" s="154"/>
      <c r="E28" s="153"/>
      <c r="F28" s="154"/>
      <c r="G28" s="154"/>
      <c r="H28" s="151"/>
      <c r="I28" s="151"/>
      <c r="J28" s="140"/>
      <c r="K28" s="167"/>
      <c r="L28" s="167"/>
      <c r="M28" s="140"/>
      <c r="N28" s="134"/>
      <c r="O28" s="170"/>
      <c r="P28" s="140"/>
      <c r="Q28" s="140"/>
      <c r="R28" s="140"/>
    </row>
    <row r="29" spans="1:19" ht="12.75">
      <c r="A29" s="140"/>
      <c r="B29" s="140"/>
      <c r="C29" s="140" t="s">
        <v>163</v>
      </c>
      <c r="D29" s="152">
        <v>2867100</v>
      </c>
      <c r="E29" s="153"/>
      <c r="F29" s="152"/>
      <c r="G29" s="152">
        <f>D29</f>
        <v>2867100</v>
      </c>
      <c r="H29" s="151"/>
      <c r="I29" s="151"/>
      <c r="J29" s="140"/>
      <c r="K29" s="167"/>
      <c r="L29" s="167"/>
      <c r="M29" s="140"/>
      <c r="N29" s="152">
        <v>7670128.7400000002</v>
      </c>
      <c r="O29" s="140" t="s">
        <v>164</v>
      </c>
      <c r="P29" s="140"/>
      <c r="Q29" s="140"/>
      <c r="R29" s="140"/>
    </row>
    <row r="30" spans="1:19" ht="12.75">
      <c r="A30" s="140"/>
      <c r="B30" s="140"/>
      <c r="C30" s="140" t="s">
        <v>165</v>
      </c>
      <c r="D30" s="152">
        <v>0</v>
      </c>
      <c r="E30" s="153"/>
      <c r="F30" s="152"/>
      <c r="G30" s="152">
        <f>D30</f>
        <v>0</v>
      </c>
      <c r="H30" s="151"/>
      <c r="I30" s="151"/>
      <c r="J30" s="140"/>
      <c r="K30" s="167"/>
      <c r="L30" s="167"/>
      <c r="M30" s="171"/>
      <c r="N30" s="152">
        <v>26476200.140000001</v>
      </c>
      <c r="O30" s="140" t="s">
        <v>166</v>
      </c>
      <c r="P30" s="140"/>
      <c r="Q30" s="140"/>
      <c r="R30" s="140"/>
    </row>
    <row r="31" spans="1:19" ht="12.75">
      <c r="A31" s="140"/>
      <c r="B31" s="140"/>
      <c r="C31" s="140" t="s">
        <v>167</v>
      </c>
      <c r="D31" s="152">
        <f>N32</f>
        <v>90734837.25</v>
      </c>
      <c r="E31" s="153"/>
      <c r="F31" s="166">
        <f>(N30+N29*O21)*K31</f>
        <v>21552670.783</v>
      </c>
      <c r="G31" s="166">
        <f>(N30+N29*O21)*L31</f>
        <v>9236858.9070000015</v>
      </c>
      <c r="H31" s="151"/>
      <c r="I31" s="166">
        <f>(N31+N29*O22)</f>
        <v>59945307.559999995</v>
      </c>
      <c r="J31" s="140"/>
      <c r="K31" s="167">
        <v>0.7</v>
      </c>
      <c r="L31" s="167">
        <f>1-K31</f>
        <v>0.30000000000000004</v>
      </c>
      <c r="M31" s="140"/>
      <c r="N31" s="169">
        <v>56588508.369999997</v>
      </c>
      <c r="O31" s="140" t="s">
        <v>168</v>
      </c>
      <c r="P31" s="140"/>
      <c r="Q31" s="140"/>
      <c r="R31" s="140"/>
    </row>
    <row r="32" spans="1:19" ht="12.75">
      <c r="A32" s="140"/>
      <c r="B32" s="140"/>
      <c r="C32" s="140" t="s">
        <v>169</v>
      </c>
      <c r="D32" s="152">
        <v>30104809.300000001</v>
      </c>
      <c r="E32" s="153"/>
      <c r="F32" s="152">
        <f>D32</f>
        <v>30104809.300000001</v>
      </c>
      <c r="G32" s="152">
        <v>0</v>
      </c>
      <c r="H32" s="151"/>
      <c r="I32" s="151"/>
      <c r="J32" s="140"/>
      <c r="K32" s="140"/>
      <c r="L32" s="140"/>
      <c r="M32" s="140"/>
      <c r="N32" s="152">
        <f>SUM(N29:N31)</f>
        <v>90734837.25</v>
      </c>
      <c r="O32" s="140"/>
      <c r="P32" s="140"/>
      <c r="Q32" s="140"/>
      <c r="R32" s="140"/>
    </row>
    <row r="33" spans="1:18" ht="12.75">
      <c r="A33" s="140"/>
      <c r="B33" s="140"/>
      <c r="C33" s="140" t="s">
        <v>170</v>
      </c>
      <c r="D33" s="152">
        <v>102702.74</v>
      </c>
      <c r="E33" s="153"/>
      <c r="F33" s="151"/>
      <c r="G33" s="152">
        <f>D33</f>
        <v>102702.74</v>
      </c>
      <c r="H33" s="151"/>
      <c r="I33" s="151"/>
      <c r="J33" s="140"/>
      <c r="K33" s="140"/>
      <c r="L33" s="140"/>
      <c r="M33" s="140"/>
      <c r="N33" s="152"/>
      <c r="O33" s="140"/>
      <c r="P33" s="140"/>
      <c r="Q33" s="140"/>
      <c r="R33" s="140"/>
    </row>
    <row r="34" spans="1:18" ht="12.75">
      <c r="A34" s="140"/>
      <c r="B34" s="140"/>
      <c r="C34" s="140" t="s">
        <v>171</v>
      </c>
      <c r="D34" s="152">
        <v>0</v>
      </c>
      <c r="E34" s="153"/>
      <c r="F34" s="152">
        <v>0</v>
      </c>
      <c r="G34" s="152">
        <v>0</v>
      </c>
      <c r="H34" s="151"/>
      <c r="I34" s="151"/>
      <c r="J34" s="140"/>
      <c r="K34" s="140"/>
      <c r="L34" s="140"/>
      <c r="M34" s="140"/>
      <c r="N34" s="140"/>
      <c r="O34" s="140"/>
      <c r="P34" s="140"/>
      <c r="Q34" s="140"/>
      <c r="R34" s="140"/>
    </row>
    <row r="35" spans="1:18" ht="12.75">
      <c r="A35" s="140"/>
      <c r="B35" s="168" t="s">
        <v>160</v>
      </c>
      <c r="C35" s="155"/>
      <c r="D35" s="146" t="s">
        <v>143</v>
      </c>
      <c r="E35" s="155" t="s">
        <v>11</v>
      </c>
      <c r="F35" s="146" t="s">
        <v>143</v>
      </c>
      <c r="G35" s="146" t="s">
        <v>143</v>
      </c>
      <c r="H35" s="146" t="s">
        <v>143</v>
      </c>
      <c r="I35" s="146" t="s">
        <v>143</v>
      </c>
      <c r="J35" s="140"/>
      <c r="K35" s="140"/>
      <c r="L35" s="140"/>
      <c r="M35" s="140"/>
      <c r="N35" s="140"/>
      <c r="O35" s="140"/>
      <c r="P35" s="140"/>
      <c r="Q35" s="140"/>
      <c r="R35" s="165"/>
    </row>
    <row r="36" spans="1:18" ht="12.75">
      <c r="A36" s="140"/>
      <c r="B36" s="140" t="s">
        <v>172</v>
      </c>
      <c r="C36" s="140"/>
      <c r="D36" s="152">
        <f>SUM(D29:D35)</f>
        <v>123809449.28999999</v>
      </c>
      <c r="E36" s="153"/>
      <c r="F36" s="152">
        <f t="shared" ref="F36:I36" si="1">SUM(F29:F35)</f>
        <v>51657480.083000004</v>
      </c>
      <c r="G36" s="152">
        <f t="shared" si="1"/>
        <v>12206661.647000002</v>
      </c>
      <c r="H36" s="152">
        <f t="shared" si="1"/>
        <v>0</v>
      </c>
      <c r="I36" s="152">
        <f t="shared" si="1"/>
        <v>59945307.559999995</v>
      </c>
      <c r="J36" s="140"/>
      <c r="K36" s="140"/>
      <c r="L36" s="140"/>
      <c r="M36" s="140"/>
      <c r="N36" s="140"/>
      <c r="O36" s="140"/>
      <c r="P36" s="140"/>
      <c r="Q36" s="140"/>
      <c r="R36" s="140"/>
    </row>
    <row r="37" spans="1:18" ht="12.75">
      <c r="A37" s="140"/>
      <c r="B37" s="140"/>
      <c r="C37" s="140"/>
      <c r="D37" s="153"/>
      <c r="E37" s="153"/>
      <c r="F37" s="151"/>
      <c r="G37" s="151"/>
      <c r="H37" s="151"/>
      <c r="I37" s="151"/>
      <c r="J37" s="140"/>
      <c r="K37" s="140"/>
      <c r="L37" s="140"/>
      <c r="M37" s="140"/>
      <c r="N37" s="140"/>
      <c r="O37" s="140"/>
      <c r="P37" s="140"/>
      <c r="Q37" s="140"/>
      <c r="R37" s="140"/>
    </row>
    <row r="38" spans="1:18" ht="12.75">
      <c r="A38" s="140"/>
      <c r="B38" s="140"/>
      <c r="C38" s="140" t="s">
        <v>173</v>
      </c>
      <c r="D38" s="152">
        <v>1235296.51</v>
      </c>
      <c r="E38" s="153"/>
      <c r="F38" s="151"/>
      <c r="G38" s="151"/>
      <c r="H38" s="151"/>
      <c r="I38" s="152">
        <f t="shared" ref="I38:I63" si="2">IF(K38="Post Merger",D38,0)</f>
        <v>1235296.51</v>
      </c>
      <c r="J38" s="140"/>
      <c r="K38" s="140" t="s">
        <v>140</v>
      </c>
      <c r="L38" s="140"/>
      <c r="M38" s="140"/>
      <c r="N38" s="140"/>
      <c r="O38" s="140"/>
      <c r="P38" s="140"/>
      <c r="Q38" s="140"/>
      <c r="R38" s="140"/>
    </row>
    <row r="39" spans="1:18" ht="12.75">
      <c r="A39" s="140"/>
      <c r="B39" s="140"/>
      <c r="C39" s="140" t="s">
        <v>174</v>
      </c>
      <c r="D39" s="152">
        <v>0</v>
      </c>
      <c r="E39" s="153"/>
      <c r="F39" s="151"/>
      <c r="G39" s="151"/>
      <c r="H39" s="151"/>
      <c r="I39" s="152">
        <f t="shared" si="2"/>
        <v>0</v>
      </c>
      <c r="J39" s="140"/>
      <c r="K39" s="140" t="s">
        <v>140</v>
      </c>
      <c r="L39" s="140"/>
      <c r="M39" s="140"/>
      <c r="N39" s="140"/>
      <c r="O39" s="140"/>
      <c r="P39" s="140"/>
      <c r="Q39" s="140"/>
      <c r="R39" s="140"/>
    </row>
    <row r="40" spans="1:18" ht="12.75">
      <c r="A40" s="140"/>
      <c r="B40" s="140"/>
      <c r="C40" s="140" t="s">
        <v>175</v>
      </c>
      <c r="D40" s="152">
        <v>0</v>
      </c>
      <c r="E40" s="153"/>
      <c r="F40" s="151"/>
      <c r="G40" s="151"/>
      <c r="H40" s="151"/>
      <c r="I40" s="152">
        <f>IF(K40="Post Merger",D40,0)</f>
        <v>0</v>
      </c>
      <c r="J40" s="140"/>
      <c r="K40" s="140" t="s">
        <v>140</v>
      </c>
      <c r="L40" s="140"/>
      <c r="M40" s="140"/>
      <c r="N40" s="140"/>
      <c r="O40" s="140"/>
      <c r="P40" s="140"/>
      <c r="Q40" s="140"/>
      <c r="R40" s="140"/>
    </row>
    <row r="41" spans="1:18" ht="12.75">
      <c r="A41" s="140"/>
      <c r="B41" s="140"/>
      <c r="C41" s="140" t="s">
        <v>176</v>
      </c>
      <c r="D41" s="152">
        <v>296482.58</v>
      </c>
      <c r="E41" s="153"/>
      <c r="F41" s="151"/>
      <c r="G41" s="151"/>
      <c r="H41" s="151"/>
      <c r="I41" s="152">
        <f>IF(K41="Post Merger",D41,0)</f>
        <v>296482.58</v>
      </c>
      <c r="J41" s="140"/>
      <c r="K41" s="140" t="s">
        <v>140</v>
      </c>
      <c r="L41" s="140"/>
      <c r="M41" s="140"/>
      <c r="N41" s="140"/>
      <c r="O41" s="140"/>
      <c r="P41" s="140"/>
      <c r="Q41" s="140"/>
      <c r="R41" s="140"/>
    </row>
    <row r="42" spans="1:18" ht="12.75">
      <c r="A42" s="140"/>
      <c r="B42" s="140"/>
      <c r="C42" s="140" t="s">
        <v>177</v>
      </c>
      <c r="D42" s="152">
        <v>0</v>
      </c>
      <c r="E42" s="153"/>
      <c r="F42" s="151"/>
      <c r="G42" s="151"/>
      <c r="H42" s="151"/>
      <c r="I42" s="152">
        <f>IF(K42="Post Merger",D42,0)</f>
        <v>0</v>
      </c>
      <c r="J42" s="140"/>
      <c r="K42" s="140" t="s">
        <v>140</v>
      </c>
      <c r="L42" s="140"/>
      <c r="M42" s="140"/>
      <c r="N42" s="140"/>
      <c r="O42" s="140"/>
      <c r="P42" s="140"/>
      <c r="Q42" s="140"/>
      <c r="R42" s="140"/>
    </row>
    <row r="43" spans="1:18" ht="12.75">
      <c r="A43" s="140"/>
      <c r="B43" s="140"/>
      <c r="C43" s="140" t="s">
        <v>178</v>
      </c>
      <c r="D43" s="152">
        <v>4733922.9000000004</v>
      </c>
      <c r="E43" s="153"/>
      <c r="F43" s="151"/>
      <c r="G43" s="151"/>
      <c r="H43" s="151"/>
      <c r="I43" s="152">
        <f t="shared" si="2"/>
        <v>4733922.9000000004</v>
      </c>
      <c r="J43" s="140"/>
      <c r="K43" s="140" t="s">
        <v>140</v>
      </c>
      <c r="L43" s="140"/>
      <c r="M43" s="140"/>
      <c r="N43" s="140"/>
      <c r="O43" s="140"/>
      <c r="P43" s="140"/>
      <c r="Q43" s="140"/>
      <c r="R43" s="140"/>
    </row>
    <row r="44" spans="1:18" ht="12.75">
      <c r="A44" s="140"/>
      <c r="B44" s="140"/>
      <c r="C44" s="140" t="s">
        <v>179</v>
      </c>
      <c r="D44" s="152">
        <v>31112806.199999999</v>
      </c>
      <c r="E44" s="153"/>
      <c r="F44" s="151"/>
      <c r="G44" s="151"/>
      <c r="H44" s="151"/>
      <c r="I44" s="152">
        <f t="shared" si="2"/>
        <v>31112806.199999999</v>
      </c>
      <c r="J44" s="140"/>
      <c r="K44" s="140" t="s">
        <v>140</v>
      </c>
      <c r="L44" s="140"/>
      <c r="M44" s="140"/>
      <c r="N44" s="140"/>
      <c r="O44" s="140"/>
      <c r="P44" s="140"/>
      <c r="Q44" s="140"/>
      <c r="R44" s="140"/>
    </row>
    <row r="45" spans="1:18" ht="12.75">
      <c r="A45" s="140"/>
      <c r="B45" s="140"/>
      <c r="C45" s="140" t="s">
        <v>180</v>
      </c>
      <c r="D45" s="152">
        <v>8179203.4199999999</v>
      </c>
      <c r="E45" s="153"/>
      <c r="F45" s="151"/>
      <c r="G45" s="151"/>
      <c r="H45" s="151"/>
      <c r="I45" s="152">
        <f t="shared" si="2"/>
        <v>8179203.4199999999</v>
      </c>
      <c r="J45" s="140"/>
      <c r="K45" s="140" t="s">
        <v>140</v>
      </c>
      <c r="L45" s="140"/>
      <c r="M45" s="140"/>
      <c r="N45" s="140"/>
      <c r="O45" s="140"/>
      <c r="P45" s="140"/>
      <c r="Q45" s="140"/>
      <c r="R45" s="140"/>
    </row>
    <row r="46" spans="1:18" ht="12.75">
      <c r="A46" s="140"/>
      <c r="B46" s="140"/>
      <c r="C46" s="140" t="s">
        <v>181</v>
      </c>
      <c r="D46" s="152">
        <v>92444689.739999995</v>
      </c>
      <c r="E46" s="153"/>
      <c r="F46" s="151"/>
      <c r="G46" s="151"/>
      <c r="H46" s="151"/>
      <c r="I46" s="152">
        <f t="shared" si="2"/>
        <v>92444689.739999995</v>
      </c>
      <c r="J46" s="140"/>
      <c r="K46" s="140" t="s">
        <v>140</v>
      </c>
      <c r="L46" s="140"/>
      <c r="M46" s="140"/>
      <c r="N46" s="140"/>
      <c r="O46" s="140"/>
      <c r="P46" s="140"/>
      <c r="Q46" s="140"/>
      <c r="R46" s="140"/>
    </row>
    <row r="47" spans="1:18" ht="12.75">
      <c r="A47" s="140"/>
      <c r="B47" s="140"/>
      <c r="C47" s="140" t="s">
        <v>182</v>
      </c>
      <c r="D47" s="152">
        <v>36413.97</v>
      </c>
      <c r="E47" s="153"/>
      <c r="F47" s="151"/>
      <c r="G47" s="151"/>
      <c r="H47" s="151"/>
      <c r="I47" s="152">
        <f t="shared" si="2"/>
        <v>36413.97</v>
      </c>
      <c r="J47" s="140"/>
      <c r="K47" s="140" t="s">
        <v>140</v>
      </c>
      <c r="L47" s="140"/>
      <c r="M47" s="140"/>
      <c r="N47" s="140"/>
      <c r="O47" s="140"/>
      <c r="P47" s="140"/>
      <c r="Q47" s="140"/>
      <c r="R47" s="140"/>
    </row>
    <row r="48" spans="1:18" ht="12.75">
      <c r="A48" s="140"/>
      <c r="B48" s="140"/>
      <c r="C48" s="140" t="s">
        <v>183</v>
      </c>
      <c r="D48" s="152">
        <v>0</v>
      </c>
      <c r="E48" s="153"/>
      <c r="F48" s="151"/>
      <c r="G48" s="151"/>
      <c r="H48" s="151"/>
      <c r="I48" s="152">
        <f t="shared" si="2"/>
        <v>0</v>
      </c>
      <c r="J48" s="140"/>
      <c r="K48" s="140" t="s">
        <v>140</v>
      </c>
      <c r="L48" s="140"/>
      <c r="M48" s="140"/>
      <c r="N48" s="140"/>
      <c r="O48" s="140"/>
      <c r="P48" s="140"/>
      <c r="Q48" s="140"/>
      <c r="R48" s="140"/>
    </row>
    <row r="49" spans="1:18" ht="12.75">
      <c r="A49" s="140"/>
      <c r="B49" s="140"/>
      <c r="C49" s="140" t="s">
        <v>184</v>
      </c>
      <c r="D49" s="152">
        <v>1823578.6</v>
      </c>
      <c r="E49" s="153"/>
      <c r="F49" s="151"/>
      <c r="G49" s="151"/>
      <c r="H49" s="151"/>
      <c r="I49" s="152">
        <f t="shared" si="2"/>
        <v>1823578.6</v>
      </c>
      <c r="J49" s="140"/>
      <c r="K49" s="140" t="s">
        <v>140</v>
      </c>
      <c r="L49" s="140"/>
      <c r="M49" s="140"/>
      <c r="N49" s="140"/>
      <c r="O49" s="140"/>
      <c r="P49" s="140"/>
      <c r="Q49" s="140"/>
      <c r="R49" s="140"/>
    </row>
    <row r="50" spans="1:18" ht="12.75">
      <c r="A50" s="140"/>
      <c r="B50" s="140"/>
      <c r="C50" s="135" t="s">
        <v>185</v>
      </c>
      <c r="D50" s="152">
        <v>0</v>
      </c>
      <c r="E50" s="153"/>
      <c r="F50" s="151"/>
      <c r="G50" s="151"/>
      <c r="H50" s="151"/>
      <c r="I50" s="152">
        <f>IF(K50="Post Merger",D50,0)</f>
        <v>0</v>
      </c>
      <c r="J50" s="140"/>
      <c r="K50" s="140" t="s">
        <v>140</v>
      </c>
      <c r="L50" s="140"/>
      <c r="M50" s="140"/>
      <c r="N50" s="140"/>
      <c r="O50" s="140"/>
      <c r="P50" s="140"/>
      <c r="Q50" s="140"/>
      <c r="R50" s="140"/>
    </row>
    <row r="51" spans="1:18" ht="12.75">
      <c r="A51" s="140"/>
      <c r="B51" s="140"/>
      <c r="C51" s="140" t="s">
        <v>186</v>
      </c>
      <c r="D51" s="152">
        <v>0</v>
      </c>
      <c r="E51" s="153"/>
      <c r="F51" s="151"/>
      <c r="G51" s="151"/>
      <c r="H51" s="151"/>
      <c r="I51" s="152">
        <f t="shared" si="2"/>
        <v>0</v>
      </c>
      <c r="J51" s="140"/>
      <c r="K51" s="140" t="s">
        <v>140</v>
      </c>
      <c r="L51" s="140"/>
      <c r="M51" s="140"/>
      <c r="N51" s="140"/>
      <c r="O51" s="140"/>
      <c r="P51" s="140"/>
      <c r="Q51" s="140"/>
      <c r="R51" s="140"/>
    </row>
    <row r="52" spans="1:18" ht="12.75">
      <c r="A52" s="140"/>
      <c r="B52" s="140"/>
      <c r="C52" s="140" t="s">
        <v>187</v>
      </c>
      <c r="D52" s="152">
        <v>4787940.09</v>
      </c>
      <c r="E52" s="153"/>
      <c r="F52" s="151"/>
      <c r="G52" s="151"/>
      <c r="H52" s="151"/>
      <c r="I52" s="152">
        <f t="shared" si="2"/>
        <v>4787940.09</v>
      </c>
      <c r="J52" s="140"/>
      <c r="K52" s="140" t="s">
        <v>140</v>
      </c>
      <c r="L52" s="140"/>
      <c r="M52" s="140"/>
      <c r="N52" s="140"/>
      <c r="O52" s="140"/>
      <c r="P52" s="140"/>
      <c r="Q52" s="140"/>
      <c r="R52" s="140"/>
    </row>
    <row r="53" spans="1:18" ht="12.75">
      <c r="A53" s="140"/>
      <c r="B53" s="140"/>
      <c r="C53" s="140" t="s">
        <v>188</v>
      </c>
      <c r="D53" s="152">
        <v>5457000</v>
      </c>
      <c r="E53" s="153"/>
      <c r="F53" s="151"/>
      <c r="G53" s="151"/>
      <c r="H53" s="151"/>
      <c r="I53" s="152">
        <f t="shared" si="2"/>
        <v>5457000</v>
      </c>
      <c r="J53" s="140"/>
      <c r="K53" s="140" t="s">
        <v>140</v>
      </c>
      <c r="L53" s="140"/>
      <c r="M53" s="140"/>
      <c r="N53" s="140"/>
      <c r="O53" s="140"/>
      <c r="P53" s="140"/>
      <c r="Q53" s="140"/>
      <c r="R53" s="140"/>
    </row>
    <row r="54" spans="1:18" ht="12.75">
      <c r="A54" s="140"/>
      <c r="B54" s="140"/>
      <c r="C54" s="140" t="s">
        <v>189</v>
      </c>
      <c r="D54" s="152">
        <v>19124999.199999999</v>
      </c>
      <c r="E54" s="153"/>
      <c r="F54" s="151"/>
      <c r="G54" s="151"/>
      <c r="H54" s="151"/>
      <c r="I54" s="152">
        <f t="shared" si="2"/>
        <v>19124999.199999999</v>
      </c>
      <c r="J54" s="140"/>
      <c r="K54" s="140" t="s">
        <v>140</v>
      </c>
      <c r="L54" s="140"/>
      <c r="M54" s="140"/>
      <c r="N54" s="140"/>
      <c r="O54" s="140"/>
      <c r="P54" s="140"/>
      <c r="Q54" s="140"/>
      <c r="R54" s="140"/>
    </row>
    <row r="55" spans="1:18" ht="12.75">
      <c r="A55" s="140"/>
      <c r="B55" s="140"/>
      <c r="C55" s="140" t="s">
        <v>190</v>
      </c>
      <c r="D55" s="152">
        <v>4940852.18</v>
      </c>
      <c r="E55" s="153"/>
      <c r="F55" s="151"/>
      <c r="G55" s="151"/>
      <c r="H55" s="151"/>
      <c r="I55" s="152">
        <f t="shared" si="2"/>
        <v>4940852.18</v>
      </c>
      <c r="J55" s="140"/>
      <c r="K55" s="140" t="s">
        <v>140</v>
      </c>
      <c r="L55" s="140"/>
      <c r="M55" s="140"/>
      <c r="N55" s="140"/>
      <c r="O55" s="140"/>
      <c r="P55" s="140"/>
      <c r="Q55" s="140"/>
      <c r="R55" s="140"/>
    </row>
    <row r="56" spans="1:18" ht="12.75">
      <c r="A56" s="140"/>
      <c r="B56" s="140"/>
      <c r="C56" s="140" t="s">
        <v>191</v>
      </c>
      <c r="D56" s="152">
        <v>0</v>
      </c>
      <c r="E56" s="153"/>
      <c r="F56" s="151"/>
      <c r="G56" s="151"/>
      <c r="H56" s="151"/>
      <c r="I56" s="152">
        <f t="shared" si="2"/>
        <v>0</v>
      </c>
      <c r="J56" s="140"/>
      <c r="K56" s="140" t="s">
        <v>140</v>
      </c>
      <c r="L56" s="140"/>
      <c r="M56" s="140"/>
      <c r="N56" s="140"/>
      <c r="O56" s="140"/>
      <c r="P56" s="140"/>
      <c r="Q56" s="140"/>
      <c r="R56" s="140"/>
    </row>
    <row r="57" spans="1:18" ht="12.75">
      <c r="A57" s="140"/>
      <c r="B57" s="140"/>
      <c r="C57" s="140" t="s">
        <v>192</v>
      </c>
      <c r="D57" s="152">
        <v>20598497</v>
      </c>
      <c r="E57" s="153"/>
      <c r="F57" s="151"/>
      <c r="G57" s="151"/>
      <c r="H57" s="151"/>
      <c r="I57" s="152">
        <f>IF(K57="Post Merger",D57,0)</f>
        <v>20598497</v>
      </c>
      <c r="J57" s="140"/>
      <c r="K57" s="140" t="s">
        <v>140</v>
      </c>
      <c r="L57" s="140"/>
      <c r="M57" s="140"/>
      <c r="N57" s="140"/>
      <c r="O57" s="140"/>
      <c r="P57" s="140"/>
      <c r="Q57" s="140"/>
      <c r="R57" s="140"/>
    </row>
    <row r="58" spans="1:18" ht="12.75">
      <c r="A58" s="140"/>
      <c r="B58" s="140"/>
      <c r="C58" s="140" t="s">
        <v>193</v>
      </c>
      <c r="D58" s="152">
        <v>40244927.799999997</v>
      </c>
      <c r="E58" s="153"/>
      <c r="F58" s="151"/>
      <c r="G58" s="151"/>
      <c r="H58" s="151"/>
      <c r="I58" s="152">
        <f>IF(K58="Post Merger",D58,0)</f>
        <v>40244927.799999997</v>
      </c>
      <c r="J58" s="140"/>
      <c r="K58" s="140" t="s">
        <v>140</v>
      </c>
      <c r="L58" s="140"/>
      <c r="M58" s="140"/>
      <c r="N58" s="140"/>
      <c r="O58" s="140"/>
      <c r="P58" s="140"/>
      <c r="Q58" s="140"/>
      <c r="R58" s="140"/>
    </row>
    <row r="59" spans="1:18" ht="12.75">
      <c r="A59" s="140"/>
      <c r="B59" s="140"/>
      <c r="C59" s="140" t="s">
        <v>194</v>
      </c>
      <c r="D59" s="152">
        <v>9976112.6099999994</v>
      </c>
      <c r="E59" s="153"/>
      <c r="F59" s="151"/>
      <c r="G59" s="151"/>
      <c r="H59" s="151"/>
      <c r="I59" s="152" t="e">
        <f t="shared" si="2"/>
        <v>#NAME?</v>
      </c>
      <c r="J59" s="140"/>
      <c r="K59" s="140" t="e">
        <f t="shared" ref="K59:K61" si="3">VLOOKUP(C59,Purchases,2,0)</f>
        <v>#NAME?</v>
      </c>
      <c r="L59" s="140"/>
      <c r="M59" s="140"/>
      <c r="N59" s="140"/>
      <c r="O59" s="140"/>
      <c r="P59" s="140"/>
      <c r="Q59" s="140"/>
      <c r="R59" s="140"/>
    </row>
    <row r="60" spans="1:18" ht="12.75">
      <c r="A60" s="140"/>
      <c r="B60" s="140"/>
      <c r="C60" s="140" t="s">
        <v>195</v>
      </c>
      <c r="D60" s="152">
        <v>9279227.5199999996</v>
      </c>
      <c r="E60" s="153"/>
      <c r="F60" s="151"/>
      <c r="G60" s="151"/>
      <c r="H60" s="151"/>
      <c r="I60" s="152" t="e">
        <f t="shared" si="2"/>
        <v>#NAME?</v>
      </c>
      <c r="J60" s="140"/>
      <c r="K60" s="140" t="e">
        <f t="shared" si="3"/>
        <v>#NAME?</v>
      </c>
      <c r="L60" s="140"/>
      <c r="M60" s="140"/>
      <c r="N60" s="140"/>
      <c r="O60" s="140"/>
      <c r="P60" s="140"/>
      <c r="Q60" s="140"/>
      <c r="R60" s="140"/>
    </row>
    <row r="61" spans="1:18" ht="12.75">
      <c r="A61" s="140"/>
      <c r="B61" s="140"/>
      <c r="C61" s="140" t="s">
        <v>196</v>
      </c>
      <c r="D61" s="152">
        <v>9989803.2200000007</v>
      </c>
      <c r="E61" s="153"/>
      <c r="F61" s="151"/>
      <c r="G61" s="151"/>
      <c r="H61" s="151"/>
      <c r="I61" s="152" t="e">
        <f t="shared" si="2"/>
        <v>#NAME?</v>
      </c>
      <c r="J61" s="140"/>
      <c r="K61" s="140" t="e">
        <f t="shared" si="3"/>
        <v>#NAME?</v>
      </c>
      <c r="L61" s="140"/>
      <c r="M61" s="140"/>
      <c r="N61" s="140"/>
      <c r="O61" s="140"/>
      <c r="P61" s="140"/>
      <c r="Q61" s="140"/>
      <c r="R61" s="140"/>
    </row>
    <row r="62" spans="1:18" ht="12.75">
      <c r="A62" s="140"/>
      <c r="B62" s="140"/>
      <c r="C62" s="140" t="s">
        <v>197</v>
      </c>
      <c r="D62" s="152">
        <v>-3639.47</v>
      </c>
      <c r="E62" s="153"/>
      <c r="F62" s="151"/>
      <c r="G62" s="151"/>
      <c r="H62" s="151"/>
      <c r="I62" s="152">
        <f t="shared" si="2"/>
        <v>-3639.47</v>
      </c>
      <c r="J62" s="140"/>
      <c r="K62" s="140" t="s">
        <v>140</v>
      </c>
      <c r="L62" s="140"/>
      <c r="M62" s="140"/>
      <c r="N62" s="140"/>
      <c r="O62" s="140"/>
      <c r="P62" s="140"/>
      <c r="Q62" s="140"/>
      <c r="R62" s="140"/>
    </row>
    <row r="63" spans="1:18" ht="12.75">
      <c r="A63" s="140"/>
      <c r="B63" s="140"/>
      <c r="C63" s="140" t="s">
        <v>198</v>
      </c>
      <c r="D63" s="152">
        <v>1398400</v>
      </c>
      <c r="E63" s="153"/>
      <c r="F63" s="151"/>
      <c r="G63" s="151"/>
      <c r="H63" s="151"/>
      <c r="I63" s="152">
        <f t="shared" si="2"/>
        <v>1398400</v>
      </c>
      <c r="J63" s="140"/>
      <c r="K63" s="140" t="s">
        <v>140</v>
      </c>
      <c r="L63" s="140"/>
      <c r="M63" s="140"/>
      <c r="N63" s="140"/>
      <c r="O63" s="140"/>
      <c r="P63" s="140"/>
      <c r="Q63" s="140"/>
      <c r="R63" s="140"/>
    </row>
    <row r="64" spans="1:18" ht="12.75">
      <c r="A64" s="140"/>
      <c r="B64" s="140"/>
      <c r="C64" s="140" t="s">
        <v>199</v>
      </c>
      <c r="D64" s="152">
        <v>5400000</v>
      </c>
      <c r="E64" s="153"/>
      <c r="F64" s="151"/>
      <c r="G64" s="151"/>
      <c r="H64" s="151"/>
      <c r="I64" s="152">
        <f>IF(K64="Post Merger",D64,0)</f>
        <v>5400000</v>
      </c>
      <c r="J64" s="140"/>
      <c r="K64" s="140" t="s">
        <v>140</v>
      </c>
      <c r="L64" s="140"/>
      <c r="M64" s="140"/>
      <c r="N64" s="140"/>
      <c r="O64" s="140"/>
      <c r="P64" s="140"/>
      <c r="Q64" s="140"/>
      <c r="R64" s="140"/>
    </row>
    <row r="65" spans="1:18" ht="12.75">
      <c r="A65" s="140"/>
      <c r="B65" s="140"/>
      <c r="C65" s="140" t="s">
        <v>200</v>
      </c>
      <c r="D65" s="152">
        <v>364799.94</v>
      </c>
      <c r="E65" s="153"/>
      <c r="F65" s="151"/>
      <c r="G65" s="151"/>
      <c r="H65" s="151"/>
      <c r="I65" s="152">
        <f>IF(K65="Post Merger",D65,0)</f>
        <v>364799.94</v>
      </c>
      <c r="J65" s="140"/>
      <c r="K65" s="140" t="s">
        <v>140</v>
      </c>
      <c r="L65" s="140"/>
      <c r="M65" s="140"/>
      <c r="N65" s="140"/>
      <c r="O65" s="140"/>
      <c r="P65" s="140"/>
      <c r="Q65" s="140"/>
      <c r="R65" s="140"/>
    </row>
    <row r="66" spans="1:18" ht="12.75">
      <c r="A66" s="140"/>
      <c r="B66" s="140"/>
      <c r="C66" s="140"/>
      <c r="D66" s="152"/>
      <c r="E66" s="153"/>
      <c r="F66" s="151"/>
      <c r="G66" s="151"/>
      <c r="H66" s="151"/>
      <c r="I66" s="152"/>
      <c r="J66" s="140"/>
      <c r="K66" s="140"/>
      <c r="L66" s="140"/>
      <c r="M66" s="140"/>
      <c r="N66" s="140"/>
      <c r="O66" s="140"/>
      <c r="P66" s="140"/>
      <c r="Q66" s="140"/>
      <c r="R66" s="140"/>
    </row>
    <row r="67" spans="1:18" ht="12.75">
      <c r="A67" s="140"/>
      <c r="B67" s="135" t="s">
        <v>201</v>
      </c>
      <c r="C67" s="140"/>
      <c r="D67" s="152"/>
      <c r="E67" s="153"/>
      <c r="F67" s="151"/>
      <c r="G67" s="151"/>
      <c r="H67" s="151"/>
      <c r="I67" s="152"/>
      <c r="J67" s="140"/>
      <c r="K67" s="140"/>
      <c r="L67" s="140"/>
      <c r="M67" s="140"/>
      <c r="N67" s="140"/>
      <c r="O67" s="140"/>
      <c r="P67" s="140"/>
      <c r="Q67" s="140"/>
      <c r="R67" s="140"/>
    </row>
    <row r="68" spans="1:18" ht="13.5" thickBot="1">
      <c r="A68" s="140"/>
      <c r="B68" s="140"/>
      <c r="C68" s="140" t="s">
        <v>202</v>
      </c>
      <c r="D68" s="152"/>
      <c r="E68" s="153"/>
      <c r="F68" s="151"/>
      <c r="G68" s="151"/>
      <c r="H68" s="151"/>
      <c r="I68" s="152"/>
      <c r="J68" s="140"/>
      <c r="K68" s="140"/>
      <c r="L68" s="140"/>
      <c r="M68" s="140"/>
      <c r="N68" s="140"/>
      <c r="O68" s="140"/>
      <c r="P68" s="140"/>
      <c r="Q68" s="140"/>
      <c r="R68" s="140"/>
    </row>
    <row r="69" spans="1:18" ht="13.5" thickBot="1">
      <c r="A69" s="140"/>
      <c r="B69" s="140"/>
      <c r="C69" s="140"/>
      <c r="D69" s="153"/>
      <c r="E69" s="153"/>
      <c r="F69" s="151"/>
      <c r="G69" s="151"/>
      <c r="H69" s="151"/>
      <c r="I69" s="151"/>
      <c r="J69" s="140"/>
      <c r="K69" s="156">
        <v>0</v>
      </c>
      <c r="L69" s="157" t="s">
        <v>145</v>
      </c>
      <c r="M69" s="158">
        <v>0</v>
      </c>
      <c r="N69" s="140"/>
      <c r="O69" s="140"/>
      <c r="P69" s="140"/>
      <c r="Q69" s="140"/>
      <c r="R69" s="140"/>
    </row>
    <row r="70" spans="1:18" ht="12.75">
      <c r="A70" s="140"/>
      <c r="B70" s="140"/>
      <c r="C70" s="140" t="s">
        <v>232</v>
      </c>
      <c r="D70" s="152">
        <v>215777887.69</v>
      </c>
      <c r="E70" s="153"/>
      <c r="F70" s="151"/>
      <c r="G70" s="151"/>
      <c r="H70" s="151"/>
      <c r="I70" s="152">
        <f>D70</f>
        <v>215777887.69</v>
      </c>
      <c r="J70" s="140"/>
      <c r="K70" s="140"/>
      <c r="L70" s="140"/>
      <c r="M70" s="140"/>
      <c r="N70" s="140"/>
      <c r="O70" s="140"/>
      <c r="P70" s="140"/>
      <c r="Q70" s="140"/>
      <c r="R70" s="140"/>
    </row>
    <row r="71" spans="1:18" ht="13.5" thickBot="1">
      <c r="A71" s="140"/>
      <c r="B71" s="168" t="s">
        <v>160</v>
      </c>
      <c r="C71" s="155"/>
      <c r="D71" s="146" t="s">
        <v>143</v>
      </c>
      <c r="E71" s="155" t="s">
        <v>11</v>
      </c>
      <c r="F71" s="146" t="s">
        <v>143</v>
      </c>
      <c r="G71" s="146" t="s">
        <v>143</v>
      </c>
      <c r="H71" s="146" t="s">
        <v>143</v>
      </c>
      <c r="I71" s="146" t="s">
        <v>143</v>
      </c>
      <c r="J71" s="140"/>
      <c r="K71" s="140"/>
      <c r="L71" s="140"/>
      <c r="M71" s="140"/>
      <c r="N71" s="140"/>
      <c r="O71" s="140"/>
      <c r="P71" s="140"/>
      <c r="Q71" s="140"/>
      <c r="R71" s="140"/>
    </row>
    <row r="72" spans="1:18" ht="13.5" thickBot="1">
      <c r="A72" s="140"/>
      <c r="B72" s="140" t="s">
        <v>203</v>
      </c>
      <c r="C72" s="140"/>
      <c r="D72" s="152">
        <f>SUM(D38:D70)</f>
        <v>487199201.70000005</v>
      </c>
      <c r="E72" s="153"/>
      <c r="F72" s="152">
        <f>SUM(F38:F70)</f>
        <v>0</v>
      </c>
      <c r="G72" s="152">
        <f>SUM(G38:G70)</f>
        <v>0</v>
      </c>
      <c r="H72" s="152">
        <f>SUM(H38:H70)</f>
        <v>0</v>
      </c>
      <c r="I72" s="152" t="e">
        <f>SUM(I38:I70)</f>
        <v>#NAME?</v>
      </c>
      <c r="J72" s="140"/>
      <c r="K72" s="156"/>
      <c r="L72" s="157" t="s">
        <v>145</v>
      </c>
      <c r="M72" s="158" t="e">
        <f>D72-SUM(F72:I72)</f>
        <v>#NAME?</v>
      </c>
      <c r="N72" s="140"/>
      <c r="O72" s="140"/>
      <c r="P72" s="140"/>
      <c r="Q72" s="140"/>
      <c r="R72" s="140"/>
    </row>
    <row r="73" spans="1:18" ht="12.75">
      <c r="A73" s="140"/>
      <c r="B73" s="140" t="s">
        <v>105</v>
      </c>
      <c r="C73" s="140"/>
      <c r="D73" s="152">
        <v>5305233.66</v>
      </c>
      <c r="E73" s="153"/>
      <c r="F73" s="155"/>
      <c r="G73" s="140"/>
      <c r="H73" s="152"/>
      <c r="I73" s="152">
        <f>D73</f>
        <v>5305233.66</v>
      </c>
      <c r="J73" s="140"/>
      <c r="K73" s="140"/>
      <c r="L73" s="140"/>
      <c r="M73" s="140"/>
      <c r="N73" s="140"/>
      <c r="O73" s="140"/>
      <c r="P73" s="140"/>
      <c r="Q73" s="140"/>
      <c r="R73" s="140"/>
    </row>
    <row r="74" spans="1:18" ht="12.75">
      <c r="A74" s="140"/>
      <c r="B74" s="140" t="s">
        <v>204</v>
      </c>
      <c r="C74" s="140"/>
      <c r="D74" s="152">
        <v>0</v>
      </c>
      <c r="E74" s="153"/>
      <c r="F74" s="152"/>
      <c r="G74" s="152"/>
      <c r="H74" s="152">
        <f>D74</f>
        <v>0</v>
      </c>
      <c r="I74" s="151"/>
      <c r="J74" s="140"/>
      <c r="K74" s="140"/>
      <c r="L74" s="140"/>
      <c r="M74" s="140"/>
      <c r="N74" s="140"/>
      <c r="O74" s="140"/>
      <c r="P74" s="140"/>
      <c r="Q74" s="140"/>
      <c r="R74" s="140"/>
    </row>
    <row r="75" spans="1:18" ht="13.5" thickBot="1">
      <c r="A75" s="140"/>
      <c r="B75" s="140"/>
      <c r="C75" s="140"/>
      <c r="D75" s="146" t="s">
        <v>143</v>
      </c>
      <c r="E75" s="155" t="s">
        <v>11</v>
      </c>
      <c r="F75" s="146" t="s">
        <v>143</v>
      </c>
      <c r="G75" s="146" t="s">
        <v>143</v>
      </c>
      <c r="H75" s="146" t="s">
        <v>143</v>
      </c>
      <c r="I75" s="146" t="s">
        <v>143</v>
      </c>
      <c r="J75" s="140"/>
      <c r="K75" s="140"/>
      <c r="L75" s="140"/>
      <c r="M75" s="140"/>
      <c r="N75" s="140"/>
      <c r="O75" s="140"/>
      <c r="P75" s="140"/>
      <c r="Q75" s="140"/>
      <c r="R75" s="140"/>
    </row>
    <row r="76" spans="1:18" ht="13.5" thickBot="1">
      <c r="A76" s="140" t="s">
        <v>205</v>
      </c>
      <c r="B76" s="140"/>
      <c r="C76" s="140"/>
      <c r="D76" s="152">
        <f>D72+D73+D74+D36+D27</f>
        <v>678596428.49000013</v>
      </c>
      <c r="E76" s="153"/>
      <c r="F76" s="152">
        <f>F72+F73+F74+F36+F27</f>
        <v>55345879.12187025</v>
      </c>
      <c r="G76" s="152">
        <f>G72+G73+G74+G36+G27</f>
        <v>28296037.898129754</v>
      </c>
      <c r="H76" s="152">
        <f>H72+H73+H74+H36+H27</f>
        <v>0</v>
      </c>
      <c r="I76" s="152" t="e">
        <f>I72+I73+I74+I36+I27</f>
        <v>#NAME?</v>
      </c>
      <c r="J76" s="140"/>
      <c r="K76" s="156">
        <v>0</v>
      </c>
      <c r="L76" s="157" t="s">
        <v>145</v>
      </c>
      <c r="M76" s="158" t="e">
        <f>D76-SUM(F76:I76)</f>
        <v>#NAME?</v>
      </c>
      <c r="N76" s="140"/>
      <c r="O76" s="140"/>
      <c r="P76" s="140"/>
      <c r="Q76" s="140"/>
      <c r="R76" s="140"/>
    </row>
    <row r="77" spans="1:18" ht="12.75">
      <c r="A77" s="140"/>
      <c r="B77" s="140"/>
      <c r="C77" s="140"/>
      <c r="D77" s="153"/>
      <c r="E77" s="153"/>
      <c r="F77" s="153"/>
      <c r="G77" s="153"/>
      <c r="H77" s="153"/>
      <c r="I77" s="153"/>
      <c r="J77" s="140"/>
      <c r="K77" s="140"/>
      <c r="L77" s="140"/>
      <c r="M77" s="140"/>
      <c r="N77" s="140"/>
      <c r="O77" s="140"/>
      <c r="P77" s="140"/>
      <c r="Q77" s="140"/>
      <c r="R77" s="140"/>
    </row>
    <row r="78" spans="1:18" ht="12.75">
      <c r="A78" s="140"/>
      <c r="B78" s="140"/>
      <c r="C78" s="140"/>
      <c r="D78" s="153"/>
      <c r="E78" s="153"/>
      <c r="F78" s="153"/>
      <c r="G78" s="153"/>
      <c r="H78" s="153"/>
      <c r="I78" s="153"/>
      <c r="J78" s="140"/>
      <c r="K78" s="140"/>
      <c r="L78" s="140"/>
      <c r="M78" s="140"/>
      <c r="N78" s="140"/>
      <c r="O78" s="140"/>
      <c r="P78" s="140"/>
      <c r="Q78" s="140"/>
      <c r="R78" s="140"/>
    </row>
    <row r="79" spans="1:18" ht="12.75">
      <c r="A79" s="140" t="s">
        <v>206</v>
      </c>
      <c r="B79" s="140"/>
      <c r="C79" s="140"/>
      <c r="D79" s="140"/>
      <c r="E79" s="140"/>
      <c r="F79" s="151"/>
      <c r="G79" s="151"/>
      <c r="H79" s="151"/>
      <c r="I79" s="151"/>
      <c r="J79" s="140"/>
      <c r="K79" s="140"/>
      <c r="L79" s="140"/>
      <c r="M79" s="140"/>
      <c r="N79" s="138" t="s">
        <v>207</v>
      </c>
      <c r="O79" s="170">
        <v>24712269.729999993</v>
      </c>
      <c r="P79" s="152"/>
      <c r="Q79" s="140"/>
      <c r="R79" s="140"/>
    </row>
    <row r="80" spans="1:18" ht="12.75">
      <c r="A80" s="140"/>
      <c r="B80" s="140"/>
      <c r="C80" s="140"/>
      <c r="D80" s="140"/>
      <c r="E80" s="140"/>
      <c r="F80" s="151"/>
      <c r="G80" s="151"/>
      <c r="H80" s="151"/>
      <c r="I80" s="151"/>
      <c r="J80" s="140"/>
      <c r="K80" s="140"/>
      <c r="L80" s="140"/>
      <c r="M80" s="140"/>
      <c r="N80" s="138" t="s">
        <v>208</v>
      </c>
      <c r="O80" s="170">
        <v>0</v>
      </c>
      <c r="P80" s="152"/>
      <c r="Q80" s="140"/>
      <c r="R80" s="140"/>
    </row>
    <row r="81" spans="1:18" s="130" customFormat="1" ht="12.75">
      <c r="A81" s="140"/>
      <c r="B81" s="140" t="s">
        <v>209</v>
      </c>
      <c r="C81" s="140"/>
      <c r="D81" s="152">
        <f>SUM(F81:I81)</f>
        <v>24712269.729999993</v>
      </c>
      <c r="E81" s="153"/>
      <c r="F81" s="152">
        <f>O79</f>
        <v>24712269.729999993</v>
      </c>
      <c r="G81" s="151"/>
      <c r="H81" s="151"/>
      <c r="I81" s="151"/>
      <c r="J81" s="140"/>
      <c r="K81" s="172"/>
      <c r="L81" s="140"/>
      <c r="M81" s="140"/>
      <c r="N81" s="138" t="s">
        <v>210</v>
      </c>
      <c r="O81" s="170">
        <v>100476200.34830622</v>
      </c>
      <c r="P81" s="173"/>
      <c r="Q81" s="140"/>
      <c r="R81" s="140"/>
    </row>
    <row r="82" spans="1:18" ht="12.7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72"/>
      <c r="L82" s="140"/>
      <c r="M82" s="140"/>
      <c r="N82" s="138" t="s">
        <v>211</v>
      </c>
      <c r="O82" s="170">
        <v>5937464.2400000002</v>
      </c>
      <c r="P82" s="152"/>
      <c r="Q82" s="140"/>
      <c r="R82" s="140"/>
    </row>
    <row r="83" spans="1:18" ht="12.75">
      <c r="A83" s="140"/>
      <c r="B83" s="140" t="s">
        <v>212</v>
      </c>
      <c r="C83" s="140"/>
      <c r="D83" s="152">
        <f>SUM(F83:I83)</f>
        <v>0</v>
      </c>
      <c r="E83" s="153"/>
      <c r="F83" s="152">
        <f>O80</f>
        <v>0</v>
      </c>
      <c r="G83" s="151"/>
      <c r="H83" s="151"/>
      <c r="I83" s="151"/>
      <c r="J83" s="140"/>
      <c r="K83" s="140"/>
      <c r="L83" s="140"/>
      <c r="M83" s="140"/>
      <c r="N83" s="138" t="s">
        <v>213</v>
      </c>
      <c r="O83" s="170">
        <v>4039705.75</v>
      </c>
      <c r="P83" s="152"/>
      <c r="Q83" s="140"/>
      <c r="R83" s="140"/>
    </row>
    <row r="84" spans="1:18" ht="13.5" thickBot="1">
      <c r="A84" s="140"/>
      <c r="B84" s="140"/>
      <c r="C84" s="140"/>
      <c r="D84" s="153"/>
      <c r="E84" s="153"/>
      <c r="F84" s="151"/>
      <c r="G84" s="151"/>
      <c r="H84" s="151"/>
      <c r="I84" s="151"/>
      <c r="J84" s="140"/>
      <c r="K84" s="140"/>
      <c r="L84" s="140"/>
      <c r="M84" s="140"/>
      <c r="N84" s="140"/>
      <c r="O84" s="170">
        <v>135165640.06830621</v>
      </c>
      <c r="P84" s="152"/>
      <c r="Q84" s="140"/>
      <c r="R84" s="140"/>
    </row>
    <row r="85" spans="1:18" ht="13.5" thickBot="1">
      <c r="A85" s="140"/>
      <c r="B85" s="140" t="s">
        <v>140</v>
      </c>
      <c r="C85" s="140"/>
      <c r="D85" s="152">
        <f>D90-(D81+D83+D87)</f>
        <v>104515904.83000003</v>
      </c>
      <c r="E85" s="153"/>
      <c r="F85" s="174"/>
      <c r="G85" s="151"/>
      <c r="H85" s="151"/>
      <c r="I85" s="152">
        <f>D85</f>
        <v>104515904.83000003</v>
      </c>
      <c r="J85" s="140"/>
      <c r="K85" s="140"/>
      <c r="L85" s="140"/>
      <c r="M85" s="140"/>
      <c r="N85" s="175" t="s">
        <v>145</v>
      </c>
      <c r="O85" s="158">
        <v>0</v>
      </c>
      <c r="P85" s="135"/>
      <c r="Q85" s="140"/>
      <c r="R85" s="140"/>
    </row>
    <row r="86" spans="1:18" ht="12.75">
      <c r="A86" s="140"/>
      <c r="B86" s="140"/>
      <c r="C86" s="140"/>
      <c r="D86" s="140"/>
      <c r="E86" s="140"/>
      <c r="F86" s="151"/>
      <c r="G86" s="151"/>
      <c r="H86" s="151"/>
      <c r="I86" s="151"/>
      <c r="J86" s="140"/>
      <c r="K86" s="140"/>
      <c r="L86" s="140"/>
      <c r="M86" s="140"/>
      <c r="N86" s="140"/>
      <c r="O86" s="140"/>
      <c r="P86" s="140"/>
      <c r="Q86" s="140"/>
      <c r="R86" s="140"/>
    </row>
    <row r="87" spans="1:18" s="130" customFormat="1" ht="12.75">
      <c r="A87" s="140"/>
      <c r="B87" s="140" t="s">
        <v>214</v>
      </c>
      <c r="C87" s="140"/>
      <c r="D87" s="152">
        <v>6017203.5099999998</v>
      </c>
      <c r="E87" s="153"/>
      <c r="F87" s="151"/>
      <c r="G87" s="140"/>
      <c r="H87" s="152">
        <f>D87</f>
        <v>6017203.5099999998</v>
      </c>
      <c r="I87" s="151"/>
      <c r="J87" s="140"/>
      <c r="K87" s="140"/>
      <c r="L87" s="140"/>
      <c r="M87" s="140"/>
      <c r="N87" s="140"/>
      <c r="O87" s="140"/>
      <c r="P87" s="140"/>
      <c r="Q87" s="140"/>
      <c r="R87" s="140"/>
    </row>
    <row r="88" spans="1:18" ht="12.7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</row>
    <row r="89" spans="1:18" ht="13.5" thickBot="1">
      <c r="A89" s="140"/>
      <c r="B89" s="140"/>
      <c r="C89" s="140"/>
      <c r="D89" s="146" t="s">
        <v>143</v>
      </c>
      <c r="E89" s="155" t="s">
        <v>11</v>
      </c>
      <c r="F89" s="146" t="s">
        <v>143</v>
      </c>
      <c r="G89" s="146" t="s">
        <v>143</v>
      </c>
      <c r="H89" s="146" t="s">
        <v>143</v>
      </c>
      <c r="I89" s="146" t="s">
        <v>143</v>
      </c>
      <c r="J89" s="140"/>
      <c r="K89" s="140"/>
      <c r="L89" s="140"/>
      <c r="M89" s="140"/>
      <c r="N89" s="140"/>
      <c r="O89" s="140"/>
      <c r="P89" s="140"/>
      <c r="Q89" s="140"/>
      <c r="R89" s="140"/>
    </row>
    <row r="90" spans="1:18" s="130" customFormat="1" ht="13.5" thickBot="1">
      <c r="A90" s="140" t="s">
        <v>215</v>
      </c>
      <c r="B90" s="140"/>
      <c r="C90" s="140"/>
      <c r="D90" s="152">
        <v>135245378.07000002</v>
      </c>
      <c r="E90" s="153"/>
      <c r="F90" s="152">
        <f>SUM(F81:F87)</f>
        <v>24712269.729999993</v>
      </c>
      <c r="G90" s="152">
        <f>SUM(G81:G87)</f>
        <v>0</v>
      </c>
      <c r="H90" s="152">
        <f>SUM(H81:H87)</f>
        <v>6017203.5099999998</v>
      </c>
      <c r="I90" s="152">
        <f>SUM(I81:I87)</f>
        <v>104515904.83000003</v>
      </c>
      <c r="J90" s="140"/>
      <c r="K90" s="156">
        <f>D90-(D81+D83+D85+D87)</f>
        <v>0</v>
      </c>
      <c r="L90" s="157" t="s">
        <v>145</v>
      </c>
      <c r="M90" s="158">
        <f>D90-SUM(F90:I90)</f>
        <v>0</v>
      </c>
      <c r="N90" s="140"/>
      <c r="O90" s="140"/>
      <c r="P90" s="140"/>
      <c r="Q90" s="140"/>
      <c r="R90" s="140"/>
    </row>
    <row r="91" spans="1:18" s="130" customFormat="1" ht="12.7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</row>
    <row r="92" spans="1:18" s="130" customFormat="1" ht="12.75">
      <c r="A92" s="140" t="s">
        <v>216</v>
      </c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</row>
    <row r="93" spans="1:18" s="130" customFormat="1" ht="12.75">
      <c r="A93" s="140"/>
      <c r="B93" s="153" t="s">
        <v>233</v>
      </c>
      <c r="C93" s="140"/>
      <c r="D93" s="152">
        <v>19759821.300000001</v>
      </c>
      <c r="E93" s="153"/>
      <c r="F93" s="140"/>
      <c r="G93" s="140"/>
      <c r="H93" s="152">
        <f t="shared" ref="H93:H111" si="4">D93</f>
        <v>19759821.300000001</v>
      </c>
      <c r="I93" s="154"/>
      <c r="J93" s="140"/>
      <c r="K93" s="140"/>
      <c r="L93" s="140"/>
      <c r="M93" s="140"/>
      <c r="N93" s="140"/>
      <c r="O93" s="140"/>
      <c r="P93" s="140"/>
      <c r="Q93" s="140"/>
      <c r="R93" s="140"/>
    </row>
    <row r="94" spans="1:18" s="130" customFormat="1" ht="12.75">
      <c r="A94" s="140"/>
      <c r="B94" s="153" t="s">
        <v>223</v>
      </c>
      <c r="C94" s="140"/>
      <c r="D94" s="152">
        <v>52048035.280000001</v>
      </c>
      <c r="E94" s="153"/>
      <c r="F94" s="140"/>
      <c r="G94" s="140"/>
      <c r="H94" s="152">
        <f t="shared" si="4"/>
        <v>52048035.280000001</v>
      </c>
      <c r="I94" s="154"/>
      <c r="J94" s="140"/>
      <c r="K94" s="140"/>
      <c r="L94" s="140"/>
      <c r="M94" s="140"/>
      <c r="N94" s="140"/>
      <c r="O94" s="140"/>
      <c r="P94" s="140"/>
      <c r="Q94" s="140"/>
      <c r="R94" s="140"/>
    </row>
    <row r="95" spans="1:18" s="130" customFormat="1" ht="12.75">
      <c r="A95" s="140"/>
      <c r="B95" s="153" t="s">
        <v>234</v>
      </c>
      <c r="C95" s="140"/>
      <c r="D95" s="152">
        <v>14547415.130000001</v>
      </c>
      <c r="E95" s="153"/>
      <c r="F95" s="140"/>
      <c r="G95" s="140"/>
      <c r="H95" s="152">
        <f t="shared" si="4"/>
        <v>14547415.130000001</v>
      </c>
      <c r="I95" s="154"/>
      <c r="J95" s="140"/>
      <c r="K95" s="140"/>
      <c r="L95" s="140"/>
      <c r="M95" s="140"/>
      <c r="N95" s="140"/>
      <c r="O95" s="140"/>
      <c r="P95" s="140"/>
      <c r="Q95" s="140"/>
      <c r="R95" s="140"/>
    </row>
    <row r="96" spans="1:18" s="130" customFormat="1" ht="12.75">
      <c r="A96" s="140"/>
      <c r="B96" s="153" t="s">
        <v>235</v>
      </c>
      <c r="C96" s="140"/>
      <c r="D96" s="152">
        <v>22636075.77</v>
      </c>
      <c r="E96" s="153"/>
      <c r="F96" s="140"/>
      <c r="G96" s="140"/>
      <c r="H96" s="152">
        <f t="shared" si="4"/>
        <v>22636075.77</v>
      </c>
      <c r="I96" s="154"/>
      <c r="J96" s="140"/>
      <c r="K96" s="140"/>
      <c r="L96" s="140"/>
      <c r="M96" s="140"/>
      <c r="N96" s="140"/>
      <c r="O96" s="140"/>
      <c r="P96" s="140"/>
      <c r="Q96" s="140"/>
      <c r="R96" s="140"/>
    </row>
    <row r="97" spans="1:18" s="130" customFormat="1" ht="12.75">
      <c r="A97" s="140"/>
      <c r="B97" s="153" t="s">
        <v>217</v>
      </c>
      <c r="C97" s="140"/>
      <c r="D97" s="152">
        <v>60387691.540000007</v>
      </c>
      <c r="E97" s="153"/>
      <c r="F97" s="140"/>
      <c r="G97" s="140"/>
      <c r="H97" s="152">
        <f>D97</f>
        <v>60387691.540000007</v>
      </c>
      <c r="I97" s="154"/>
      <c r="J97" s="140"/>
      <c r="K97" s="140"/>
      <c r="L97" s="140"/>
      <c r="M97" s="135" t="s">
        <v>218</v>
      </c>
      <c r="N97" s="140">
        <f>D93+D95+D96+D99+D102+D104+D105+D106+D109+D111</f>
        <v>683268417.16999996</v>
      </c>
      <c r="O97" s="140"/>
      <c r="P97" s="140"/>
      <c r="Q97" s="140"/>
      <c r="R97" s="140"/>
    </row>
    <row r="98" spans="1:18" s="130" customFormat="1" ht="12.75">
      <c r="A98" s="140"/>
      <c r="B98" s="153" t="s">
        <v>219</v>
      </c>
      <c r="C98" s="140"/>
      <c r="D98" s="152">
        <v>119539073.10219824</v>
      </c>
      <c r="E98" s="153"/>
      <c r="F98" s="140"/>
      <c r="G98" s="140"/>
      <c r="H98" s="152">
        <f>D98</f>
        <v>119539073.10219824</v>
      </c>
      <c r="I98" s="154"/>
      <c r="J98" s="140"/>
      <c r="K98" s="140"/>
      <c r="L98" s="140"/>
      <c r="M98" s="135" t="s">
        <v>220</v>
      </c>
      <c r="N98" s="140">
        <f>D100</f>
        <v>5467396.4656861266</v>
      </c>
      <c r="O98" s="140"/>
      <c r="P98" s="140"/>
      <c r="Q98" s="140"/>
      <c r="R98" s="140"/>
    </row>
    <row r="99" spans="1:18" s="130" customFormat="1" ht="12.75">
      <c r="A99" s="140"/>
      <c r="B99" s="153" t="s">
        <v>236</v>
      </c>
      <c r="C99" s="140"/>
      <c r="D99" s="152">
        <v>58348860.030000001</v>
      </c>
      <c r="E99" s="153"/>
      <c r="F99" s="140"/>
      <c r="G99" s="140"/>
      <c r="H99" s="152">
        <f t="shared" si="4"/>
        <v>58348860.030000001</v>
      </c>
      <c r="I99" s="154"/>
      <c r="J99" s="140"/>
      <c r="K99" s="140"/>
      <c r="L99" s="140"/>
      <c r="M99" s="136" t="s">
        <v>221</v>
      </c>
      <c r="N99" s="140">
        <f>D97+D98+D103+D107</f>
        <v>358334897.45669323</v>
      </c>
      <c r="O99" s="140"/>
      <c r="P99" s="140"/>
      <c r="Q99" s="140"/>
      <c r="R99" s="140"/>
    </row>
    <row r="100" spans="1:18" s="130" customFormat="1" ht="12.75">
      <c r="A100" s="140"/>
      <c r="B100" s="153" t="s">
        <v>237</v>
      </c>
      <c r="C100" s="140"/>
      <c r="D100" s="152">
        <v>5467396.4656861266</v>
      </c>
      <c r="E100" s="153"/>
      <c r="F100" s="140"/>
      <c r="G100" s="140"/>
      <c r="H100" s="152">
        <f t="shared" si="4"/>
        <v>5467396.4656861266</v>
      </c>
      <c r="I100" s="154"/>
      <c r="J100" s="140"/>
      <c r="K100" s="140"/>
      <c r="L100" s="140"/>
      <c r="M100" s="136" t="s">
        <v>222</v>
      </c>
      <c r="N100" s="140">
        <f>D101</f>
        <v>18999324.054115064</v>
      </c>
      <c r="O100" s="140"/>
      <c r="P100" s="140"/>
      <c r="Q100" s="140"/>
      <c r="R100" s="140"/>
    </row>
    <row r="101" spans="1:18" s="130" customFormat="1" ht="12.75">
      <c r="A101" s="140"/>
      <c r="B101" s="153" t="s">
        <v>238</v>
      </c>
      <c r="C101" s="140"/>
      <c r="D101" s="152">
        <v>18999324.054115064</v>
      </c>
      <c r="E101" s="153"/>
      <c r="F101" s="140"/>
      <c r="G101" s="140"/>
      <c r="H101" s="152">
        <f t="shared" si="4"/>
        <v>18999324.054115064</v>
      </c>
      <c r="I101" s="154"/>
      <c r="J101" s="140"/>
      <c r="K101" s="140"/>
      <c r="L101" s="140"/>
      <c r="M101" s="136" t="s">
        <v>223</v>
      </c>
      <c r="N101" s="140">
        <f>D94</f>
        <v>52048035.280000001</v>
      </c>
      <c r="O101" s="140"/>
      <c r="P101" s="140"/>
      <c r="Q101" s="140"/>
      <c r="R101" s="140"/>
    </row>
    <row r="102" spans="1:18" s="130" customFormat="1" ht="12.75">
      <c r="A102" s="140"/>
      <c r="B102" s="153" t="s">
        <v>239</v>
      </c>
      <c r="C102" s="140"/>
      <c r="D102" s="152">
        <v>12300087.27</v>
      </c>
      <c r="E102" s="153"/>
      <c r="F102" s="155"/>
      <c r="G102" s="140"/>
      <c r="H102" s="152">
        <f t="shared" si="4"/>
        <v>12300087.27</v>
      </c>
      <c r="I102" s="154"/>
      <c r="J102" s="140"/>
      <c r="K102" s="140"/>
      <c r="L102" s="140"/>
      <c r="M102" s="140"/>
      <c r="N102" s="176">
        <f>SUM(N97:N101)</f>
        <v>1118118070.4264944</v>
      </c>
      <c r="O102" s="140"/>
      <c r="P102" s="140"/>
      <c r="Q102" s="140"/>
      <c r="R102" s="140"/>
    </row>
    <row r="103" spans="1:18" s="130" customFormat="1" ht="12.75">
      <c r="A103" s="140"/>
      <c r="B103" s="153" t="s">
        <v>240</v>
      </c>
      <c r="C103" s="140"/>
      <c r="D103" s="152">
        <v>54786455.640000001</v>
      </c>
      <c r="E103" s="153"/>
      <c r="F103" s="155"/>
      <c r="G103" s="140"/>
      <c r="H103" s="152">
        <f t="shared" si="4"/>
        <v>54786455.640000001</v>
      </c>
      <c r="I103" s="154"/>
      <c r="J103" s="140"/>
      <c r="K103" s="140"/>
      <c r="L103" s="140"/>
      <c r="M103" s="140"/>
      <c r="N103" s="140"/>
      <c r="O103" s="140"/>
      <c r="P103" s="140"/>
      <c r="Q103" s="140"/>
      <c r="R103" s="140"/>
    </row>
    <row r="104" spans="1:18" s="130" customFormat="1" ht="12.75">
      <c r="A104" s="140"/>
      <c r="B104" s="153" t="s">
        <v>241</v>
      </c>
      <c r="C104" s="140"/>
      <c r="D104" s="152">
        <v>139064617.61000001</v>
      </c>
      <c r="E104" s="153"/>
      <c r="F104" s="155"/>
      <c r="G104" s="140"/>
      <c r="H104" s="152">
        <f t="shared" si="4"/>
        <v>139064617.61000001</v>
      </c>
      <c r="I104" s="154"/>
      <c r="J104" s="140"/>
      <c r="K104" s="140"/>
      <c r="L104" s="140"/>
      <c r="M104" s="140"/>
      <c r="N104" s="140"/>
      <c r="O104" s="140"/>
      <c r="P104" s="140"/>
      <c r="Q104" s="140"/>
      <c r="R104" s="140"/>
    </row>
    <row r="105" spans="1:18" s="130" customFormat="1" ht="12.75">
      <c r="A105" s="140"/>
      <c r="B105" s="153" t="s">
        <v>242</v>
      </c>
      <c r="C105" s="140"/>
      <c r="D105" s="152">
        <v>94815866.219999999</v>
      </c>
      <c r="E105" s="153"/>
      <c r="F105" s="155"/>
      <c r="G105" s="140"/>
      <c r="H105" s="152">
        <f>D105</f>
        <v>94815866.219999999</v>
      </c>
      <c r="I105" s="154"/>
      <c r="J105" s="140"/>
      <c r="K105" s="140"/>
      <c r="L105" s="140"/>
      <c r="M105" s="140"/>
      <c r="N105" s="140"/>
      <c r="O105" s="140"/>
      <c r="P105" s="140"/>
      <c r="Q105" s="140"/>
      <c r="R105" s="140"/>
    </row>
    <row r="106" spans="1:18" s="130" customFormat="1" ht="12.75">
      <c r="A106" s="140"/>
      <c r="B106" s="153" t="s">
        <v>243</v>
      </c>
      <c r="C106" s="140"/>
      <c r="D106" s="152">
        <v>194633379.66999999</v>
      </c>
      <c r="E106" s="153"/>
      <c r="F106" s="155"/>
      <c r="G106" s="140"/>
      <c r="H106" s="152">
        <f t="shared" si="4"/>
        <v>194633379.66999999</v>
      </c>
      <c r="I106" s="154"/>
      <c r="J106" s="140"/>
      <c r="K106" s="140"/>
      <c r="L106" s="140"/>
      <c r="M106" s="140"/>
      <c r="N106" s="140"/>
      <c r="O106" s="140"/>
      <c r="P106" s="140"/>
      <c r="Q106" s="140"/>
      <c r="R106" s="140"/>
    </row>
    <row r="107" spans="1:18" s="130" customFormat="1" ht="12.75">
      <c r="A107" s="140"/>
      <c r="B107" s="153" t="s">
        <v>244</v>
      </c>
      <c r="C107" s="140"/>
      <c r="D107" s="152">
        <v>123621677.17449498</v>
      </c>
      <c r="E107" s="153"/>
      <c r="F107" s="155"/>
      <c r="G107" s="140"/>
      <c r="H107" s="152">
        <f t="shared" si="4"/>
        <v>123621677.17449498</v>
      </c>
      <c r="I107" s="154"/>
      <c r="J107" s="140"/>
      <c r="K107" s="140"/>
      <c r="L107" s="140"/>
      <c r="M107" s="140"/>
      <c r="N107" s="140"/>
      <c r="O107" s="140"/>
      <c r="P107" s="140"/>
      <c r="Q107" s="140"/>
      <c r="R107" s="140"/>
    </row>
    <row r="108" spans="1:18" s="130" customFormat="1" ht="12.75">
      <c r="A108" s="140"/>
      <c r="B108" s="153" t="s">
        <v>245</v>
      </c>
      <c r="C108" s="140"/>
      <c r="D108" s="152">
        <v>0</v>
      </c>
      <c r="E108" s="153"/>
      <c r="F108" s="155"/>
      <c r="G108" s="140"/>
      <c r="H108" s="152">
        <f t="shared" si="4"/>
        <v>0</v>
      </c>
      <c r="I108" s="154"/>
      <c r="J108" s="140"/>
      <c r="K108" s="140"/>
      <c r="L108" s="140"/>
      <c r="M108" s="140"/>
      <c r="N108" s="140"/>
      <c r="O108" s="140"/>
      <c r="P108" s="140"/>
      <c r="Q108" s="140"/>
      <c r="R108" s="140"/>
    </row>
    <row r="109" spans="1:18" s="130" customFormat="1" ht="12.75">
      <c r="A109" s="140"/>
      <c r="B109" s="153" t="s">
        <v>246</v>
      </c>
      <c r="C109" s="140"/>
      <c r="D109" s="152">
        <v>107094102.02</v>
      </c>
      <c r="E109" s="153"/>
      <c r="F109" s="155"/>
      <c r="G109" s="140"/>
      <c r="H109" s="152">
        <f t="shared" si="4"/>
        <v>107094102.02</v>
      </c>
      <c r="I109" s="154"/>
      <c r="J109" s="140"/>
      <c r="K109" s="140"/>
      <c r="L109" s="140"/>
      <c r="M109" s="140"/>
      <c r="N109" s="140"/>
      <c r="O109" s="140"/>
      <c r="P109" s="140"/>
      <c r="Q109" s="140"/>
      <c r="R109" s="140"/>
    </row>
    <row r="110" spans="1:18" s="130" customFormat="1" ht="12.75">
      <c r="A110" s="140"/>
      <c r="B110" s="153"/>
      <c r="C110" s="140"/>
      <c r="D110" s="152"/>
      <c r="E110" s="153"/>
      <c r="F110" s="155"/>
      <c r="G110" s="140"/>
      <c r="H110" s="152"/>
      <c r="I110" s="154"/>
      <c r="J110" s="140"/>
      <c r="K110" s="140"/>
      <c r="L110" s="140"/>
      <c r="M110" s="140"/>
      <c r="N110" s="140"/>
      <c r="O110" s="140"/>
      <c r="P110" s="140"/>
      <c r="Q110" s="140"/>
      <c r="R110" s="140"/>
    </row>
    <row r="111" spans="1:18" s="130" customFormat="1" ht="12.75">
      <c r="A111" s="140"/>
      <c r="B111" s="153" t="s">
        <v>247</v>
      </c>
      <c r="C111" s="140"/>
      <c r="D111" s="152">
        <v>20068192.149999999</v>
      </c>
      <c r="E111" s="153"/>
      <c r="F111" s="155"/>
      <c r="G111" s="140"/>
      <c r="H111" s="152">
        <f t="shared" si="4"/>
        <v>20068192.149999999</v>
      </c>
      <c r="I111" s="154"/>
      <c r="J111" s="140"/>
      <c r="K111" s="140"/>
      <c r="L111" s="140"/>
      <c r="M111" s="140"/>
      <c r="N111" s="140"/>
      <c r="O111" s="140"/>
      <c r="P111" s="140"/>
      <c r="Q111" s="140"/>
      <c r="R111" s="140"/>
    </row>
    <row r="112" spans="1:18" s="130" customFormat="1" ht="13.5" thickBot="1">
      <c r="A112" s="140"/>
      <c r="B112" s="140"/>
      <c r="C112" s="140"/>
      <c r="D112" s="146" t="s">
        <v>143</v>
      </c>
      <c r="E112" s="155" t="s">
        <v>11</v>
      </c>
      <c r="F112" s="146" t="s">
        <v>143</v>
      </c>
      <c r="G112" s="146" t="s">
        <v>143</v>
      </c>
      <c r="H112" s="146" t="s">
        <v>143</v>
      </c>
      <c r="I112" s="146" t="s">
        <v>143</v>
      </c>
      <c r="J112" s="140"/>
      <c r="K112" s="140"/>
      <c r="L112" s="140"/>
      <c r="M112" s="140"/>
      <c r="N112" s="140"/>
      <c r="O112" s="140"/>
      <c r="P112" s="140"/>
      <c r="Q112" s="140"/>
      <c r="R112" s="140"/>
    </row>
    <row r="113" spans="1:18" s="130" customFormat="1" ht="13.5" thickBot="1">
      <c r="A113" s="140" t="s">
        <v>224</v>
      </c>
      <c r="B113" s="140"/>
      <c r="C113" s="140"/>
      <c r="D113" s="152">
        <f>SUM(D93:D111)</f>
        <v>1118118070.4264946</v>
      </c>
      <c r="E113" s="153"/>
      <c r="F113" s="152">
        <f>SUM(F92:F111)</f>
        <v>0</v>
      </c>
      <c r="G113" s="152">
        <f>SUM(G92:G111)</f>
        <v>0</v>
      </c>
      <c r="H113" s="152">
        <f>SUM(H92:H111)</f>
        <v>1118118070.4264946</v>
      </c>
      <c r="I113" s="152">
        <f>SUM(I92:I105)</f>
        <v>0</v>
      </c>
      <c r="J113" s="140"/>
      <c r="K113" s="156">
        <v>0</v>
      </c>
      <c r="L113" s="157" t="s">
        <v>145</v>
      </c>
      <c r="M113" s="158">
        <f>D113-SUM(F113:I113)</f>
        <v>0</v>
      </c>
      <c r="N113" s="140"/>
      <c r="O113" s="140"/>
      <c r="P113" s="140"/>
      <c r="Q113" s="140"/>
      <c r="R113" s="140"/>
    </row>
    <row r="114" spans="1:18" s="130" customFormat="1" ht="12.75">
      <c r="A114" s="140"/>
      <c r="B114" s="140"/>
      <c r="C114" s="140"/>
      <c r="D114" s="153"/>
      <c r="E114" s="153"/>
      <c r="F114" s="153"/>
      <c r="G114" s="153"/>
      <c r="H114" s="153"/>
      <c r="I114" s="153"/>
      <c r="J114" s="140"/>
      <c r="K114" s="140"/>
      <c r="L114" s="140"/>
      <c r="M114" s="140"/>
      <c r="N114" s="140"/>
      <c r="O114" s="140"/>
      <c r="P114" s="140"/>
      <c r="Q114" s="140"/>
      <c r="R114" s="140"/>
    </row>
    <row r="115" spans="1:18" s="130" customFormat="1" ht="12.75">
      <c r="A115" s="140" t="s">
        <v>225</v>
      </c>
      <c r="B115" s="140"/>
      <c r="C115" s="140"/>
      <c r="D115" s="153"/>
      <c r="E115" s="153"/>
      <c r="F115" s="153"/>
      <c r="G115" s="153"/>
      <c r="H115" s="153"/>
      <c r="I115" s="153"/>
      <c r="J115" s="140"/>
      <c r="K115" s="140"/>
      <c r="L115" s="140"/>
      <c r="M115" s="140"/>
      <c r="N115" s="140"/>
      <c r="O115" s="140"/>
      <c r="P115" s="140"/>
      <c r="Q115" s="140"/>
      <c r="R115" s="140"/>
    </row>
    <row r="116" spans="1:18" s="130" customFormat="1" ht="12.75">
      <c r="A116" s="140"/>
      <c r="B116" s="153" t="s">
        <v>248</v>
      </c>
      <c r="C116" s="140"/>
      <c r="D116" s="152">
        <v>3483826.95</v>
      </c>
      <c r="E116" s="153"/>
      <c r="F116" s="155"/>
      <c r="G116" s="140"/>
      <c r="H116" s="152">
        <f>D116</f>
        <v>3483826.95</v>
      </c>
      <c r="I116" s="154"/>
      <c r="J116" s="140"/>
      <c r="K116" s="140"/>
      <c r="L116" s="140"/>
      <c r="M116" s="140"/>
      <c r="N116" s="140"/>
      <c r="O116" s="140"/>
      <c r="P116" s="140"/>
      <c r="Q116" s="140"/>
      <c r="R116" s="140"/>
    </row>
    <row r="117" spans="1:18" ht="12.75">
      <c r="A117" s="140"/>
      <c r="B117" s="140"/>
      <c r="C117" s="140"/>
      <c r="D117" s="146" t="s">
        <v>143</v>
      </c>
      <c r="E117" s="155" t="s">
        <v>11</v>
      </c>
      <c r="F117" s="146" t="s">
        <v>143</v>
      </c>
      <c r="G117" s="146" t="s">
        <v>143</v>
      </c>
      <c r="H117" s="146" t="s">
        <v>143</v>
      </c>
      <c r="I117" s="146" t="s">
        <v>143</v>
      </c>
      <c r="J117" s="140"/>
      <c r="K117" s="140"/>
      <c r="L117" s="140"/>
      <c r="M117" s="140"/>
      <c r="N117" s="140"/>
      <c r="O117" s="140"/>
      <c r="P117" s="140"/>
      <c r="Q117" s="140"/>
      <c r="R117" s="140"/>
    </row>
    <row r="118" spans="1:18" ht="12.75">
      <c r="A118" s="140" t="s">
        <v>226</v>
      </c>
      <c r="B118" s="140"/>
      <c r="C118" s="140"/>
      <c r="D118" s="152">
        <v>3483826.9499999993</v>
      </c>
      <c r="E118" s="153"/>
      <c r="F118" s="152">
        <f>SUM(F116:F116)</f>
        <v>0</v>
      </c>
      <c r="G118" s="152">
        <f>SUM(G116:G116)</f>
        <v>0</v>
      </c>
      <c r="H118" s="152">
        <f>SUM(H116:H116)</f>
        <v>3483826.95</v>
      </c>
      <c r="I118" s="152">
        <f>SUM(I116:I116)</f>
        <v>0</v>
      </c>
      <c r="J118" s="140"/>
      <c r="K118" s="140"/>
      <c r="L118" s="140"/>
      <c r="M118" s="140"/>
      <c r="N118" s="140"/>
      <c r="O118" s="140"/>
      <c r="P118" s="140"/>
      <c r="Q118" s="140"/>
      <c r="R118" s="140"/>
    </row>
    <row r="119" spans="1:18" ht="13.5" thickBot="1">
      <c r="A119" s="140"/>
      <c r="B119" s="140"/>
      <c r="C119" s="140"/>
      <c r="D119" s="177" t="s">
        <v>227</v>
      </c>
      <c r="E119" s="155" t="s">
        <v>11</v>
      </c>
      <c r="F119" s="177" t="s">
        <v>227</v>
      </c>
      <c r="G119" s="177" t="s">
        <v>227</v>
      </c>
      <c r="H119" s="177" t="s">
        <v>227</v>
      </c>
      <c r="I119" s="177" t="s">
        <v>227</v>
      </c>
      <c r="J119" s="140"/>
      <c r="K119" s="140"/>
      <c r="L119" s="140"/>
      <c r="M119" s="140"/>
      <c r="N119" s="140"/>
      <c r="O119" s="140"/>
      <c r="P119" s="140"/>
      <c r="Q119" s="140"/>
      <c r="R119" s="140"/>
    </row>
    <row r="120" spans="1:18" ht="13.5" thickBot="1">
      <c r="A120" s="140" t="s">
        <v>228</v>
      </c>
      <c r="B120" s="140"/>
      <c r="C120" s="140"/>
      <c r="D120" s="178">
        <f>D113+D90+D76+D118-D16</f>
        <v>1479164534.0864944</v>
      </c>
      <c r="E120" s="153" t="s">
        <v>11</v>
      </c>
      <c r="F120" s="152">
        <f>F113+F90+F76+F118-F16</f>
        <v>28396338.231870234</v>
      </c>
      <c r="G120" s="152">
        <f>G113+G90+G76+G118-G16</f>
        <v>28296037.898129754</v>
      </c>
      <c r="H120" s="152">
        <f>H113+H90+H76+H118-H16</f>
        <v>1127619100.8864946</v>
      </c>
      <c r="I120" s="152" t="e">
        <f>I113+I90+I76+I118-I16</f>
        <v>#NAME?</v>
      </c>
      <c r="J120" s="140"/>
      <c r="K120" s="156">
        <v>0</v>
      </c>
      <c r="L120" s="157" t="s">
        <v>145</v>
      </c>
      <c r="M120" s="158" t="e">
        <f>D120-SUM(F120:I120)</f>
        <v>#NAME?</v>
      </c>
      <c r="N120" s="140"/>
      <c r="O120" s="140"/>
      <c r="P120" s="140"/>
      <c r="Q120" s="140"/>
      <c r="R120" s="140"/>
    </row>
    <row r="121" spans="1:18" ht="12.75">
      <c r="A121" s="140"/>
      <c r="B121" s="140"/>
      <c r="C121" s="140"/>
      <c r="D121" s="177" t="s">
        <v>227</v>
      </c>
      <c r="E121" s="155" t="s">
        <v>11</v>
      </c>
      <c r="F121" s="177" t="s">
        <v>227</v>
      </c>
      <c r="G121" s="177" t="s">
        <v>227</v>
      </c>
      <c r="H121" s="177" t="s">
        <v>227</v>
      </c>
      <c r="I121" s="177" t="s">
        <v>227</v>
      </c>
      <c r="J121" s="140"/>
      <c r="K121" s="140"/>
      <c r="L121" s="140"/>
      <c r="M121" s="140"/>
      <c r="N121" s="140"/>
      <c r="O121" s="140"/>
      <c r="P121" s="140"/>
      <c r="Q121" s="140"/>
      <c r="R121" s="140"/>
    </row>
    <row r="122" spans="1:18" ht="12.75">
      <c r="A122" s="140"/>
      <c r="B122" s="140"/>
      <c r="C122" s="140"/>
      <c r="D122" s="179" t="s">
        <v>229</v>
      </c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</row>
    <row r="123" spans="1:18" ht="12.7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</row>
    <row r="124" spans="1:18" ht="12.7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</row>
    <row r="125" spans="1:18" ht="12.7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</row>
    <row r="126" spans="1:18" ht="12.7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</row>
    <row r="127" spans="1:18" ht="12.7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</row>
    <row r="128" spans="1:18" ht="12.7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</row>
  </sheetData>
  <mergeCells count="1">
    <mergeCell ref="A4:C4"/>
  </mergeCells>
  <printOptions horizontalCentered="1"/>
  <pageMargins left="1" right="0.5" top="1" bottom="0.5" header="0.55000000000000004" footer="0.25"/>
  <pageSetup scale="59" fitToHeight="2" orientation="portrait" r:id="rId1"/>
  <headerFooter alignWithMargins="0">
    <oddHeader xml:space="preserve">&amp;RPage 12.1.&amp;P+1
</oddHeader>
    <oddFooter xml:space="preserve">&amp;C&amp;7
</oddFooter>
  </headerFooter>
  <rowBreaks count="1" manualBreakCount="1"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pg 12.1</vt:lpstr>
      <vt:lpstr>pg 12.1.1</vt:lpstr>
      <vt:lpstr>pg 12.1.2 to 12.1.3</vt:lpstr>
      <vt:lpstr>'pg 12.1'!Print_Area</vt:lpstr>
      <vt:lpstr>'pg 12.1.1'!Print_Area</vt:lpstr>
      <vt:lpstr>'pg 12.1.2 to 12.1.3'!Print_Area</vt:lpstr>
      <vt:lpstr>'pg 12.1.2 to 12.1.3'!Print_Titles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2012-07-19T15:40:20Z</dcterms:modified>
</cp:coreProperties>
</file>