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tfile16\"/>
    </mc:Choice>
  </mc:AlternateContent>
  <bookViews>
    <workbookView xWindow="120" yWindow="165" windowWidth="15180" windowHeight="8775"/>
  </bookViews>
  <sheets>
    <sheet name="Four Strata (9010)" sheetId="5" r:id="rId1"/>
    <sheet name="Four Strata (9510)" sheetId="8" r:id="rId2"/>
  </sheets>
  <definedNames>
    <definedName name="_xlnm.Print_Area" localSheetId="1">'Four Strata (9510)'!$A$1:$Q$40</definedName>
  </definedNames>
  <calcPr calcId="152511"/>
</workbook>
</file>

<file path=xl/calcChain.xml><?xml version="1.0" encoding="utf-8"?>
<calcChain xmlns="http://schemas.openxmlformats.org/spreadsheetml/2006/main">
  <c r="O33" i="8" l="1"/>
  <c r="N24" i="8" l="1"/>
  <c r="O24" i="8"/>
  <c r="N25" i="8"/>
  <c r="O25" i="8"/>
  <c r="O29" i="8" s="1"/>
  <c r="N26" i="8"/>
  <c r="O26" i="8"/>
  <c r="N27" i="8"/>
  <c r="O27" i="8"/>
  <c r="N29" i="8"/>
  <c r="O15" i="8" l="1"/>
  <c r="O19" i="8" s="1"/>
  <c r="G15" i="8"/>
  <c r="F15" i="8" s="1"/>
  <c r="O31" i="8" s="1"/>
  <c r="J11" i="8"/>
  <c r="H11" i="8"/>
  <c r="K27" i="8" s="1"/>
  <c r="J10" i="8"/>
  <c r="H10" i="8"/>
  <c r="J9" i="8"/>
  <c r="H9" i="8"/>
  <c r="J8" i="8"/>
  <c r="H8" i="8"/>
  <c r="K24" i="8" s="1"/>
  <c r="E15" i="8" l="1"/>
  <c r="L38" i="8" s="1"/>
  <c r="J15" i="8"/>
  <c r="K10" i="8" s="1"/>
  <c r="K26" i="8"/>
  <c r="K38" i="8"/>
  <c r="K29" i="8"/>
  <c r="K31" i="8" s="1"/>
  <c r="K36" i="8" s="1"/>
  <c r="K40" i="8" s="1"/>
  <c r="H38" i="8"/>
  <c r="K8" i="8"/>
  <c r="K25" i="8"/>
  <c r="J38" i="8"/>
  <c r="O25" i="5"/>
  <c r="O24" i="5"/>
  <c r="G15" i="5"/>
  <c r="N25" i="5" s="1"/>
  <c r="E15" i="5"/>
  <c r="K38" i="5" s="1"/>
  <c r="N24" i="5"/>
  <c r="J8" i="5"/>
  <c r="J9" i="5"/>
  <c r="J10" i="5"/>
  <c r="J11" i="5"/>
  <c r="H11" i="5"/>
  <c r="O27" i="5" s="1"/>
  <c r="H8" i="5"/>
  <c r="H9" i="5"/>
  <c r="H10" i="5"/>
  <c r="O26" i="5" s="1"/>
  <c r="F15" i="5"/>
  <c r="O31" i="5" s="1"/>
  <c r="K11" i="8" l="1"/>
  <c r="K9" i="8"/>
  <c r="N19" i="8"/>
  <c r="L15" i="8" s="1"/>
  <c r="K15" i="8"/>
  <c r="H38" i="5"/>
  <c r="N27" i="5"/>
  <c r="N26" i="5"/>
  <c r="N29" i="5"/>
  <c r="J15" i="5"/>
  <c r="K10" i="5" s="1"/>
  <c r="L38" i="5"/>
  <c r="J38" i="5"/>
  <c r="L10" i="8" l="1"/>
  <c r="L9" i="8"/>
  <c r="L11" i="8"/>
  <c r="L8" i="8"/>
  <c r="O29" i="5"/>
  <c r="K8" i="5"/>
  <c r="K9" i="5"/>
  <c r="K11" i="5"/>
  <c r="N8" i="8" l="1"/>
  <c r="H24" i="8"/>
  <c r="H27" i="8"/>
  <c r="N11" i="8"/>
  <c r="N9" i="8"/>
  <c r="H25" i="8"/>
  <c r="N10" i="8"/>
  <c r="H26" i="8"/>
  <c r="N19" i="5"/>
  <c r="L15" i="5" s="1"/>
  <c r="L10" i="5" s="1"/>
  <c r="N10" i="5" s="1"/>
  <c r="J26" i="5" s="1"/>
  <c r="K15" i="5"/>
  <c r="K26" i="5"/>
  <c r="J27" i="8" l="1"/>
  <c r="L27" i="8"/>
  <c r="L26" i="8"/>
  <c r="J26" i="8"/>
  <c r="H29" i="8"/>
  <c r="H31" i="8" s="1"/>
  <c r="H36" i="8" s="1"/>
  <c r="H40" i="8" s="1"/>
  <c r="J25" i="8"/>
  <c r="L25" i="8"/>
  <c r="N15" i="8"/>
  <c r="J24" i="8"/>
  <c r="L24" i="8"/>
  <c r="L9" i="5"/>
  <c r="H25" i="5" s="1"/>
  <c r="L26" i="5"/>
  <c r="L8" i="5"/>
  <c r="H24" i="5" s="1"/>
  <c r="L11" i="5"/>
  <c r="H27" i="5" s="1"/>
  <c r="H26" i="5"/>
  <c r="N9" i="5"/>
  <c r="J25" i="5" s="1"/>
  <c r="N11" i="5"/>
  <c r="L29" i="8" l="1"/>
  <c r="L31" i="8" s="1"/>
  <c r="L36" i="8" s="1"/>
  <c r="L40" i="8" s="1"/>
  <c r="J29" i="8"/>
  <c r="J31" i="8" s="1"/>
  <c r="J36" i="8" s="1"/>
  <c r="J40" i="8" s="1"/>
  <c r="H29" i="5"/>
  <c r="H31" i="5" s="1"/>
  <c r="H36" i="5" s="1"/>
  <c r="H40" i="5" s="1"/>
  <c r="N8" i="5"/>
  <c r="J24" i="5" s="1"/>
  <c r="K24" i="5"/>
  <c r="L25" i="5"/>
  <c r="K25" i="5"/>
  <c r="K27" i="5"/>
  <c r="L27" i="5"/>
  <c r="J27" i="5"/>
  <c r="J29" i="5" l="1"/>
  <c r="J31" i="5" s="1"/>
  <c r="J36" i="5" s="1"/>
  <c r="J40" i="5" s="1"/>
  <c r="N15" i="5"/>
  <c r="L24" i="5"/>
  <c r="L29" i="5" s="1"/>
  <c r="L31" i="5" s="1"/>
  <c r="L36" i="5" s="1"/>
  <c r="L40" i="5" s="1"/>
  <c r="K29" i="5"/>
  <c r="K31" i="5" s="1"/>
  <c r="K36" i="5" s="1"/>
  <c r="K40" i="5" s="1"/>
  <c r="O15" i="5"/>
  <c r="O19" i="5" s="1"/>
</calcChain>
</file>

<file path=xl/sharedStrings.xml><?xml version="1.0" encoding="utf-8"?>
<sst xmlns="http://schemas.openxmlformats.org/spreadsheetml/2006/main" count="158" uniqueCount="69">
  <si>
    <t>a</t>
  </si>
  <si>
    <t>b</t>
  </si>
  <si>
    <t>c</t>
  </si>
  <si>
    <t xml:space="preserve">     d</t>
  </si>
  <si>
    <t xml:space="preserve">     f</t>
  </si>
  <si>
    <t xml:space="preserve">  g</t>
  </si>
  <si>
    <t xml:space="preserve">  h</t>
  </si>
  <si>
    <t xml:space="preserve">    i</t>
  </si>
  <si>
    <t xml:space="preserve">     j</t>
  </si>
  <si>
    <t>Proprtn.</t>
  </si>
  <si>
    <t xml:space="preserve">  Optimal </t>
  </si>
  <si>
    <t xml:space="preserve"> Final</t>
  </si>
  <si>
    <t>Sample</t>
  </si>
  <si>
    <t>Variance</t>
  </si>
  <si>
    <t>Standard</t>
  </si>
  <si>
    <t>Devtns.</t>
  </si>
  <si>
    <t xml:space="preserve">row f/ </t>
  </si>
  <si>
    <t>Allocation</t>
  </si>
  <si>
    <t>with</t>
  </si>
  <si>
    <t xml:space="preserve"> Mean kW</t>
  </si>
  <si>
    <t>Mean kWh</t>
  </si>
  <si>
    <t>Pop N</t>
  </si>
  <si>
    <t>of Mean</t>
  </si>
  <si>
    <t>Deviation</t>
  </si>
  <si>
    <t xml:space="preserve">c*e </t>
  </si>
  <si>
    <t xml:space="preserve">sum f  </t>
  </si>
  <si>
    <t xml:space="preserve"> g*h total</t>
  </si>
  <si>
    <t>Attrition</t>
  </si>
  <si>
    <t xml:space="preserve">    STRATUM 1 </t>
  </si>
  <si>
    <t xml:space="preserve">    STRATUM 2</t>
  </si>
  <si>
    <t xml:space="preserve">    STRATUM 3</t>
  </si>
  <si>
    <t xml:space="preserve">    STRATUM 4</t>
  </si>
  <si>
    <t>EST POP MEAN (wtd by N)</t>
  </si>
  <si>
    <t>RELATIVE PRECISION OF SAMPLE KW ESTIMATE</t>
  </si>
  <si>
    <t>TOTAL KW</t>
  </si>
  <si>
    <t>MEAN KW</t>
  </si>
  <si>
    <t>Optimal n (col. h)</t>
  </si>
  <si>
    <t>Adjusted n (col. i)</t>
  </si>
  <si>
    <t>Adj. n</t>
  </si>
  <si>
    <t>1</t>
  </si>
  <si>
    <t>contributed</t>
  </si>
  <si>
    <t>2</t>
  </si>
  <si>
    <t>by strata:</t>
  </si>
  <si>
    <t>3</t>
  </si>
  <si>
    <t>4</t>
  </si>
  <si>
    <t>Total Variance</t>
  </si>
  <si>
    <t>Standard Error</t>
  </si>
  <si>
    <t>Desired Conf. Level</t>
  </si>
  <si>
    <t>(z two tailed)</t>
  </si>
  <si>
    <t>Conf. Interval</t>
  </si>
  <si>
    <t>MPU Est of kW</t>
  </si>
  <si>
    <t>Relative Conf. Int.</t>
  </si>
  <si>
    <t>Wtd.</t>
  </si>
  <si>
    <t>St Dev</t>
  </si>
  <si>
    <t xml:space="preserve">V = </t>
  </si>
  <si>
    <t>Total Wtd</t>
  </si>
  <si>
    <t>Estimate</t>
  </si>
  <si>
    <t>Adj Sample</t>
  </si>
  <si>
    <t>e</t>
  </si>
  <si>
    <t>Optimal</t>
  </si>
  <si>
    <t xml:space="preserve"> </t>
  </si>
  <si>
    <t xml:space="preserve">    FOUR STRATA, MEAN-PER-UNIT DESIGN</t>
  </si>
  <si>
    <t>Final (col. J</t>
  </si>
  <si>
    <t>GT   2,000 kWh</t>
  </si>
  <si>
    <t xml:space="preserve">    UTAH RESIDENTIAL DG LOAD STUDY DESIGN OPTION (2014)</t>
  </si>
  <si>
    <t xml:space="preserve">  0 -400 kWh</t>
  </si>
  <si>
    <t>401 - 900 kWh</t>
  </si>
  <si>
    <t>901 - 2,000 kWh</t>
  </si>
  <si>
    <t>Table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</si>
</sst>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0_)"/>
    <numFmt numFmtId="165" formatCode="0_)"/>
    <numFmt numFmtId="166" formatCode=";;;"/>
    <numFmt numFmtId="167" formatCode="0.0000000_)"/>
    <numFmt numFmtId="168" formatCode="0.000000_)"/>
    <numFmt numFmtId="169" formatCode="0.000000_);\(0.000000\)"/>
    <numFmt numFmtId="170" formatCode="0.000"/>
    <numFmt numFmtId="171" formatCode="#,##0.0_);\(#,##0.0\)"/>
    <numFmt numFmtId="172" formatCode="#,##0.000_);\(#,##0.000\)"/>
  </numFmts>
  <fonts count="8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color indexed="12"/>
      <name val="Helv"/>
    </font>
    <font>
      <b/>
      <sz val="10"/>
      <name val="Helv"/>
    </font>
    <font>
      <sz val="10"/>
      <name val="Arial"/>
      <family val="2"/>
    </font>
    <font>
      <sz val="10"/>
      <color indexed="9"/>
      <name val="Helv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 applyProtection="1">
      <alignment horizontal="right"/>
      <protection locked="0"/>
    </xf>
    <xf numFmtId="164" fontId="3" fillId="0" borderId="0" xfId="0" applyNumberFormat="1" applyFont="1" applyProtection="1">
      <protection locked="0"/>
    </xf>
    <xf numFmtId="37" fontId="3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37" fontId="2" fillId="0" borderId="0" xfId="0" applyNumberFormat="1" applyFont="1" applyProtection="1">
      <protection locked="0"/>
    </xf>
    <xf numFmtId="165" fontId="2" fillId="0" borderId="0" xfId="0" applyNumberFormat="1" applyFont="1" applyProtection="1">
      <protection locked="0"/>
    </xf>
    <xf numFmtId="166" fontId="2" fillId="0" borderId="0" xfId="0" applyNumberFormat="1" applyFont="1" applyAlignment="1" applyProtection="1">
      <alignment horizontal="left"/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167" fontId="2" fillId="0" borderId="0" xfId="0" applyNumberFormat="1" applyFont="1" applyProtection="1">
      <protection locked="0"/>
    </xf>
    <xf numFmtId="168" fontId="2" fillId="0" borderId="0" xfId="0" applyNumberFormat="1" applyFont="1" applyProtection="1">
      <protection locked="0"/>
    </xf>
    <xf numFmtId="9" fontId="5" fillId="0" borderId="2" xfId="0" applyNumberFormat="1" applyFont="1" applyBorder="1"/>
    <xf numFmtId="9" fontId="5" fillId="0" borderId="3" xfId="0" applyNumberFormat="1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/>
    <xf numFmtId="0" fontId="7" fillId="0" borderId="0" xfId="0" applyFont="1" applyAlignment="1">
      <alignment horizontal="right"/>
    </xf>
    <xf numFmtId="165" fontId="2" fillId="0" borderId="0" xfId="0" applyNumberFormat="1" applyFont="1" applyAlignment="1" applyProtection="1">
      <alignment horizontal="center"/>
      <protection locked="0"/>
    </xf>
    <xf numFmtId="165" fontId="2" fillId="0" borderId="10" xfId="0" applyNumberFormat="1" applyFont="1" applyBorder="1" applyProtection="1">
      <protection locked="0"/>
    </xf>
    <xf numFmtId="0" fontId="4" fillId="0" borderId="11" xfId="0" applyFont="1" applyBorder="1" applyAlignment="1" applyProtection="1">
      <alignment horizontal="center"/>
      <protection locked="0"/>
    </xf>
    <xf numFmtId="165" fontId="4" fillId="0" borderId="12" xfId="0" applyNumberFormat="1" applyFont="1" applyBorder="1" applyProtection="1"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1" fillId="0" borderId="0" xfId="0" applyFont="1"/>
    <xf numFmtId="0" fontId="1" fillId="0" borderId="0" xfId="0" applyFont="1" applyAlignment="1">
      <alignment horizontal="left"/>
    </xf>
    <xf numFmtId="37" fontId="1" fillId="0" borderId="0" xfId="0" applyNumberFormat="1" applyFont="1"/>
    <xf numFmtId="169" fontId="1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164" fontId="1" fillId="0" borderId="0" xfId="0" applyNumberFormat="1" applyFont="1"/>
    <xf numFmtId="0" fontId="1" fillId="0" borderId="7" xfId="0" applyFont="1" applyBorder="1"/>
    <xf numFmtId="0" fontId="1" fillId="0" borderId="8" xfId="0" applyFont="1" applyBorder="1"/>
    <xf numFmtId="10" fontId="1" fillId="0" borderId="8" xfId="0" applyNumberFormat="1" applyFont="1" applyBorder="1"/>
    <xf numFmtId="10" fontId="1" fillId="0" borderId="9" xfId="0" applyNumberFormat="1" applyFont="1" applyBorder="1"/>
    <xf numFmtId="170" fontId="3" fillId="0" borderId="0" xfId="0" applyNumberFormat="1" applyFont="1" applyProtection="1">
      <protection locked="0"/>
    </xf>
    <xf numFmtId="170" fontId="2" fillId="0" borderId="0" xfId="0" applyNumberFormat="1" applyFont="1" applyProtection="1">
      <protection locked="0"/>
    </xf>
    <xf numFmtId="172" fontId="3" fillId="0" borderId="0" xfId="0" applyNumberFormat="1" applyFont="1" applyProtection="1">
      <protection locked="0"/>
    </xf>
    <xf numFmtId="172" fontId="2" fillId="0" borderId="0" xfId="0" applyNumberFormat="1" applyFont="1" applyProtection="1">
      <protection locked="0"/>
    </xf>
    <xf numFmtId="171" fontId="3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workbookViewId="0"/>
  </sheetViews>
  <sheetFormatPr defaultRowHeight="12.75" x14ac:dyDescent="0.2"/>
  <cols>
    <col min="6" max="6" width="10.85546875" customWidth="1"/>
    <col min="8" max="8" width="15.140625" customWidth="1"/>
    <col min="10" max="10" width="15" customWidth="1"/>
    <col min="11" max="11" width="13.7109375" customWidth="1"/>
    <col min="12" max="12" width="12" bestFit="1" customWidth="1"/>
    <col min="15" max="15" width="11.7109375" customWidth="1"/>
  </cols>
  <sheetData>
    <row r="1" spans="1:15" x14ac:dyDescent="0.2">
      <c r="A1" s="4" t="s">
        <v>64</v>
      </c>
      <c r="B1" s="5"/>
      <c r="C1" s="5"/>
      <c r="D1" s="5"/>
      <c r="E1" s="5"/>
      <c r="F1" s="5"/>
      <c r="G1" s="5"/>
      <c r="I1" s="6"/>
      <c r="J1" s="6"/>
      <c r="K1" s="6"/>
      <c r="L1" s="6"/>
      <c r="M1" s="5"/>
      <c r="N1" s="5"/>
      <c r="O1" s="5"/>
    </row>
    <row r="2" spans="1:15" x14ac:dyDescent="0.2">
      <c r="A2" s="4" t="s">
        <v>61</v>
      </c>
      <c r="B2" s="5"/>
      <c r="C2" s="5"/>
      <c r="D2" s="5"/>
      <c r="E2" s="5"/>
      <c r="F2" s="5"/>
      <c r="G2" s="5"/>
      <c r="I2" s="6"/>
      <c r="J2" s="6"/>
      <c r="K2" s="6"/>
      <c r="L2" s="6"/>
      <c r="M2" s="5"/>
      <c r="N2" s="5"/>
      <c r="O2" s="5"/>
    </row>
    <row r="3" spans="1:15" x14ac:dyDescent="0.2">
      <c r="A3" s="4" t="s">
        <v>60</v>
      </c>
      <c r="B3" s="5"/>
      <c r="C3" s="5"/>
      <c r="D3" s="5"/>
      <c r="E3" s="7" t="s">
        <v>0</v>
      </c>
      <c r="F3" s="7" t="s">
        <v>1</v>
      </c>
      <c r="G3" s="7" t="s">
        <v>2</v>
      </c>
      <c r="H3" s="7" t="s">
        <v>3</v>
      </c>
      <c r="I3" s="7" t="s">
        <v>58</v>
      </c>
      <c r="J3" s="7" t="s">
        <v>4</v>
      </c>
      <c r="K3" s="7" t="s">
        <v>5</v>
      </c>
      <c r="L3" s="7" t="s">
        <v>6</v>
      </c>
      <c r="M3" s="5"/>
      <c r="N3" s="7" t="s">
        <v>7</v>
      </c>
      <c r="O3" s="7" t="s">
        <v>8</v>
      </c>
    </row>
    <row r="4" spans="1:15" x14ac:dyDescent="0.2">
      <c r="A4" s="5"/>
      <c r="B4" s="5"/>
      <c r="C4" s="5"/>
      <c r="D4" s="5"/>
      <c r="E4" s="5"/>
      <c r="F4" s="5"/>
      <c r="G4" s="5"/>
      <c r="H4" s="5"/>
      <c r="I4" s="5"/>
      <c r="J4" s="7" t="s">
        <v>52</v>
      </c>
      <c r="K4" s="7" t="s">
        <v>9</v>
      </c>
      <c r="L4" s="7" t="s">
        <v>10</v>
      </c>
      <c r="M4" s="7"/>
      <c r="N4" s="7" t="s">
        <v>59</v>
      </c>
      <c r="O4" s="7" t="s">
        <v>11</v>
      </c>
    </row>
    <row r="5" spans="1:15" x14ac:dyDescent="0.2">
      <c r="A5" s="5"/>
      <c r="B5" s="5"/>
      <c r="C5" s="5"/>
      <c r="D5" s="5"/>
      <c r="E5" s="7" t="s">
        <v>12</v>
      </c>
      <c r="F5" s="7" t="s">
        <v>12</v>
      </c>
      <c r="G5" s="7"/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/>
      <c r="N5" s="7" t="s">
        <v>18</v>
      </c>
      <c r="O5" s="7" t="s">
        <v>18</v>
      </c>
    </row>
    <row r="6" spans="1:15" x14ac:dyDescent="0.2">
      <c r="A6" s="5"/>
      <c r="B6" s="5"/>
      <c r="C6" s="5"/>
      <c r="D6" s="5"/>
      <c r="E6" s="7" t="s">
        <v>19</v>
      </c>
      <c r="F6" s="7" t="s">
        <v>20</v>
      </c>
      <c r="G6" s="7" t="s">
        <v>21</v>
      </c>
      <c r="H6" s="7" t="s">
        <v>22</v>
      </c>
      <c r="I6" s="7" t="s">
        <v>23</v>
      </c>
      <c r="J6" s="7" t="s">
        <v>24</v>
      </c>
      <c r="K6" s="7" t="s">
        <v>25</v>
      </c>
      <c r="L6" s="7" t="s">
        <v>26</v>
      </c>
      <c r="M6" s="7"/>
      <c r="N6" s="7" t="s">
        <v>27</v>
      </c>
      <c r="O6" s="7" t="s">
        <v>27</v>
      </c>
    </row>
    <row r="7" spans="1:15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">
      <c r="A8" s="4" t="s">
        <v>28</v>
      </c>
      <c r="B8" s="5"/>
      <c r="D8" s="1" t="s">
        <v>65</v>
      </c>
      <c r="E8" s="42"/>
      <c r="F8" s="46">
        <v>204.1</v>
      </c>
      <c r="G8" s="3">
        <v>761</v>
      </c>
      <c r="H8" s="8">
        <f>I8^2</f>
        <v>13409.64</v>
      </c>
      <c r="I8" s="42">
        <v>115.8</v>
      </c>
      <c r="J8" s="10">
        <f>G8*I8</f>
        <v>88123.8</v>
      </c>
      <c r="K8" s="8">
        <f>J8/$J$15</f>
        <v>0.26074506197606173</v>
      </c>
      <c r="L8" s="5">
        <f>ROUND(+K8*$L$15,0)</f>
        <v>9</v>
      </c>
      <c r="M8" s="5"/>
      <c r="N8" s="10">
        <f>IF(L8&lt;10,10,L8)</f>
        <v>10</v>
      </c>
      <c r="O8" s="5">
        <v>10</v>
      </c>
    </row>
    <row r="9" spans="1:15" x14ac:dyDescent="0.2">
      <c r="A9" s="4" t="s">
        <v>29</v>
      </c>
      <c r="B9" s="5"/>
      <c r="D9" s="1" t="s">
        <v>66</v>
      </c>
      <c r="E9" s="42"/>
      <c r="F9" s="46">
        <v>594.29999999999995</v>
      </c>
      <c r="G9" s="3">
        <v>527</v>
      </c>
      <c r="H9" s="8">
        <f>I9^2</f>
        <v>20107.240000000002</v>
      </c>
      <c r="I9" s="42">
        <v>141.80000000000001</v>
      </c>
      <c r="J9" s="10">
        <f>G9*I9</f>
        <v>74728.600000000006</v>
      </c>
      <c r="K9" s="8">
        <f>J9/$J$15</f>
        <v>0.22111068109164977</v>
      </c>
      <c r="L9" s="5">
        <f>ROUND(+K9*$L$15,0)</f>
        <v>7</v>
      </c>
      <c r="M9" s="5"/>
      <c r="N9" s="10">
        <f>IF(L9&lt;10,10,L9)</f>
        <v>10</v>
      </c>
      <c r="O9" s="5">
        <v>10</v>
      </c>
    </row>
    <row r="10" spans="1:15" x14ac:dyDescent="0.2">
      <c r="A10" s="4" t="s">
        <v>30</v>
      </c>
      <c r="B10" s="5"/>
      <c r="D10" s="1" t="s">
        <v>67</v>
      </c>
      <c r="E10" s="42"/>
      <c r="F10" s="46">
        <v>1229.5</v>
      </c>
      <c r="G10" s="3">
        <v>236</v>
      </c>
      <c r="H10" s="8">
        <f>I10^2</f>
        <v>71022.25</v>
      </c>
      <c r="I10" s="42">
        <v>266.5</v>
      </c>
      <c r="J10" s="10">
        <f>G10*I10</f>
        <v>62894</v>
      </c>
      <c r="K10" s="8">
        <f>J10/$J$15</f>
        <v>0.18609388074416247</v>
      </c>
      <c r="L10" s="5">
        <f>ROUND(+K10*$L$15,0)</f>
        <v>6</v>
      </c>
      <c r="M10" s="5"/>
      <c r="N10" s="10">
        <f>IF(L10&lt;10,10,L10)</f>
        <v>10</v>
      </c>
      <c r="O10" s="5">
        <v>10</v>
      </c>
    </row>
    <row r="11" spans="1:15" x14ac:dyDescent="0.2">
      <c r="A11" s="4" t="s">
        <v>31</v>
      </c>
      <c r="B11" s="5"/>
      <c r="D11" s="1" t="s">
        <v>63</v>
      </c>
      <c r="E11" s="42"/>
      <c r="F11" s="46">
        <v>3317.1</v>
      </c>
      <c r="G11" s="3">
        <v>54</v>
      </c>
      <c r="H11" s="8">
        <f>I11^2</f>
        <v>4318915.2399999993</v>
      </c>
      <c r="I11" s="42">
        <v>2078.1999999999998</v>
      </c>
      <c r="J11" s="10">
        <f>G11*I11</f>
        <v>112222.79999999999</v>
      </c>
      <c r="K11" s="8">
        <f>J11/$J$15</f>
        <v>0.332050376188126</v>
      </c>
      <c r="L11" s="5">
        <f>ROUND(+K11*$L$15,0)</f>
        <v>11</v>
      </c>
      <c r="M11" s="5"/>
      <c r="N11" s="10">
        <f>IF(L11&lt;8,10,L11)</f>
        <v>11</v>
      </c>
      <c r="O11" s="5">
        <v>12</v>
      </c>
    </row>
    <row r="12" spans="1:15" x14ac:dyDescent="0.2">
      <c r="A12" s="28"/>
      <c r="B12" s="11"/>
      <c r="C12" s="12"/>
      <c r="D12" s="1"/>
      <c r="E12" s="42"/>
      <c r="F12" s="44"/>
      <c r="G12" s="3"/>
      <c r="H12" s="8"/>
      <c r="I12" s="2"/>
      <c r="J12" s="10"/>
      <c r="K12" s="8"/>
      <c r="L12" s="5"/>
      <c r="M12" s="5"/>
      <c r="N12" s="10"/>
      <c r="O12" s="5"/>
    </row>
    <row r="13" spans="1:15" x14ac:dyDescent="0.2">
      <c r="A13" s="5"/>
      <c r="B13" s="11"/>
      <c r="C13" s="12"/>
      <c r="D13" s="5"/>
      <c r="E13" s="43"/>
      <c r="F13" s="45"/>
      <c r="G13" s="9"/>
      <c r="H13" s="5"/>
      <c r="I13" s="8"/>
      <c r="J13" s="10"/>
      <c r="K13" s="8"/>
      <c r="L13" s="5"/>
      <c r="M13" s="5"/>
      <c r="N13" s="10"/>
      <c r="O13" s="5"/>
    </row>
    <row r="14" spans="1:15" x14ac:dyDescent="0.2">
      <c r="A14" s="5"/>
      <c r="B14" s="5"/>
      <c r="C14" s="5"/>
      <c r="D14" s="5"/>
      <c r="E14" s="43"/>
      <c r="F14" s="45"/>
      <c r="G14" s="9"/>
      <c r="H14" s="5"/>
      <c r="I14" s="5"/>
      <c r="J14" s="5"/>
      <c r="K14" s="5"/>
      <c r="L14" s="5"/>
      <c r="M14" s="5"/>
      <c r="N14" s="5"/>
      <c r="O14" s="5"/>
    </row>
    <row r="15" spans="1:15" x14ac:dyDescent="0.2">
      <c r="A15" s="5"/>
      <c r="B15" s="4" t="s">
        <v>32</v>
      </c>
      <c r="C15" s="5"/>
      <c r="D15" s="5"/>
      <c r="E15" s="43">
        <f>((E8*G8)+(E9*G9)+(E10*G10)+(E11*G11)+(E12*G12)+(E13*G13))/$G$15</f>
        <v>0</v>
      </c>
      <c r="F15" s="45">
        <f>((F8*G8)+(F9*G9)+(F10*G10)+(F11*G11)+(F12*G12)+(F13*G13))/$G$15</f>
        <v>594.2975918884664</v>
      </c>
      <c r="G15" s="9">
        <f>SUM(G8:G13)</f>
        <v>1578</v>
      </c>
      <c r="H15" s="5"/>
      <c r="I15" s="10"/>
      <c r="J15" s="10">
        <f>SUM(J8:J13)</f>
        <v>337969.2</v>
      </c>
      <c r="K15" s="8">
        <f>SUM(K8:K13)</f>
        <v>1</v>
      </c>
      <c r="L15" s="10">
        <f>N19</f>
        <v>32.942074885232714</v>
      </c>
      <c r="M15" s="5"/>
      <c r="N15" s="10">
        <f>SUM(N8:N13)</f>
        <v>41</v>
      </c>
      <c r="O15" s="24">
        <f>SUM(O8:O13)</f>
        <v>42</v>
      </c>
    </row>
    <row r="16" spans="1:15" ht="13.5" thickBot="1" x14ac:dyDescent="0.25">
      <c r="A16" s="5"/>
      <c r="B16" s="5"/>
      <c r="C16" s="5"/>
      <c r="D16" s="5"/>
      <c r="E16" s="5"/>
      <c r="F16" s="5"/>
      <c r="G16" s="5"/>
      <c r="H16" s="5"/>
      <c r="I16" s="10"/>
      <c r="J16" s="8"/>
      <c r="K16" s="5"/>
      <c r="L16" s="5"/>
      <c r="M16" s="5"/>
      <c r="N16" s="5"/>
      <c r="O16" s="5"/>
    </row>
    <row r="17" spans="1:15" x14ac:dyDescent="0.2">
      <c r="A17" s="5"/>
      <c r="B17" s="5"/>
      <c r="C17" s="5"/>
      <c r="D17" s="5"/>
      <c r="E17" s="5"/>
      <c r="F17" s="5"/>
      <c r="G17" s="5"/>
      <c r="H17" s="5"/>
      <c r="I17" s="10"/>
      <c r="J17" s="8"/>
      <c r="K17" s="5"/>
      <c r="L17" s="5"/>
      <c r="M17" s="5"/>
      <c r="N17" s="23" t="s">
        <v>12</v>
      </c>
      <c r="O17" s="25" t="s">
        <v>57</v>
      </c>
    </row>
    <row r="18" spans="1:15" ht="13.5" thickBot="1" x14ac:dyDescent="0.25">
      <c r="A18" s="5"/>
      <c r="B18" s="5"/>
      <c r="C18" s="5"/>
      <c r="D18" s="5"/>
      <c r="E18" s="5"/>
      <c r="F18" s="5"/>
      <c r="G18" s="5"/>
      <c r="H18" s="5"/>
      <c r="I18" s="10"/>
      <c r="J18" s="8"/>
      <c r="K18" s="5"/>
      <c r="L18" s="5"/>
      <c r="M18" s="5"/>
      <c r="N18" s="23" t="s">
        <v>56</v>
      </c>
      <c r="O18" s="27" t="s">
        <v>56</v>
      </c>
    </row>
    <row r="19" spans="1:15" ht="13.5" thickBot="1" x14ac:dyDescent="0.25">
      <c r="A19" s="5"/>
      <c r="B19" s="5"/>
      <c r="C19" s="5"/>
      <c r="D19" s="5"/>
      <c r="E19" s="5"/>
      <c r="F19" s="4" t="s">
        <v>33</v>
      </c>
      <c r="G19" s="5"/>
      <c r="H19" s="5"/>
      <c r="I19" s="5"/>
      <c r="J19" s="5"/>
      <c r="K19" s="5"/>
      <c r="L19" s="5"/>
      <c r="M19" s="5"/>
      <c r="N19" s="10">
        <f>N29^2/(O31+(1/G15)*O29)+0.5</f>
        <v>32.942074885232714</v>
      </c>
      <c r="O19" s="26">
        <f>O15</f>
        <v>42</v>
      </c>
    </row>
    <row r="20" spans="1:15" x14ac:dyDescent="0.2">
      <c r="A20" s="5"/>
      <c r="B20" s="5"/>
      <c r="C20" s="5"/>
      <c r="D20" s="5"/>
      <c r="E20" s="5"/>
      <c r="F20" s="5"/>
      <c r="G20" s="5"/>
      <c r="H20" s="5"/>
      <c r="I20" s="10"/>
      <c r="J20" s="8"/>
      <c r="K20" s="5"/>
      <c r="L20" s="5"/>
      <c r="M20" s="5"/>
      <c r="N20" s="10"/>
      <c r="O20" s="5"/>
    </row>
    <row r="21" spans="1:15" x14ac:dyDescent="0.2">
      <c r="A21" s="5"/>
      <c r="B21" s="5"/>
      <c r="C21" s="5"/>
      <c r="D21" s="5"/>
      <c r="E21" s="5"/>
      <c r="F21" s="5"/>
      <c r="G21" s="5"/>
      <c r="H21" s="7" t="s">
        <v>34</v>
      </c>
      <c r="I21" s="5"/>
      <c r="J21" s="7" t="s">
        <v>34</v>
      </c>
      <c r="K21" s="7" t="s">
        <v>34</v>
      </c>
      <c r="L21" s="7" t="s">
        <v>35</v>
      </c>
      <c r="M21" s="7"/>
      <c r="N21" s="19" t="s">
        <v>55</v>
      </c>
      <c r="O21" s="19" t="s">
        <v>55</v>
      </c>
    </row>
    <row r="22" spans="1:15" x14ac:dyDescent="0.2">
      <c r="A22" s="5"/>
      <c r="B22" s="5"/>
      <c r="C22" s="5"/>
      <c r="D22" s="5"/>
      <c r="E22" s="5"/>
      <c r="F22" s="5"/>
      <c r="G22" s="5"/>
      <c r="H22" s="7" t="s">
        <v>36</v>
      </c>
      <c r="I22" s="5"/>
      <c r="J22" s="4" t="s">
        <v>37</v>
      </c>
      <c r="K22" s="5" t="s">
        <v>62</v>
      </c>
      <c r="L22" s="7" t="s">
        <v>38</v>
      </c>
      <c r="M22" s="7"/>
      <c r="N22" s="19" t="s">
        <v>53</v>
      </c>
      <c r="O22" s="19" t="s">
        <v>13</v>
      </c>
    </row>
    <row r="23" spans="1:1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0"/>
      <c r="O23" s="20"/>
    </row>
    <row r="24" spans="1:15" x14ac:dyDescent="0.2">
      <c r="A24" s="5"/>
      <c r="B24" s="5"/>
      <c r="C24" s="13"/>
      <c r="D24" s="5"/>
      <c r="E24" s="5"/>
      <c r="F24" s="4" t="s">
        <v>13</v>
      </c>
      <c r="G24" s="4" t="s">
        <v>39</v>
      </c>
      <c r="H24" s="9">
        <f>(G8^2)*(H8/(L8-1))*(1-L8/G8)</f>
        <v>959245187.75999987</v>
      </c>
      <c r="I24" s="8"/>
      <c r="J24" s="9">
        <f t="shared" ref="J24:K27" si="0">($G8^2)*($H8/(N8-1))*(1-N8/$G8)</f>
        <v>851528529.55999994</v>
      </c>
      <c r="K24" s="9">
        <f t="shared" si="0"/>
        <v>851528529.55999994</v>
      </c>
      <c r="L24" s="14">
        <f>((G8/G$15)^2)*(H8/(N8-1))*(1-N8/G8)</f>
        <v>341.96779287767004</v>
      </c>
      <c r="M24" s="5"/>
      <c r="N24" s="20">
        <f>I8*(G8/G$15)</f>
        <v>55.845247148288969</v>
      </c>
      <c r="O24" s="20">
        <f>H8*(G8/G$15)</f>
        <v>6466.879619771863</v>
      </c>
    </row>
    <row r="25" spans="1:15" x14ac:dyDescent="0.2">
      <c r="A25" s="5"/>
      <c r="B25" s="5"/>
      <c r="C25" s="13"/>
      <c r="D25" s="5"/>
      <c r="E25" s="5"/>
      <c r="F25" s="4" t="s">
        <v>40</v>
      </c>
      <c r="G25" s="4" t="s">
        <v>41</v>
      </c>
      <c r="H25" s="9">
        <f>(G9^2)*(H9/(L9-1))*(1-L9/G9)</f>
        <v>918364674.9333334</v>
      </c>
      <c r="I25" s="5"/>
      <c r="J25" s="9">
        <f t="shared" si="0"/>
        <v>608710944.79555559</v>
      </c>
      <c r="K25" s="9">
        <f t="shared" si="0"/>
        <v>608710944.79555559</v>
      </c>
      <c r="L25" s="14">
        <f>((G9/G$15)^2)*(H9/(N9-1))*(1-N9/G9)</f>
        <v>244.45398018522894</v>
      </c>
      <c r="M25" s="5"/>
      <c r="N25" s="20">
        <f>I9*(G9/G$15)</f>
        <v>47.356527249683147</v>
      </c>
      <c r="O25" s="20">
        <f>H9*(G9/G$15)</f>
        <v>6715.1555640050701</v>
      </c>
    </row>
    <row r="26" spans="1:15" x14ac:dyDescent="0.2">
      <c r="A26" s="5"/>
      <c r="B26" s="5"/>
      <c r="C26" s="13"/>
      <c r="D26" s="5"/>
      <c r="E26" s="5"/>
      <c r="F26" s="4" t="s">
        <v>42</v>
      </c>
      <c r="G26" s="4" t="s">
        <v>43</v>
      </c>
      <c r="H26" s="9">
        <f>(G10^2)*(H10/(L10-1))*(1-L10/G10)</f>
        <v>771017546</v>
      </c>
      <c r="I26" s="5"/>
      <c r="J26" s="9">
        <f t="shared" si="0"/>
        <v>420893636.22222227</v>
      </c>
      <c r="K26" s="9">
        <f t="shared" si="0"/>
        <v>420893636.22222227</v>
      </c>
      <c r="L26" s="14">
        <f>((G10/G$15)^2)*(H10/(N10-1))*(1-N10/G10)</f>
        <v>169.02788669869062</v>
      </c>
      <c r="M26" s="5"/>
      <c r="N26" s="20">
        <f>I10*(G10/G$15)</f>
        <v>39.856780735107733</v>
      </c>
      <c r="O26" s="20">
        <f>H10*(G10/G$15)</f>
        <v>10621.832065906212</v>
      </c>
    </row>
    <row r="27" spans="1:15" x14ac:dyDescent="0.2">
      <c r="A27" s="5"/>
      <c r="B27" s="5"/>
      <c r="C27" s="13"/>
      <c r="D27" s="5"/>
      <c r="E27" s="5"/>
      <c r="F27" s="5"/>
      <c r="G27" s="4" t="s">
        <v>44</v>
      </c>
      <c r="H27" s="9">
        <f>(G11^2)*(H11/(L11-1))*(1-L11/G11)</f>
        <v>1002852118.7279998</v>
      </c>
      <c r="I27" s="5"/>
      <c r="J27" s="9">
        <f t="shared" si="0"/>
        <v>1002852118.7279998</v>
      </c>
      <c r="K27" s="9">
        <f t="shared" si="0"/>
        <v>890481796.75636363</v>
      </c>
      <c r="L27" s="14">
        <f>((G11/G$15)^2)*(H11/(N11-1))*(1-N11/G11)</f>
        <v>402.73826855961477</v>
      </c>
      <c r="M27" s="5"/>
      <c r="N27" s="20">
        <f>I11*(G11/G$15)</f>
        <v>71.117110266159699</v>
      </c>
      <c r="O27" s="20">
        <f>H11*(G11/G$15)</f>
        <v>147795.57855513305</v>
      </c>
    </row>
    <row r="28" spans="1:15" x14ac:dyDescent="0.2">
      <c r="A28" s="5"/>
      <c r="B28" s="29"/>
      <c r="C28" s="29"/>
      <c r="D28" s="29"/>
      <c r="E28" s="29"/>
      <c r="F28" s="29"/>
      <c r="G28" s="30"/>
      <c r="H28" s="9"/>
      <c r="I28" s="5"/>
      <c r="J28" s="9"/>
      <c r="K28" s="5"/>
      <c r="L28" s="14"/>
      <c r="M28" s="5"/>
      <c r="N28" s="20"/>
      <c r="O28" s="20"/>
    </row>
    <row r="29" spans="1:15" x14ac:dyDescent="0.2">
      <c r="A29" s="29"/>
      <c r="B29" s="29"/>
      <c r="C29" s="29"/>
      <c r="D29" s="29"/>
      <c r="E29" s="29"/>
      <c r="F29" s="4" t="s">
        <v>45</v>
      </c>
      <c r="G29" s="29"/>
      <c r="H29" s="31">
        <f>SUM(H24:H28)</f>
        <v>3651479527.4213328</v>
      </c>
      <c r="I29" s="29"/>
      <c r="J29" s="31">
        <f>SUM(J24:J28)</f>
        <v>2883985229.3057775</v>
      </c>
      <c r="K29" s="31">
        <f>SUM(K24:K28)</f>
        <v>2771614907.3341417</v>
      </c>
      <c r="L29" s="32">
        <f>SUM(L24:L28)</f>
        <v>1158.1879283212043</v>
      </c>
      <c r="M29" s="5"/>
      <c r="N29" s="20">
        <f>SUM(N24:N27)</f>
        <v>214.17566539923953</v>
      </c>
      <c r="O29" s="20">
        <f>SUM(O24:O27)</f>
        <v>171599.44580481621</v>
      </c>
    </row>
    <row r="30" spans="1:15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1"/>
      <c r="O30" s="21"/>
    </row>
    <row r="31" spans="1:15" x14ac:dyDescent="0.2">
      <c r="A31" s="29"/>
      <c r="B31" s="29"/>
      <c r="C31" s="29"/>
      <c r="D31" s="29"/>
      <c r="E31" s="29"/>
      <c r="F31" s="29" t="s">
        <v>46</v>
      </c>
      <c r="G31" s="29"/>
      <c r="H31" s="29">
        <f>SQRT(H29)</f>
        <v>60427.473283443956</v>
      </c>
      <c r="I31" s="29"/>
      <c r="J31" s="29">
        <f>SQRT(J29)</f>
        <v>53702.748805864467</v>
      </c>
      <c r="K31" s="29">
        <f>SQRT(K29)</f>
        <v>52646.129082147549</v>
      </c>
      <c r="L31" s="29">
        <f>SQRT(L29)</f>
        <v>34.032160206504734</v>
      </c>
      <c r="M31" s="29"/>
      <c r="N31" s="22" t="s">
        <v>54</v>
      </c>
      <c r="O31" s="21">
        <f>(0.1*(F15/1.645))^2</f>
        <v>1305.1972089113376</v>
      </c>
    </row>
    <row r="32" spans="1:15" ht="13.5" thickBot="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x14ac:dyDescent="0.2">
      <c r="A33" s="29"/>
      <c r="B33" s="29"/>
      <c r="C33" s="29"/>
      <c r="D33" s="29"/>
      <c r="E33" s="29"/>
      <c r="F33" s="33" t="s">
        <v>47</v>
      </c>
      <c r="G33" s="34"/>
      <c r="H33" s="15">
        <v>0.9</v>
      </c>
      <c r="I33" s="15"/>
      <c r="J33" s="15">
        <v>0.9</v>
      </c>
      <c r="K33" s="15">
        <v>0.9</v>
      </c>
      <c r="L33" s="16">
        <v>0.9</v>
      </c>
      <c r="M33" s="29"/>
      <c r="N33" s="29"/>
      <c r="O33" s="29"/>
    </row>
    <row r="34" spans="1:15" ht="13.5" thickBot="1" x14ac:dyDescent="0.25">
      <c r="A34" s="29"/>
      <c r="B34" s="29"/>
      <c r="C34" s="29"/>
      <c r="D34" s="29"/>
      <c r="E34" s="29"/>
      <c r="F34" s="35" t="s">
        <v>48</v>
      </c>
      <c r="G34" s="36"/>
      <c r="H34" s="17">
        <v>1.645</v>
      </c>
      <c r="I34" s="17"/>
      <c r="J34" s="17">
        <v>1.645</v>
      </c>
      <c r="K34" s="17">
        <v>1.645</v>
      </c>
      <c r="L34" s="18">
        <v>1.645</v>
      </c>
      <c r="M34" s="29"/>
      <c r="N34" s="29"/>
      <c r="O34" s="29"/>
    </row>
    <row r="35" spans="1:15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x14ac:dyDescent="0.2">
      <c r="A36" s="29"/>
      <c r="B36" s="29"/>
      <c r="C36" s="29"/>
      <c r="D36" s="29"/>
      <c r="E36" s="29"/>
      <c r="F36" s="29" t="s">
        <v>49</v>
      </c>
      <c r="G36" s="29"/>
      <c r="H36" s="29">
        <f>H31*H34</f>
        <v>99403.193551265314</v>
      </c>
      <c r="I36" s="29"/>
      <c r="J36" s="29">
        <f>J31*J34</f>
        <v>88341.021785647055</v>
      </c>
      <c r="K36" s="29">
        <f>K31*K34</f>
        <v>86602.882340132724</v>
      </c>
      <c r="L36" s="29">
        <f>L31*L34</f>
        <v>55.982903539700288</v>
      </c>
      <c r="M36" s="29"/>
      <c r="N36" s="29"/>
      <c r="O36" s="29"/>
    </row>
    <row r="37" spans="1:15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x14ac:dyDescent="0.2">
      <c r="A38" s="29"/>
      <c r="B38" s="29"/>
      <c r="C38" s="29"/>
      <c r="D38" s="29"/>
      <c r="E38" s="29"/>
      <c r="F38" s="29" t="s">
        <v>50</v>
      </c>
      <c r="G38" s="29"/>
      <c r="H38" s="29">
        <f>$G15*$E15</f>
        <v>0</v>
      </c>
      <c r="I38" s="29"/>
      <c r="J38" s="29">
        <f>$G15*$E15</f>
        <v>0</v>
      </c>
      <c r="K38" s="29">
        <f>$G15*$E15</f>
        <v>0</v>
      </c>
      <c r="L38" s="37">
        <f>E15</f>
        <v>0</v>
      </c>
      <c r="M38" s="29"/>
      <c r="N38" s="29"/>
      <c r="O38" s="29"/>
    </row>
    <row r="39" spans="1:15" ht="13.5" thickBot="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ht="13.5" thickBot="1" x14ac:dyDescent="0.25">
      <c r="A40" s="29"/>
      <c r="B40" s="29"/>
      <c r="C40" s="29"/>
      <c r="D40" s="29"/>
      <c r="E40" s="29"/>
      <c r="F40" s="38" t="s">
        <v>51</v>
      </c>
      <c r="G40" s="39"/>
      <c r="H40" s="40" t="e">
        <f>H36/H38</f>
        <v>#DIV/0!</v>
      </c>
      <c r="I40" s="40"/>
      <c r="J40" s="40" t="e">
        <f>J36/J38</f>
        <v>#DIV/0!</v>
      </c>
      <c r="K40" s="40" t="e">
        <f>K36/K38</f>
        <v>#DIV/0!</v>
      </c>
      <c r="L40" s="41" t="e">
        <f>L36/L38</f>
        <v>#DIV/0!</v>
      </c>
      <c r="M40" s="29"/>
      <c r="N40" s="29"/>
      <c r="O40" s="29"/>
    </row>
    <row r="42" spans="1:15" x14ac:dyDescent="0.2">
      <c r="H42" t="s">
        <v>68</v>
      </c>
    </row>
  </sheetData>
  <phoneticPr fontId="0" type="noConversion"/>
  <pageMargins left="0.75" right="0.75" top="1" bottom="1" header="0.5" footer="0.5"/>
  <pageSetup scale="80" orientation="landscape" r:id="rId1"/>
  <headerFooter alignWithMargins="0">
    <oddFooter>&amp;CTable C.2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40"/>
  <sheetViews>
    <sheetView zoomScaleNormal="100" workbookViewId="0">
      <selection activeCell="A3" sqref="A3"/>
    </sheetView>
  </sheetViews>
  <sheetFormatPr defaultRowHeight="12.75" x14ac:dyDescent="0.2"/>
  <cols>
    <col min="6" max="6" width="10.85546875" customWidth="1"/>
    <col min="8" max="8" width="15.140625" customWidth="1"/>
    <col min="10" max="10" width="13.85546875" customWidth="1"/>
    <col min="11" max="11" width="13.42578125" customWidth="1"/>
    <col min="12" max="12" width="13.140625" customWidth="1"/>
    <col min="15" max="15" width="11.7109375" customWidth="1"/>
  </cols>
  <sheetData>
    <row r="1" spans="1:15" x14ac:dyDescent="0.2">
      <c r="A1" s="4" t="s">
        <v>64</v>
      </c>
      <c r="B1" s="5"/>
      <c r="C1" s="5"/>
      <c r="D1" s="5"/>
      <c r="E1" s="5"/>
      <c r="F1" s="5"/>
      <c r="G1" s="5"/>
      <c r="I1" s="6"/>
      <c r="J1" s="6"/>
      <c r="K1" s="6"/>
      <c r="L1" s="6"/>
      <c r="M1" s="5"/>
      <c r="N1" s="5"/>
      <c r="O1" s="5"/>
    </row>
    <row r="2" spans="1:15" x14ac:dyDescent="0.2">
      <c r="A2" s="4" t="s">
        <v>61</v>
      </c>
      <c r="B2" s="5"/>
      <c r="C2" s="5"/>
      <c r="D2" s="5"/>
      <c r="E2" s="5"/>
      <c r="F2" s="5"/>
      <c r="G2" s="5"/>
      <c r="I2" s="6"/>
      <c r="J2" s="6"/>
      <c r="K2" s="6"/>
      <c r="L2" s="6"/>
      <c r="M2" s="5"/>
      <c r="N2" s="5"/>
      <c r="O2" s="5"/>
    </row>
    <row r="3" spans="1:15" x14ac:dyDescent="0.2">
      <c r="A3" s="4" t="s">
        <v>60</v>
      </c>
      <c r="B3" s="5"/>
      <c r="C3" s="5"/>
      <c r="D3" s="5"/>
      <c r="E3" s="7" t="s">
        <v>0</v>
      </c>
      <c r="F3" s="7" t="s">
        <v>1</v>
      </c>
      <c r="G3" s="7" t="s">
        <v>2</v>
      </c>
      <c r="H3" s="7" t="s">
        <v>3</v>
      </c>
      <c r="I3" s="7" t="s">
        <v>58</v>
      </c>
      <c r="J3" s="7" t="s">
        <v>4</v>
      </c>
      <c r="K3" s="7" t="s">
        <v>5</v>
      </c>
      <c r="L3" s="7" t="s">
        <v>6</v>
      </c>
      <c r="M3" s="5"/>
      <c r="N3" s="7" t="s">
        <v>7</v>
      </c>
      <c r="O3" s="7" t="s">
        <v>8</v>
      </c>
    </row>
    <row r="4" spans="1:15" x14ac:dyDescent="0.2">
      <c r="A4" s="5"/>
      <c r="B4" s="5"/>
      <c r="C4" s="5"/>
      <c r="D4" s="5"/>
      <c r="E4" s="5"/>
      <c r="F4" s="5"/>
      <c r="G4" s="5"/>
      <c r="H4" s="5"/>
      <c r="I4" s="5"/>
      <c r="J4" s="7" t="s">
        <v>52</v>
      </c>
      <c r="K4" s="7" t="s">
        <v>9</v>
      </c>
      <c r="L4" s="7" t="s">
        <v>10</v>
      </c>
      <c r="M4" s="7"/>
      <c r="N4" s="7" t="s">
        <v>59</v>
      </c>
      <c r="O4" s="7" t="s">
        <v>11</v>
      </c>
    </row>
    <row r="5" spans="1:15" x14ac:dyDescent="0.2">
      <c r="A5" s="5"/>
      <c r="B5" s="5"/>
      <c r="C5" s="5"/>
      <c r="D5" s="5"/>
      <c r="E5" s="7" t="s">
        <v>12</v>
      </c>
      <c r="F5" s="7" t="s">
        <v>12</v>
      </c>
      <c r="G5" s="7"/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/>
      <c r="N5" s="7" t="s">
        <v>18</v>
      </c>
      <c r="O5" s="7" t="s">
        <v>18</v>
      </c>
    </row>
    <row r="6" spans="1:15" x14ac:dyDescent="0.2">
      <c r="A6" s="5"/>
      <c r="B6" s="5"/>
      <c r="C6" s="5"/>
      <c r="D6" s="5"/>
      <c r="E6" s="7" t="s">
        <v>19</v>
      </c>
      <c r="F6" s="7" t="s">
        <v>20</v>
      </c>
      <c r="G6" s="7" t="s">
        <v>21</v>
      </c>
      <c r="H6" s="7" t="s">
        <v>22</v>
      </c>
      <c r="I6" s="7" t="s">
        <v>23</v>
      </c>
      <c r="J6" s="7" t="s">
        <v>24</v>
      </c>
      <c r="K6" s="7" t="s">
        <v>25</v>
      </c>
      <c r="L6" s="7" t="s">
        <v>26</v>
      </c>
      <c r="M6" s="7"/>
      <c r="N6" s="7" t="s">
        <v>27</v>
      </c>
      <c r="O6" s="7" t="s">
        <v>27</v>
      </c>
    </row>
    <row r="7" spans="1:15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">
      <c r="A8" s="4" t="s">
        <v>28</v>
      </c>
      <c r="B8" s="5"/>
      <c r="D8" s="1" t="s">
        <v>65</v>
      </c>
      <c r="E8" s="42"/>
      <c r="F8" s="46">
        <v>204.1</v>
      </c>
      <c r="G8" s="3">
        <v>761</v>
      </c>
      <c r="H8" s="8">
        <f>I8^2</f>
        <v>13409.64</v>
      </c>
      <c r="I8" s="42">
        <v>115.8</v>
      </c>
      <c r="J8" s="10">
        <f>G8*I8</f>
        <v>88123.8</v>
      </c>
      <c r="K8" s="8">
        <f>J8/$J$15</f>
        <v>0.26074506197606173</v>
      </c>
      <c r="L8" s="5">
        <f>ROUND(+K8*$L$15,0)</f>
        <v>12</v>
      </c>
      <c r="M8" s="5"/>
      <c r="N8" s="10">
        <f>IF(L8&lt;10,10,L8)</f>
        <v>12</v>
      </c>
      <c r="O8" s="5">
        <v>15</v>
      </c>
    </row>
    <row r="9" spans="1:15" x14ac:dyDescent="0.2">
      <c r="A9" s="4" t="s">
        <v>29</v>
      </c>
      <c r="B9" s="5"/>
      <c r="D9" s="1" t="s">
        <v>66</v>
      </c>
      <c r="E9" s="42"/>
      <c r="F9" s="46">
        <v>594.29999999999995</v>
      </c>
      <c r="G9" s="3">
        <v>527</v>
      </c>
      <c r="H9" s="8">
        <f>I9^2</f>
        <v>20107.240000000002</v>
      </c>
      <c r="I9" s="42">
        <v>141.80000000000001</v>
      </c>
      <c r="J9" s="10">
        <f>G9*I9</f>
        <v>74728.600000000006</v>
      </c>
      <c r="K9" s="8">
        <f>J9/$J$15</f>
        <v>0.22111068109164977</v>
      </c>
      <c r="L9" s="5">
        <f>ROUND(+K9*$L$15,0)</f>
        <v>10</v>
      </c>
      <c r="M9" s="5"/>
      <c r="N9" s="10">
        <f>IF(L9&lt;10,10,L9)</f>
        <v>10</v>
      </c>
      <c r="O9" s="5">
        <v>14</v>
      </c>
    </row>
    <row r="10" spans="1:15" x14ac:dyDescent="0.2">
      <c r="A10" s="4" t="s">
        <v>30</v>
      </c>
      <c r="B10" s="5"/>
      <c r="D10" s="1" t="s">
        <v>67</v>
      </c>
      <c r="E10" s="42"/>
      <c r="F10" s="46">
        <v>1229.5</v>
      </c>
      <c r="G10" s="3">
        <v>236</v>
      </c>
      <c r="H10" s="8">
        <f>I10^2</f>
        <v>71022.25</v>
      </c>
      <c r="I10" s="42">
        <v>266.5</v>
      </c>
      <c r="J10" s="10">
        <f>G10*I10</f>
        <v>62894</v>
      </c>
      <c r="K10" s="8">
        <f>J10/$J$15</f>
        <v>0.18609388074416247</v>
      </c>
      <c r="L10" s="5">
        <f>ROUND(+K10*$L$15,0)</f>
        <v>8</v>
      </c>
      <c r="M10" s="5"/>
      <c r="N10" s="10">
        <f>IF(L10&lt;10,10,L10)</f>
        <v>10</v>
      </c>
      <c r="O10" s="5">
        <v>12</v>
      </c>
    </row>
    <row r="11" spans="1:15" x14ac:dyDescent="0.2">
      <c r="A11" s="4" t="s">
        <v>31</v>
      </c>
      <c r="B11" s="5"/>
      <c r="D11" s="1" t="s">
        <v>63</v>
      </c>
      <c r="E11" s="42"/>
      <c r="F11" s="46">
        <v>3317.1</v>
      </c>
      <c r="G11" s="3">
        <v>54</v>
      </c>
      <c r="H11" s="8">
        <f>I11^2</f>
        <v>4318915.2399999993</v>
      </c>
      <c r="I11" s="42">
        <v>2078.1999999999998</v>
      </c>
      <c r="J11" s="10">
        <f>G11*I11</f>
        <v>112222.79999999999</v>
      </c>
      <c r="K11" s="8">
        <f>J11/$J$15</f>
        <v>0.332050376188126</v>
      </c>
      <c r="L11" s="5">
        <f>ROUND(+K11*$L$15,0)</f>
        <v>15</v>
      </c>
      <c r="M11" s="5"/>
      <c r="N11" s="10">
        <f>IF(L11&lt;8,10,L11)</f>
        <v>15</v>
      </c>
      <c r="O11" s="5">
        <v>21</v>
      </c>
    </row>
    <row r="12" spans="1:15" x14ac:dyDescent="0.2">
      <c r="A12" s="28"/>
      <c r="B12" s="11"/>
      <c r="C12" s="12"/>
      <c r="D12" s="1"/>
      <c r="E12" s="42"/>
      <c r="F12" s="44"/>
      <c r="G12" s="3"/>
      <c r="H12" s="8"/>
      <c r="I12" s="2"/>
      <c r="J12" s="10"/>
      <c r="K12" s="8"/>
      <c r="L12" s="5"/>
      <c r="M12" s="5"/>
      <c r="N12" s="10"/>
      <c r="O12" s="5"/>
    </row>
    <row r="13" spans="1:15" x14ac:dyDescent="0.2">
      <c r="A13" s="5"/>
      <c r="B13" s="11"/>
      <c r="C13" s="12"/>
      <c r="D13" s="5"/>
      <c r="E13" s="43"/>
      <c r="F13" s="45"/>
      <c r="G13" s="9"/>
      <c r="H13" s="5"/>
      <c r="I13" s="8"/>
      <c r="J13" s="10"/>
      <c r="K13" s="8"/>
      <c r="L13" s="5"/>
      <c r="M13" s="5"/>
      <c r="N13" s="10"/>
      <c r="O13" s="5"/>
    </row>
    <row r="14" spans="1:15" x14ac:dyDescent="0.2">
      <c r="A14" s="5"/>
      <c r="B14" s="5"/>
      <c r="C14" s="5"/>
      <c r="D14" s="5"/>
      <c r="E14" s="43"/>
      <c r="F14" s="45"/>
      <c r="G14" s="9"/>
      <c r="H14" s="5"/>
      <c r="I14" s="5"/>
      <c r="J14" s="5"/>
      <c r="K14" s="5"/>
      <c r="L14" s="5"/>
      <c r="M14" s="5"/>
      <c r="N14" s="5"/>
      <c r="O14" s="5"/>
    </row>
    <row r="15" spans="1:15" x14ac:dyDescent="0.2">
      <c r="A15" s="5"/>
      <c r="B15" s="4" t="s">
        <v>32</v>
      </c>
      <c r="C15" s="5"/>
      <c r="D15" s="5"/>
      <c r="E15" s="43">
        <f>((E8*G8)+(E9*G9)+(E10*G10)+(E11*G11)+(E12*G12)+(E13*G13))/$G$15</f>
        <v>0</v>
      </c>
      <c r="F15" s="45">
        <f>((F8*G8)+(F9*G9)+(F10*G10)+(F11*G11)+(F12*G12)+(F13*G13))/$G$15</f>
        <v>594.2975918884664</v>
      </c>
      <c r="G15" s="9">
        <f>SUM(G8:G13)</f>
        <v>1578</v>
      </c>
      <c r="H15" s="5"/>
      <c r="I15" s="10"/>
      <c r="J15" s="10">
        <f>SUM(J8:J13)</f>
        <v>337969.2</v>
      </c>
      <c r="K15" s="8">
        <f>SUM(K8:K13)</f>
        <v>1</v>
      </c>
      <c r="L15" s="10">
        <f>N19</f>
        <v>45.116315918292351</v>
      </c>
      <c r="M15" s="5"/>
      <c r="N15" s="10">
        <f>SUM(N8:N13)</f>
        <v>47</v>
      </c>
      <c r="O15" s="24">
        <f>SUM(O8:O13)</f>
        <v>62</v>
      </c>
    </row>
    <row r="16" spans="1:15" ht="13.5" thickBot="1" x14ac:dyDescent="0.25">
      <c r="A16" s="5"/>
      <c r="B16" s="5"/>
      <c r="C16" s="5"/>
      <c r="D16" s="5"/>
      <c r="E16" s="5"/>
      <c r="F16" s="5"/>
      <c r="G16" s="5"/>
      <c r="H16" s="5"/>
      <c r="I16" s="10"/>
      <c r="J16" s="8"/>
      <c r="K16" s="5"/>
      <c r="L16" s="5"/>
      <c r="M16" s="5"/>
      <c r="N16" s="5"/>
      <c r="O16" s="5"/>
    </row>
    <row r="17" spans="1:17" x14ac:dyDescent="0.2">
      <c r="A17" s="5"/>
      <c r="B17" s="5"/>
      <c r="C17" s="5"/>
      <c r="D17" s="5"/>
      <c r="E17" s="5"/>
      <c r="F17" s="5"/>
      <c r="G17" s="5"/>
      <c r="H17" s="5"/>
      <c r="I17" s="10"/>
      <c r="J17" s="8"/>
      <c r="K17" s="5"/>
      <c r="L17" s="5"/>
      <c r="M17" s="5"/>
      <c r="N17" s="23" t="s">
        <v>12</v>
      </c>
      <c r="O17" s="25" t="s">
        <v>57</v>
      </c>
    </row>
    <row r="18" spans="1:17" ht="13.5" thickBot="1" x14ac:dyDescent="0.25">
      <c r="A18" s="5"/>
      <c r="B18" s="5"/>
      <c r="C18" s="5"/>
      <c r="D18" s="5"/>
      <c r="E18" s="5"/>
      <c r="F18" s="5"/>
      <c r="G18" s="5"/>
      <c r="H18" s="5"/>
      <c r="I18" s="10"/>
      <c r="J18" s="8"/>
      <c r="K18" s="5"/>
      <c r="L18" s="5"/>
      <c r="M18" s="5"/>
      <c r="N18" s="23" t="s">
        <v>56</v>
      </c>
      <c r="O18" s="27" t="s">
        <v>56</v>
      </c>
    </row>
    <row r="19" spans="1:17" ht="13.5" thickBot="1" x14ac:dyDescent="0.25">
      <c r="A19" s="5"/>
      <c r="B19" s="5"/>
      <c r="C19" s="5"/>
      <c r="D19" s="5"/>
      <c r="E19" s="5"/>
      <c r="F19" s="4" t="s">
        <v>33</v>
      </c>
      <c r="G19" s="5"/>
      <c r="H19" s="5"/>
      <c r="I19" s="5"/>
      <c r="J19" s="5"/>
      <c r="K19" s="5"/>
      <c r="L19" s="5"/>
      <c r="M19" s="5"/>
      <c r="N19" s="10">
        <f>N29^2/(O31+(1/G15)*O29)+0.5</f>
        <v>45.116315918292351</v>
      </c>
      <c r="O19" s="26">
        <f>O15</f>
        <v>62</v>
      </c>
    </row>
    <row r="20" spans="1:17" x14ac:dyDescent="0.2">
      <c r="A20" s="5"/>
      <c r="B20" s="5"/>
      <c r="C20" s="5"/>
      <c r="D20" s="5"/>
      <c r="E20" s="5"/>
      <c r="F20" s="5"/>
      <c r="G20" s="5"/>
      <c r="H20" s="5"/>
      <c r="I20" s="10"/>
      <c r="J20" s="8"/>
      <c r="K20" s="5"/>
      <c r="L20" s="5"/>
      <c r="M20" s="5"/>
      <c r="N20" s="10"/>
      <c r="O20" s="5"/>
    </row>
    <row r="21" spans="1:17" x14ac:dyDescent="0.2">
      <c r="A21" s="5"/>
      <c r="B21" s="5"/>
      <c r="C21" s="5"/>
      <c r="D21" s="5"/>
      <c r="E21" s="5"/>
      <c r="F21" s="5"/>
      <c r="G21" s="5"/>
      <c r="H21" s="7" t="s">
        <v>34</v>
      </c>
      <c r="I21" s="5"/>
      <c r="J21" s="7" t="s">
        <v>34</v>
      </c>
      <c r="K21" s="7" t="s">
        <v>34</v>
      </c>
      <c r="L21" s="7" t="s">
        <v>35</v>
      </c>
      <c r="M21" s="7"/>
      <c r="N21" s="19" t="s">
        <v>55</v>
      </c>
      <c r="O21" s="19" t="s">
        <v>55</v>
      </c>
    </row>
    <row r="22" spans="1:17" x14ac:dyDescent="0.2">
      <c r="A22" s="5"/>
      <c r="B22" s="5"/>
      <c r="C22" s="5"/>
      <c r="D22" s="5"/>
      <c r="E22" s="5"/>
      <c r="F22" s="5"/>
      <c r="G22" s="5"/>
      <c r="H22" s="7" t="s">
        <v>36</v>
      </c>
      <c r="I22" s="5"/>
      <c r="J22" s="4" t="s">
        <v>37</v>
      </c>
      <c r="K22" s="5" t="s">
        <v>62</v>
      </c>
      <c r="L22" s="7" t="s">
        <v>38</v>
      </c>
      <c r="M22" s="7"/>
      <c r="N22" s="19" t="s">
        <v>53</v>
      </c>
      <c r="O22" s="19" t="s">
        <v>13</v>
      </c>
    </row>
    <row r="23" spans="1:17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0"/>
      <c r="O23" s="20"/>
    </row>
    <row r="24" spans="1:17" x14ac:dyDescent="0.2">
      <c r="A24" s="5"/>
      <c r="B24" s="5"/>
      <c r="C24" s="13"/>
      <c r="D24" s="5"/>
      <c r="E24" s="5"/>
      <c r="F24" s="4" t="s">
        <v>13</v>
      </c>
      <c r="G24" s="4" t="s">
        <v>39</v>
      </c>
      <c r="H24" s="9">
        <f>(G8^2)*(H8/(L8-1))*(1-L8/G8)</f>
        <v>694849753.99636352</v>
      </c>
      <c r="I24" s="8"/>
      <c r="J24" s="9">
        <f t="shared" ref="J24:K27" si="0">($G8^2)*($H8/(N8-1))*(1-N8/$G8)</f>
        <v>694849753.99636352</v>
      </c>
      <c r="K24" s="9">
        <f t="shared" si="0"/>
        <v>543766648.98857141</v>
      </c>
      <c r="L24" s="14">
        <f>((G8/G$15)^2)*(H8/(N8-1))*(1-N8/G8)</f>
        <v>279.04671247892185</v>
      </c>
      <c r="M24" s="5"/>
      <c r="N24" s="20">
        <f>I8*(G8/G$15)</f>
        <v>55.845247148288969</v>
      </c>
      <c r="O24" s="20">
        <f>H8*(G8/G$15)</f>
        <v>6466.879619771863</v>
      </c>
      <c r="P24" s="29">
        <v>55.845247148288969</v>
      </c>
      <c r="Q24" s="29">
        <v>6466.879619771863</v>
      </c>
    </row>
    <row r="25" spans="1:17" x14ac:dyDescent="0.2">
      <c r="A25" s="5"/>
      <c r="B25" s="5"/>
      <c r="C25" s="13"/>
      <c r="D25" s="5"/>
      <c r="E25" s="5"/>
      <c r="F25" s="4" t="s">
        <v>40</v>
      </c>
      <c r="G25" s="4" t="s">
        <v>41</v>
      </c>
      <c r="H25" s="9">
        <f>(G9^2)*(H9/(L9-1))*(1-L9/G9)</f>
        <v>608710944.79555559</v>
      </c>
      <c r="I25" s="5"/>
      <c r="J25" s="9">
        <f t="shared" si="0"/>
        <v>608710944.79555559</v>
      </c>
      <c r="K25" s="9">
        <f t="shared" si="0"/>
        <v>418154803.17230767</v>
      </c>
      <c r="L25" s="14">
        <f>((G9/G$15)^2)*(H9/(N9-1))*(1-N9/G9)</f>
        <v>244.45398018522894</v>
      </c>
      <c r="M25" s="5"/>
      <c r="N25" s="20">
        <f>I9*(G9/G$15)</f>
        <v>47.356527249683147</v>
      </c>
      <c r="O25" s="20">
        <f>H9*(G9/G$15)</f>
        <v>6715.1555640050701</v>
      </c>
      <c r="P25" s="29">
        <v>47.356527249683147</v>
      </c>
      <c r="Q25" s="29">
        <v>6715.1555640050701</v>
      </c>
    </row>
    <row r="26" spans="1:17" x14ac:dyDescent="0.2">
      <c r="A26" s="5"/>
      <c r="B26" s="5"/>
      <c r="C26" s="13"/>
      <c r="D26" s="5"/>
      <c r="E26" s="5"/>
      <c r="F26" s="4" t="s">
        <v>42</v>
      </c>
      <c r="G26" s="4" t="s">
        <v>43</v>
      </c>
      <c r="H26" s="9">
        <f>(G10^2)*(H10/(L10-1))*(1-L10/G10)</f>
        <v>545937889.71428561</v>
      </c>
      <c r="I26" s="5"/>
      <c r="J26" s="9">
        <f t="shared" si="0"/>
        <v>420893636.22222227</v>
      </c>
      <c r="K26" s="9">
        <f t="shared" si="0"/>
        <v>341320020.36363637</v>
      </c>
      <c r="L26" s="14">
        <f>((G10/G$15)^2)*(H10/(N10-1))*(1-N10/G10)</f>
        <v>169.02788669869062</v>
      </c>
      <c r="M26" s="5"/>
      <c r="N26" s="20">
        <f>I10*(G10/G$15)</f>
        <v>39.856780735107733</v>
      </c>
      <c r="O26" s="20">
        <f>H10*(G10/G$15)</f>
        <v>10621.832065906212</v>
      </c>
      <c r="P26" s="29">
        <v>39.856780735107733</v>
      </c>
      <c r="Q26" s="29">
        <v>10621.832065906212</v>
      </c>
    </row>
    <row r="27" spans="1:17" x14ac:dyDescent="0.2">
      <c r="A27" s="5"/>
      <c r="B27" s="5"/>
      <c r="C27" s="13"/>
      <c r="D27" s="5"/>
      <c r="E27" s="5"/>
      <c r="F27" s="5"/>
      <c r="G27" s="4" t="s">
        <v>44</v>
      </c>
      <c r="H27" s="9">
        <f>(G11^2)*(H11/(L11-1))*(1-L11/G11)</f>
        <v>649688249.67428565</v>
      </c>
      <c r="I27" s="5"/>
      <c r="J27" s="9">
        <f t="shared" si="0"/>
        <v>649688249.67428565</v>
      </c>
      <c r="K27" s="9">
        <f t="shared" si="0"/>
        <v>384815347.88399994</v>
      </c>
      <c r="L27" s="14">
        <f>((G11/G$15)^2)*(H11/(N11-1))*(1-N11/G11)</f>
        <v>260.91017398380359</v>
      </c>
      <c r="M27" s="5"/>
      <c r="N27" s="20">
        <f>I11*(G11/G$15)</f>
        <v>71.117110266159699</v>
      </c>
      <c r="O27" s="20">
        <f>H11*(G11/G$15)</f>
        <v>147795.57855513305</v>
      </c>
      <c r="P27" s="29">
        <v>71.117110266159699</v>
      </c>
      <c r="Q27" s="29">
        <v>147795.57855513305</v>
      </c>
    </row>
    <row r="28" spans="1:17" x14ac:dyDescent="0.2">
      <c r="A28" s="5"/>
      <c r="B28" s="29"/>
      <c r="C28" s="29"/>
      <c r="D28" s="29"/>
      <c r="E28" s="29"/>
      <c r="F28" s="29"/>
      <c r="G28" s="30"/>
      <c r="H28" s="9"/>
      <c r="I28" s="5"/>
      <c r="J28" s="9"/>
      <c r="K28" s="5"/>
      <c r="L28" s="14"/>
      <c r="M28" s="5"/>
      <c r="N28" s="20"/>
      <c r="O28" s="20"/>
      <c r="P28" s="29"/>
      <c r="Q28" s="29"/>
    </row>
    <row r="29" spans="1:17" x14ac:dyDescent="0.2">
      <c r="A29" s="29"/>
      <c r="B29" s="29"/>
      <c r="C29" s="29"/>
      <c r="D29" s="29"/>
      <c r="E29" s="29"/>
      <c r="F29" s="4" t="s">
        <v>45</v>
      </c>
      <c r="G29" s="29"/>
      <c r="H29" s="31">
        <f>SUM(H24:H28)</f>
        <v>2499186838.1804905</v>
      </c>
      <c r="I29" s="29"/>
      <c r="J29" s="31">
        <f>SUM(J24:J28)</f>
        <v>2374142584.688427</v>
      </c>
      <c r="K29" s="31">
        <f>SUM(K24:K28)</f>
        <v>1688056820.4085155</v>
      </c>
      <c r="L29" s="32">
        <f>SUM(L24:L28)</f>
        <v>953.43875334664506</v>
      </c>
      <c r="M29" s="5"/>
      <c r="N29" s="20">
        <f>SUM(N24:N27)</f>
        <v>214.17566539923953</v>
      </c>
      <c r="O29" s="20">
        <f>SUM(O24:O27)</f>
        <v>171599.44580481621</v>
      </c>
      <c r="P29" s="29">
        <v>214.17566539923953</v>
      </c>
      <c r="Q29" s="29">
        <v>171599.44580481621</v>
      </c>
    </row>
    <row r="30" spans="1:17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1"/>
      <c r="O30" s="21"/>
    </row>
    <row r="31" spans="1:17" x14ac:dyDescent="0.2">
      <c r="A31" s="29"/>
      <c r="B31" s="29"/>
      <c r="C31" s="29"/>
      <c r="D31" s="29"/>
      <c r="E31" s="29"/>
      <c r="F31" s="29" t="s">
        <v>46</v>
      </c>
      <c r="G31" s="29"/>
      <c r="H31" s="29">
        <f>SQRT(H29)</f>
        <v>49991.867720465198</v>
      </c>
      <c r="I31" s="29"/>
      <c r="J31" s="29">
        <f>SQRT(J29)</f>
        <v>48725.17403446012</v>
      </c>
      <c r="K31" s="29">
        <f>SQRT(K29)</f>
        <v>41085.968656081546</v>
      </c>
      <c r="L31" s="29">
        <f>SQRT(L29)</f>
        <v>30.877803570633795</v>
      </c>
      <c r="M31" s="29"/>
      <c r="N31" s="22" t="s">
        <v>54</v>
      </c>
      <c r="O31" s="21">
        <f>(0.1*(F15/1.96))^2</f>
        <v>919.38157987408943</v>
      </c>
      <c r="P31" t="s">
        <v>54</v>
      </c>
      <c r="Q31">
        <v>919.38157987408943</v>
      </c>
    </row>
    <row r="32" spans="1:17" ht="13.5" thickBot="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5" x14ac:dyDescent="0.2">
      <c r="A33" s="29"/>
      <c r="B33" s="29"/>
      <c r="C33" s="29"/>
      <c r="D33" s="29"/>
      <c r="E33" s="29"/>
      <c r="F33" s="33" t="s">
        <v>47</v>
      </c>
      <c r="G33" s="34"/>
      <c r="H33" s="15">
        <v>0.95</v>
      </c>
      <c r="I33" s="15"/>
      <c r="J33" s="15">
        <v>0.95</v>
      </c>
      <c r="K33" s="15">
        <v>0.95</v>
      </c>
      <c r="L33" s="16">
        <v>0.95</v>
      </c>
      <c r="M33" s="29"/>
      <c r="O33">
        <f>45871.2304704/(919.3816+(1/1578)*171599.4)+0.5</f>
        <v>45.116330720297</v>
      </c>
    </row>
    <row r="34" spans="1:15" ht="13.5" thickBot="1" x14ac:dyDescent="0.25">
      <c r="A34" s="29"/>
      <c r="B34" s="29"/>
      <c r="C34" s="29"/>
      <c r="D34" s="29"/>
      <c r="E34" s="29"/>
      <c r="F34" s="35" t="s">
        <v>48</v>
      </c>
      <c r="G34" s="36"/>
      <c r="H34" s="17">
        <v>1.96</v>
      </c>
      <c r="I34" s="17"/>
      <c r="J34" s="17">
        <v>1.96</v>
      </c>
      <c r="K34" s="17">
        <v>1.96</v>
      </c>
      <c r="L34" s="18">
        <v>1.96</v>
      </c>
      <c r="M34" s="29"/>
    </row>
    <row r="35" spans="1:15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x14ac:dyDescent="0.2">
      <c r="A36" s="29"/>
      <c r="B36" s="29"/>
      <c r="C36" s="29"/>
      <c r="D36" s="29"/>
      <c r="E36" s="29"/>
      <c r="F36" s="29" t="s">
        <v>49</v>
      </c>
      <c r="G36" s="29"/>
      <c r="H36" s="29">
        <f>H31*H34</f>
        <v>97984.060732111786</v>
      </c>
      <c r="I36" s="29"/>
      <c r="J36" s="29">
        <f>J31*J34</f>
        <v>95501.341107541841</v>
      </c>
      <c r="K36" s="29">
        <f>K31*K34</f>
        <v>80528.498565919828</v>
      </c>
      <c r="L36" s="29">
        <f>L31*L34</f>
        <v>60.520494998442238</v>
      </c>
      <c r="M36" s="29"/>
    </row>
    <row r="37" spans="1:15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5" x14ac:dyDescent="0.2">
      <c r="A38" s="29"/>
      <c r="B38" s="29"/>
      <c r="C38" s="29"/>
      <c r="D38" s="29"/>
      <c r="E38" s="29"/>
      <c r="F38" s="29" t="s">
        <v>50</v>
      </c>
      <c r="G38" s="29"/>
      <c r="H38" s="29">
        <f>$G15*$E15</f>
        <v>0</v>
      </c>
      <c r="I38" s="29"/>
      <c r="J38" s="29">
        <f>$G15*$E15</f>
        <v>0</v>
      </c>
      <c r="K38" s="29">
        <f>$G15*$E15</f>
        <v>0</v>
      </c>
      <c r="L38" s="37">
        <f>E15</f>
        <v>0</v>
      </c>
      <c r="M38" s="29"/>
      <c r="N38" s="29"/>
      <c r="O38" s="29"/>
    </row>
    <row r="39" spans="1:15" ht="13.5" thickBot="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ht="13.5" thickBot="1" x14ac:dyDescent="0.25">
      <c r="A40" s="29"/>
      <c r="B40" s="29"/>
      <c r="C40" s="29"/>
      <c r="D40" s="29"/>
      <c r="E40" s="29"/>
      <c r="F40" s="38" t="s">
        <v>51</v>
      </c>
      <c r="G40" s="39"/>
      <c r="H40" s="40" t="e">
        <f>H36/H38</f>
        <v>#DIV/0!</v>
      </c>
      <c r="I40" s="40"/>
      <c r="J40" s="40" t="e">
        <f>J36/J38</f>
        <v>#DIV/0!</v>
      </c>
      <c r="K40" s="40" t="e">
        <f>K36/K38</f>
        <v>#DIV/0!</v>
      </c>
      <c r="L40" s="41" t="e">
        <f>L36/L38</f>
        <v>#DIV/0!</v>
      </c>
      <c r="M40" s="29"/>
      <c r="N40" s="29"/>
      <c r="O40" s="29"/>
    </row>
  </sheetData>
  <pageMargins left="0.7" right="0.7" top="0.75" bottom="0.75" header="0.3" footer="0.3"/>
  <pageSetup scale="69" orientation="landscape" r:id="rId1"/>
  <headerFooter>
    <oddFooter>&amp;CTable 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Four Strata (9010)</vt:lpstr>
      <vt:lpstr>Four Strata (9510)</vt:lpstr>
      <vt:lpstr>'Four Strata (9510)'!Print_Area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D Thornton</dc:creator>
  <cp:lastModifiedBy>Ahlberg, Joseph</cp:lastModifiedBy>
  <cp:lastPrinted>2017-01-20T19:54:28Z</cp:lastPrinted>
  <dcterms:created xsi:type="dcterms:W3CDTF">2004-05-05T20:03:05Z</dcterms:created>
  <dcterms:modified xsi:type="dcterms:W3CDTF">2017-06-22T16:37:57Z</dcterms:modified>
</cp:coreProperties>
</file>