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2501\"/>
    </mc:Choice>
  </mc:AlternateContent>
  <bookViews>
    <workbookView xWindow="0" yWindow="0" windowWidth="16170" windowHeight="6135"/>
  </bookViews>
  <sheets>
    <sheet name="Historical" sheetId="1" r:id="rId1"/>
    <sheet name="Cash Flow" sheetId="11" r:id="rId2"/>
  </sheets>
  <definedNames>
    <definedName name="_xlnm.Print_Area" localSheetId="0">Historical!$A$1:$O$276</definedName>
  </definedNames>
  <calcPr calcId="152511" iterate="1" iterateDelta="9.9999999999994451E-4"/>
</workbook>
</file>

<file path=xl/calcChain.xml><?xml version="1.0" encoding="utf-8"?>
<calcChain xmlns="http://schemas.openxmlformats.org/spreadsheetml/2006/main">
  <c r="A3" i="11" l="1"/>
  <c r="M250" i="1" l="1"/>
  <c r="O276" i="1"/>
  <c r="O275" i="1"/>
  <c r="O274" i="1"/>
  <c r="O271" i="1"/>
  <c r="O266" i="1"/>
  <c r="O265" i="1"/>
  <c r="O261" i="1"/>
  <c r="O260" i="1"/>
  <c r="O250" i="1"/>
  <c r="O249" i="1"/>
  <c r="O248" i="1"/>
  <c r="O247" i="1"/>
  <c r="O246" i="1"/>
  <c r="O245" i="1"/>
  <c r="O270" i="1"/>
  <c r="O269" i="1"/>
  <c r="O257" i="1"/>
  <c r="O256" i="1"/>
  <c r="O255" i="1"/>
  <c r="O254" i="1"/>
  <c r="O253" i="1"/>
  <c r="O242" i="1"/>
  <c r="O241" i="1"/>
  <c r="O240" i="1"/>
  <c r="O239" i="1"/>
  <c r="O238" i="1"/>
  <c r="O235" i="1"/>
  <c r="O234" i="1"/>
  <c r="O233" i="1"/>
  <c r="O48" i="1"/>
  <c r="P149" i="1" l="1"/>
  <c r="M276" i="1"/>
  <c r="L276" i="1"/>
  <c r="M275" i="1"/>
  <c r="L275" i="1"/>
  <c r="M274" i="1"/>
  <c r="L274" i="1"/>
  <c r="N56" i="1" l="1"/>
  <c r="N42" i="1"/>
  <c r="N63" i="1"/>
  <c r="N17" i="1"/>
  <c r="N14" i="1"/>
  <c r="N12" i="1"/>
  <c r="N36" i="1"/>
  <c r="N37" i="1" s="1"/>
  <c r="N171" i="1"/>
  <c r="N174" i="1"/>
  <c r="N169" i="1"/>
  <c r="N163" i="1"/>
  <c r="L58" i="11"/>
  <c r="J56" i="11"/>
  <c r="M36" i="11"/>
  <c r="M24" i="11"/>
  <c r="M15" i="11"/>
  <c r="H241" i="1" l="1"/>
  <c r="H239" i="1"/>
  <c r="AA48" i="1"/>
  <c r="Z48" i="1"/>
  <c r="AB48" i="1"/>
  <c r="AB54" i="1" s="1"/>
  <c r="AA54" i="1"/>
  <c r="Y48" i="1"/>
  <c r="X48" i="1"/>
  <c r="W48" i="1"/>
  <c r="W54" i="1" s="1"/>
  <c r="Z54" i="1"/>
  <c r="Y54" i="1"/>
  <c r="X54" i="1"/>
  <c r="Q54" i="1"/>
  <c r="T50" i="1"/>
  <c r="S50" i="1"/>
  <c r="R50" i="1"/>
  <c r="Q50" i="1"/>
  <c r="V48" i="1"/>
  <c r="AA45" i="1"/>
  <c r="Z45" i="1"/>
  <c r="Y45" i="1"/>
  <c r="X45" i="1"/>
  <c r="AC45" i="1" s="1"/>
  <c r="W45" i="1"/>
  <c r="AB45" i="1"/>
  <c r="AA43" i="1"/>
  <c r="Z43" i="1"/>
  <c r="Y43" i="1"/>
  <c r="X43" i="1"/>
  <c r="W43" i="1"/>
  <c r="V43" i="1"/>
  <c r="U43" i="1"/>
  <c r="T43" i="1"/>
  <c r="AC16" i="1" l="1"/>
  <c r="AA16" i="1"/>
  <c r="Z16" i="1"/>
  <c r="Y16" i="1"/>
  <c r="X16" i="1"/>
  <c r="W16" i="1"/>
  <c r="AA15" i="1"/>
  <c r="Z15" i="1"/>
  <c r="Y15" i="1"/>
  <c r="X15" i="1"/>
  <c r="W15" i="1"/>
  <c r="AC15" i="1" s="1"/>
  <c r="V15" i="1"/>
  <c r="AA14" i="1"/>
  <c r="AC14" i="1" s="1"/>
  <c r="Z14" i="1"/>
  <c r="Y14" i="1"/>
  <c r="X14" i="1"/>
  <c r="W14" i="1"/>
  <c r="AA11" i="1"/>
  <c r="Z11" i="1"/>
  <c r="Y11" i="1"/>
  <c r="X11" i="1"/>
  <c r="W11" i="1"/>
  <c r="AA8" i="1"/>
  <c r="Z8" i="1"/>
  <c r="Y8" i="1"/>
  <c r="X8" i="1"/>
  <c r="W8" i="1"/>
  <c r="N181" i="1"/>
  <c r="N7" i="11" l="1"/>
  <c r="F7" i="11"/>
  <c r="B8" i="11"/>
  <c r="B30" i="11" s="1"/>
  <c r="B56" i="11" s="1"/>
  <c r="B59" i="11" s="1"/>
  <c r="C58" i="11" s="1"/>
  <c r="B41" i="11"/>
  <c r="C41" i="11"/>
  <c r="D41" i="11"/>
  <c r="E41" i="11"/>
  <c r="F41" i="11"/>
  <c r="B54" i="11"/>
  <c r="C54" i="11"/>
  <c r="D54" i="11"/>
  <c r="E54" i="11"/>
  <c r="F54" i="11"/>
  <c r="M245" i="1"/>
  <c r="M36" i="1"/>
  <c r="A222" i="1"/>
  <c r="A220" i="1"/>
  <c r="A218" i="1"/>
  <c r="A217" i="1"/>
  <c r="A216" i="1"/>
  <c r="A215" i="1"/>
  <c r="A213" i="1"/>
  <c r="A211" i="1"/>
  <c r="A210" i="1"/>
  <c r="A209" i="1"/>
  <c r="A208" i="1"/>
  <c r="A207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32" i="1"/>
  <c r="A131" i="1"/>
  <c r="A130" i="1"/>
  <c r="A129" i="1"/>
  <c r="A128" i="1"/>
  <c r="A127" i="1"/>
  <c r="A125" i="1"/>
  <c r="A123" i="1"/>
  <c r="A122" i="1"/>
  <c r="A121" i="1"/>
  <c r="A120" i="1"/>
  <c r="A119" i="1"/>
  <c r="A118" i="1"/>
  <c r="A117" i="1"/>
  <c r="A116" i="1"/>
  <c r="A115" i="1"/>
  <c r="A114" i="1"/>
  <c r="A112" i="1"/>
  <c r="A111" i="1"/>
  <c r="A110" i="1"/>
  <c r="A109" i="1"/>
  <c r="A108" i="1"/>
  <c r="A107" i="1"/>
  <c r="A105" i="1"/>
  <c r="A104" i="1"/>
  <c r="A103" i="1"/>
  <c r="A102" i="1"/>
  <c r="A101" i="1"/>
  <c r="A100" i="1"/>
  <c r="A99" i="1"/>
  <c r="A98" i="1"/>
  <c r="A97" i="1"/>
  <c r="A96" i="1"/>
  <c r="A95" i="1"/>
  <c r="A91" i="1"/>
  <c r="A89" i="1"/>
  <c r="A88" i="1"/>
  <c r="A87" i="1"/>
  <c r="A86" i="1"/>
  <c r="A84" i="1"/>
  <c r="A83" i="1"/>
  <c r="A82" i="1"/>
  <c r="A81" i="1"/>
  <c r="A80" i="1"/>
  <c r="A79" i="1"/>
  <c r="A78" i="1"/>
  <c r="O157" i="1"/>
  <c r="O155" i="1"/>
  <c r="O154" i="1"/>
  <c r="O153" i="1"/>
  <c r="O152" i="1"/>
  <c r="O151" i="1"/>
  <c r="O150" i="1"/>
  <c r="O149" i="1"/>
  <c r="O144" i="1"/>
  <c r="O62" i="1"/>
  <c r="O56" i="1"/>
  <c r="O44" i="1"/>
  <c r="O43" i="1"/>
  <c r="O34" i="1"/>
  <c r="O31" i="1"/>
  <c r="O25" i="1"/>
  <c r="O22" i="1"/>
  <c r="O21" i="1"/>
  <c r="O15" i="1"/>
  <c r="O13" i="1"/>
  <c r="G171" i="1"/>
  <c r="G174" i="1"/>
  <c r="G163" i="1"/>
  <c r="H171" i="1"/>
  <c r="H174" i="1"/>
  <c r="H163" i="1"/>
  <c r="K63" i="1"/>
  <c r="K36" i="1"/>
  <c r="K37" i="1" s="1"/>
  <c r="K14" i="1"/>
  <c r="K12" i="1"/>
  <c r="H45" i="1"/>
  <c r="H63" i="1"/>
  <c r="H36" i="1"/>
  <c r="H37" i="1" s="1"/>
  <c r="H17" i="1"/>
  <c r="H14" i="1"/>
  <c r="O14" i="1" s="1"/>
  <c r="H12" i="1"/>
  <c r="O11" i="1" s="1"/>
  <c r="J45" i="1"/>
  <c r="I45" i="1"/>
  <c r="J63" i="1"/>
  <c r="I63" i="1"/>
  <c r="J36" i="1"/>
  <c r="J37" i="1" s="1"/>
  <c r="I36" i="1"/>
  <c r="I12" i="1"/>
  <c r="J14" i="1"/>
  <c r="I14" i="1"/>
  <c r="J12" i="1"/>
  <c r="J171" i="1"/>
  <c r="I171" i="1"/>
  <c r="J174" i="1"/>
  <c r="I174" i="1"/>
  <c r="J163" i="1"/>
  <c r="I163" i="1"/>
  <c r="I167" i="1" s="1"/>
  <c r="L36" i="11"/>
  <c r="L41" i="11" s="1"/>
  <c r="K24" i="11"/>
  <c r="L24" i="11"/>
  <c r="N54" i="11"/>
  <c r="M54" i="11"/>
  <c r="L54" i="11"/>
  <c r="K54" i="11"/>
  <c r="J54" i="11"/>
  <c r="I54" i="11"/>
  <c r="N41" i="11"/>
  <c r="M41" i="11"/>
  <c r="K41" i="11"/>
  <c r="J41" i="11"/>
  <c r="I41" i="11"/>
  <c r="L42" i="1"/>
  <c r="L57" i="1"/>
  <c r="L63" i="1"/>
  <c r="I37" i="1"/>
  <c r="L36" i="1"/>
  <c r="L37" i="1" s="1"/>
  <c r="L17" i="1"/>
  <c r="K171" i="1"/>
  <c r="K174" i="1"/>
  <c r="K163" i="1"/>
  <c r="K167" i="1" s="1"/>
  <c r="M171" i="1"/>
  <c r="L171" i="1"/>
  <c r="M174" i="1"/>
  <c r="L174" i="1"/>
  <c r="L163" i="1"/>
  <c r="L167" i="1" s="1"/>
  <c r="M163" i="1"/>
  <c r="M167" i="1" s="1"/>
  <c r="O174" i="1" l="1"/>
  <c r="O171" i="1"/>
  <c r="O36" i="1"/>
  <c r="O163" i="1"/>
  <c r="J167" i="1"/>
  <c r="O45" i="1"/>
  <c r="M42" i="1"/>
  <c r="M63" i="1"/>
  <c r="M65" i="1" s="1"/>
  <c r="L65" i="1"/>
  <c r="K65" i="1"/>
  <c r="J65" i="1"/>
  <c r="I65" i="1"/>
  <c r="K57" i="1"/>
  <c r="J57" i="1"/>
  <c r="I57" i="1"/>
  <c r="L46" i="1"/>
  <c r="L234" i="1" s="1"/>
  <c r="K46" i="1"/>
  <c r="K234" i="1" s="1"/>
  <c r="J46" i="1"/>
  <c r="J234" i="1" s="1"/>
  <c r="I46" i="1"/>
  <c r="I234" i="1" s="1"/>
  <c r="M57" i="1"/>
  <c r="M17" i="1"/>
  <c r="O17" i="1" s="1"/>
  <c r="M37" i="1"/>
  <c r="O37" i="1" s="1"/>
  <c r="L18" i="1"/>
  <c r="K18" i="1"/>
  <c r="J18" i="1"/>
  <c r="I18" i="1"/>
  <c r="M23" i="1"/>
  <c r="L23" i="1"/>
  <c r="L27" i="1" s="1"/>
  <c r="K23" i="1"/>
  <c r="K27" i="1" s="1"/>
  <c r="J23" i="1"/>
  <c r="J27" i="1" s="1"/>
  <c r="J38" i="1" s="1"/>
  <c r="I23" i="1"/>
  <c r="I27" i="1" s="1"/>
  <c r="M160" i="1"/>
  <c r="L160" i="1"/>
  <c r="K160" i="1"/>
  <c r="J160" i="1"/>
  <c r="I160" i="1"/>
  <c r="M146" i="1"/>
  <c r="L146" i="1"/>
  <c r="K146" i="1"/>
  <c r="J146" i="1"/>
  <c r="I146" i="1"/>
  <c r="I254" i="1" s="1"/>
  <c r="L245" i="1"/>
  <c r="K245" i="1"/>
  <c r="J245" i="1"/>
  <c r="I245" i="1"/>
  <c r="M193" i="1" l="1"/>
  <c r="P193" i="1" s="1"/>
  <c r="O194" i="1"/>
  <c r="AB43" i="1"/>
  <c r="AC43" i="1" s="1"/>
  <c r="M27" i="1"/>
  <c r="M189" i="1"/>
  <c r="M190" i="1"/>
  <c r="M188" i="1"/>
  <c r="I189" i="1"/>
  <c r="J253" i="1"/>
  <c r="J255" i="1"/>
  <c r="J256" i="1"/>
  <c r="L238" i="1"/>
  <c r="L261" i="1"/>
  <c r="L266" i="1"/>
  <c r="L239" i="1"/>
  <c r="K255" i="1"/>
  <c r="K256" i="1"/>
  <c r="K253" i="1"/>
  <c r="J204" i="1"/>
  <c r="I260" i="1"/>
  <c r="I239" i="1"/>
  <c r="I261" i="1"/>
  <c r="I265" i="1"/>
  <c r="I266" i="1"/>
  <c r="I238" i="1"/>
  <c r="M261" i="1"/>
  <c r="M266" i="1"/>
  <c r="M240" i="1"/>
  <c r="M238" i="1"/>
  <c r="M239" i="1"/>
  <c r="L265" i="1"/>
  <c r="J190" i="1"/>
  <c r="L256" i="1"/>
  <c r="L253" i="1"/>
  <c r="M235" i="1"/>
  <c r="L255" i="1"/>
  <c r="M18" i="1"/>
  <c r="J239" i="1"/>
  <c r="J266" i="1"/>
  <c r="J261" i="1"/>
  <c r="J260" i="1"/>
  <c r="J265" i="1"/>
  <c r="J238" i="1"/>
  <c r="M260" i="1"/>
  <c r="M265" i="1"/>
  <c r="O42" i="1"/>
  <c r="L190" i="1"/>
  <c r="I253" i="1"/>
  <c r="M256" i="1"/>
  <c r="M253" i="1"/>
  <c r="M254" i="1"/>
  <c r="K266" i="1"/>
  <c r="K261" i="1"/>
  <c r="K265" i="1"/>
  <c r="K238" i="1"/>
  <c r="K260" i="1"/>
  <c r="K239" i="1"/>
  <c r="O63" i="1"/>
  <c r="L260" i="1"/>
  <c r="L235" i="1"/>
  <c r="K211" i="1"/>
  <c r="K207" i="1"/>
  <c r="K203" i="1"/>
  <c r="K202" i="1"/>
  <c r="K201" i="1"/>
  <c r="K200" i="1"/>
  <c r="K199" i="1"/>
  <c r="K198" i="1"/>
  <c r="K197" i="1"/>
  <c r="K196" i="1"/>
  <c r="K195" i="1"/>
  <c r="K194" i="1"/>
  <c r="K218" i="1"/>
  <c r="K217" i="1"/>
  <c r="K215" i="1"/>
  <c r="K210" i="1"/>
  <c r="K209" i="1"/>
  <c r="K208" i="1"/>
  <c r="L207" i="1"/>
  <c r="L203" i="1"/>
  <c r="L202" i="1"/>
  <c r="L201" i="1"/>
  <c r="L200" i="1"/>
  <c r="L199" i="1"/>
  <c r="L198" i="1"/>
  <c r="L197" i="1"/>
  <c r="L196" i="1"/>
  <c r="L195" i="1"/>
  <c r="L194" i="1"/>
  <c r="L210" i="1"/>
  <c r="L209" i="1"/>
  <c r="L208" i="1"/>
  <c r="L218" i="1"/>
  <c r="L217" i="1"/>
  <c r="L215" i="1"/>
  <c r="K204" i="1"/>
  <c r="I210" i="1"/>
  <c r="I209" i="1"/>
  <c r="I208" i="1"/>
  <c r="I218" i="1"/>
  <c r="I217" i="1"/>
  <c r="I215" i="1"/>
  <c r="I211" i="1"/>
  <c r="I207" i="1"/>
  <c r="I203" i="1"/>
  <c r="I202" i="1"/>
  <c r="I201" i="1"/>
  <c r="I200" i="1"/>
  <c r="I199" i="1"/>
  <c r="I198" i="1"/>
  <c r="I197" i="1"/>
  <c r="I196" i="1"/>
  <c r="I195" i="1"/>
  <c r="I194" i="1"/>
  <c r="M210" i="1"/>
  <c r="M209" i="1"/>
  <c r="M208" i="1"/>
  <c r="M218" i="1"/>
  <c r="M217" i="1"/>
  <c r="M215" i="1"/>
  <c r="M211" i="1"/>
  <c r="M207" i="1"/>
  <c r="M203" i="1"/>
  <c r="M202" i="1"/>
  <c r="M201" i="1"/>
  <c r="M200" i="1"/>
  <c r="M199" i="1"/>
  <c r="M198" i="1"/>
  <c r="M197" i="1"/>
  <c r="M196" i="1"/>
  <c r="P196" i="1" s="1"/>
  <c r="M195" i="1"/>
  <c r="P195" i="1" s="1"/>
  <c r="M194" i="1"/>
  <c r="P194" i="1" s="1"/>
  <c r="L204" i="1"/>
  <c r="L211" i="1"/>
  <c r="I188" i="1"/>
  <c r="J235" i="1"/>
  <c r="J254" i="1"/>
  <c r="J218" i="1"/>
  <c r="J217" i="1"/>
  <c r="J215" i="1"/>
  <c r="J210" i="1"/>
  <c r="J209" i="1"/>
  <c r="J208" i="1"/>
  <c r="J207" i="1"/>
  <c r="J203" i="1"/>
  <c r="J202" i="1"/>
  <c r="J201" i="1"/>
  <c r="J200" i="1"/>
  <c r="J199" i="1"/>
  <c r="J198" i="1"/>
  <c r="J197" i="1"/>
  <c r="J196" i="1"/>
  <c r="J195" i="1"/>
  <c r="J194" i="1"/>
  <c r="I204" i="1"/>
  <c r="M204" i="1"/>
  <c r="J211" i="1"/>
  <c r="L161" i="1"/>
  <c r="L241" i="1" s="1"/>
  <c r="M46" i="1"/>
  <c r="M59" i="1" s="1"/>
  <c r="L188" i="1"/>
  <c r="I190" i="1"/>
  <c r="I193" i="1"/>
  <c r="I161" i="1"/>
  <c r="M161" i="1"/>
  <c r="J233" i="1"/>
  <c r="J59" i="1"/>
  <c r="I59" i="1"/>
  <c r="I66" i="1" s="1"/>
  <c r="I233" i="1"/>
  <c r="I39" i="1"/>
  <c r="I242" i="1" s="1"/>
  <c r="J188" i="1"/>
  <c r="J161" i="1"/>
  <c r="J241" i="1" s="1"/>
  <c r="K59" i="1"/>
  <c r="K39" i="1"/>
  <c r="K242" i="1" s="1"/>
  <c r="K233" i="1"/>
  <c r="L59" i="1"/>
  <c r="L39" i="1"/>
  <c r="L242" i="1" s="1"/>
  <c r="K188" i="1"/>
  <c r="K190" i="1"/>
  <c r="K161" i="1"/>
  <c r="K254" i="1"/>
  <c r="K189" i="1"/>
  <c r="K193" i="1"/>
  <c r="K240" i="1"/>
  <c r="L240" i="1"/>
  <c r="I38" i="1"/>
  <c r="K38" i="1"/>
  <c r="M38" i="1"/>
  <c r="I240" i="1"/>
  <c r="J240" i="1"/>
  <c r="J39" i="1"/>
  <c r="J242" i="1" s="1"/>
  <c r="L38" i="1"/>
  <c r="L233" i="1"/>
  <c r="L189" i="1"/>
  <c r="J193" i="1"/>
  <c r="L254" i="1"/>
  <c r="J189" i="1"/>
  <c r="L193" i="1"/>
  <c r="K235" i="1"/>
  <c r="M234" i="1" l="1"/>
  <c r="M66" i="1"/>
  <c r="M233" i="1"/>
  <c r="M205" i="1"/>
  <c r="M241" i="1"/>
  <c r="I104" i="1"/>
  <c r="K205" i="1"/>
  <c r="K241" i="1"/>
  <c r="I205" i="1"/>
  <c r="I241" i="1"/>
  <c r="M255" i="1"/>
  <c r="L104" i="1"/>
  <c r="M39" i="1"/>
  <c r="K131" i="1"/>
  <c r="K129" i="1"/>
  <c r="K125" i="1"/>
  <c r="K122" i="1"/>
  <c r="K116" i="1"/>
  <c r="K114" i="1"/>
  <c r="K111" i="1"/>
  <c r="K109" i="1"/>
  <c r="K105" i="1"/>
  <c r="K101" i="1"/>
  <c r="K99" i="1"/>
  <c r="K96" i="1"/>
  <c r="K93" i="1"/>
  <c r="K89" i="1"/>
  <c r="K87" i="1"/>
  <c r="K83" i="1"/>
  <c r="K81" i="1"/>
  <c r="K79" i="1"/>
  <c r="K128" i="1"/>
  <c r="K123" i="1"/>
  <c r="K119" i="1"/>
  <c r="K117" i="1"/>
  <c r="K115" i="1"/>
  <c r="K112" i="1"/>
  <c r="K110" i="1"/>
  <c r="K108" i="1"/>
  <c r="K102" i="1"/>
  <c r="K100" i="1"/>
  <c r="K91" i="1"/>
  <c r="K84" i="1"/>
  <c r="K80" i="1"/>
  <c r="K98" i="1"/>
  <c r="K88" i="1"/>
  <c r="K82" i="1"/>
  <c r="K78" i="1"/>
  <c r="K103" i="1"/>
  <c r="I91" i="1"/>
  <c r="I88" i="1"/>
  <c r="I84" i="1"/>
  <c r="I82" i="1"/>
  <c r="I80" i="1"/>
  <c r="I78" i="1"/>
  <c r="I131" i="1"/>
  <c r="I129" i="1"/>
  <c r="I125" i="1"/>
  <c r="I122" i="1"/>
  <c r="I114" i="1"/>
  <c r="I111" i="1"/>
  <c r="I109" i="1"/>
  <c r="I105" i="1"/>
  <c r="I101" i="1"/>
  <c r="I99" i="1"/>
  <c r="I128" i="1"/>
  <c r="I108" i="1"/>
  <c r="I89" i="1"/>
  <c r="I83" i="1"/>
  <c r="I79" i="1"/>
  <c r="I110" i="1"/>
  <c r="I100" i="1"/>
  <c r="I132" i="1"/>
  <c r="I112" i="1"/>
  <c r="I102" i="1"/>
  <c r="I93" i="1"/>
  <c r="I87" i="1"/>
  <c r="I81" i="1"/>
  <c r="I123" i="1"/>
  <c r="I103" i="1"/>
  <c r="J131" i="1"/>
  <c r="J129" i="1"/>
  <c r="J128" i="1"/>
  <c r="J125" i="1"/>
  <c r="J123" i="1"/>
  <c r="J122" i="1"/>
  <c r="J114" i="1"/>
  <c r="J112" i="1"/>
  <c r="J111" i="1"/>
  <c r="J110" i="1"/>
  <c r="J109" i="1"/>
  <c r="J108" i="1"/>
  <c r="J105" i="1"/>
  <c r="J102" i="1"/>
  <c r="J101" i="1"/>
  <c r="J100" i="1"/>
  <c r="J99" i="1"/>
  <c r="J93" i="1"/>
  <c r="J89" i="1"/>
  <c r="J87" i="1"/>
  <c r="J83" i="1"/>
  <c r="J81" i="1"/>
  <c r="J79" i="1"/>
  <c r="J91" i="1"/>
  <c r="J84" i="1"/>
  <c r="J80" i="1"/>
  <c r="J88" i="1"/>
  <c r="J82" i="1"/>
  <c r="J103" i="1"/>
  <c r="M119" i="1"/>
  <c r="M110" i="1"/>
  <c r="M116" i="1"/>
  <c r="M87" i="1"/>
  <c r="K104" i="1"/>
  <c r="L93" i="1"/>
  <c r="L91" i="1"/>
  <c r="L89" i="1"/>
  <c r="L88" i="1"/>
  <c r="L87" i="1"/>
  <c r="L84" i="1"/>
  <c r="L83" i="1"/>
  <c r="L82" i="1"/>
  <c r="L81" i="1"/>
  <c r="L80" i="1"/>
  <c r="L79" i="1"/>
  <c r="L78" i="1"/>
  <c r="L128" i="1"/>
  <c r="L123" i="1"/>
  <c r="L119" i="1"/>
  <c r="L117" i="1"/>
  <c r="L115" i="1"/>
  <c r="L112" i="1"/>
  <c r="L110" i="1"/>
  <c r="L108" i="1"/>
  <c r="L102" i="1"/>
  <c r="L100" i="1"/>
  <c r="L98" i="1"/>
  <c r="L122" i="1"/>
  <c r="L114" i="1"/>
  <c r="L103" i="1"/>
  <c r="L96" i="1"/>
  <c r="L125" i="1"/>
  <c r="L116" i="1"/>
  <c r="L105" i="1"/>
  <c r="L129" i="1"/>
  <c r="L118" i="1"/>
  <c r="L109" i="1"/>
  <c r="L99" i="1"/>
  <c r="L131" i="1"/>
  <c r="L111" i="1"/>
  <c r="L101" i="1"/>
  <c r="J104" i="1"/>
  <c r="J169" i="1"/>
  <c r="J172" i="1" s="1"/>
  <c r="J216" i="1" s="1"/>
  <c r="J205" i="1"/>
  <c r="I169" i="1"/>
  <c r="L169" i="1"/>
  <c r="L172" i="1" s="1"/>
  <c r="L216" i="1" s="1"/>
  <c r="L205" i="1"/>
  <c r="K66" i="1"/>
  <c r="K132" i="1" s="1"/>
  <c r="M169" i="1"/>
  <c r="L66" i="1"/>
  <c r="L132" i="1" s="1"/>
  <c r="J66" i="1"/>
  <c r="J132" i="1" s="1"/>
  <c r="I271" i="1"/>
  <c r="I77" i="1"/>
  <c r="I97" i="1"/>
  <c r="K77" i="1"/>
  <c r="K97" i="1"/>
  <c r="K271" i="1"/>
  <c r="L271" i="1"/>
  <c r="L257" i="1"/>
  <c r="L77" i="1"/>
  <c r="L97" i="1"/>
  <c r="K169" i="1"/>
  <c r="J77" i="1"/>
  <c r="J271" i="1"/>
  <c r="J97" i="1"/>
  <c r="K257" i="1"/>
  <c r="J257" i="1"/>
  <c r="M269" i="1" l="1"/>
  <c r="M270" i="1"/>
  <c r="M98" i="1"/>
  <c r="M129" i="1"/>
  <c r="M77" i="1"/>
  <c r="M83" i="1"/>
  <c r="M82" i="1"/>
  <c r="M105" i="1"/>
  <c r="I213" i="1"/>
  <c r="J275" i="1"/>
  <c r="I269" i="1"/>
  <c r="I246" i="1"/>
  <c r="I270" i="1"/>
  <c r="M103" i="1"/>
  <c r="M271" i="1"/>
  <c r="M242" i="1"/>
  <c r="K213" i="1"/>
  <c r="K246" i="1"/>
  <c r="K269" i="1"/>
  <c r="K270" i="1"/>
  <c r="M89" i="1"/>
  <c r="M93" i="1"/>
  <c r="M109" i="1"/>
  <c r="M118" i="1"/>
  <c r="M131" i="1"/>
  <c r="M84" i="1"/>
  <c r="M100" i="1"/>
  <c r="M112" i="1"/>
  <c r="M123" i="1"/>
  <c r="J213" i="1"/>
  <c r="K275" i="1"/>
  <c r="J246" i="1"/>
  <c r="J269" i="1"/>
  <c r="J270" i="1"/>
  <c r="M96" i="1"/>
  <c r="M99" i="1"/>
  <c r="M111" i="1"/>
  <c r="M122" i="1"/>
  <c r="M78" i="1"/>
  <c r="M88" i="1"/>
  <c r="M102" i="1"/>
  <c r="M115" i="1"/>
  <c r="M128" i="1"/>
  <c r="M104" i="1"/>
  <c r="M97" i="1"/>
  <c r="M213" i="1"/>
  <c r="M246" i="1"/>
  <c r="L213" i="1"/>
  <c r="L269" i="1"/>
  <c r="L246" i="1"/>
  <c r="L270" i="1"/>
  <c r="M79" i="1"/>
  <c r="M81" i="1"/>
  <c r="M101" i="1"/>
  <c r="M114" i="1"/>
  <c r="M125" i="1"/>
  <c r="M80" i="1"/>
  <c r="M91" i="1"/>
  <c r="M108" i="1"/>
  <c r="M117" i="1"/>
  <c r="M132" i="1"/>
  <c r="M257" i="1"/>
  <c r="I172" i="1"/>
  <c r="I216" i="1" s="1"/>
  <c r="M172" i="1"/>
  <c r="M216" i="1" s="1"/>
  <c r="L176" i="1"/>
  <c r="J176" i="1"/>
  <c r="K172" i="1"/>
  <c r="K216" i="1" s="1"/>
  <c r="L220" i="1" l="1"/>
  <c r="L249" i="1"/>
  <c r="J220" i="1"/>
  <c r="K276" i="1"/>
  <c r="J249" i="1"/>
  <c r="I176" i="1"/>
  <c r="L247" i="1"/>
  <c r="L8" i="11"/>
  <c r="L30" i="11" s="1"/>
  <c r="L56" i="11" s="1"/>
  <c r="L250" i="1"/>
  <c r="L248" i="1"/>
  <c r="M176" i="1"/>
  <c r="J247" i="1"/>
  <c r="J8" i="11"/>
  <c r="J274" i="1"/>
  <c r="J250" i="1"/>
  <c r="J248" i="1"/>
  <c r="K176" i="1"/>
  <c r="R69" i="1"/>
  <c r="Q68" i="1"/>
  <c r="H245" i="1"/>
  <c r="M220" i="1" l="1"/>
  <c r="M249" i="1"/>
  <c r="M248" i="1"/>
  <c r="K220" i="1"/>
  <c r="K274" i="1"/>
  <c r="K249" i="1"/>
  <c r="I220" i="1"/>
  <c r="J276" i="1"/>
  <c r="I247" i="1"/>
  <c r="I274" i="1"/>
  <c r="I8" i="11"/>
  <c r="I30" i="11" s="1"/>
  <c r="I56" i="11" s="1"/>
  <c r="M8" i="11"/>
  <c r="M30" i="11" s="1"/>
  <c r="M56" i="11" s="1"/>
  <c r="M247" i="1"/>
  <c r="J30" i="11"/>
  <c r="K8" i="11"/>
  <c r="K30" i="11" s="1"/>
  <c r="K56" i="11" s="1"/>
  <c r="K247" i="1"/>
  <c r="K250" i="1"/>
  <c r="K248" i="1"/>
  <c r="AB15" i="1"/>
  <c r="U15" i="1"/>
  <c r="T15" i="1"/>
  <c r="S15" i="1"/>
  <c r="R15" i="1"/>
  <c r="Q15" i="1"/>
  <c r="U14" i="1"/>
  <c r="T14" i="1"/>
  <c r="S14" i="1"/>
  <c r="R14" i="1"/>
  <c r="Q14" i="1"/>
  <c r="V14" i="1"/>
  <c r="S8" i="1"/>
  <c r="R8" i="1"/>
  <c r="Q8" i="1"/>
  <c r="AB8" i="1"/>
  <c r="T11" i="1"/>
  <c r="G54" i="11" l="1"/>
  <c r="H54" i="11"/>
  <c r="G41" i="11"/>
  <c r="H41" i="11"/>
  <c r="AB11" i="1"/>
  <c r="N167" i="1"/>
  <c r="N146" i="1"/>
  <c r="N65" i="1"/>
  <c r="N57" i="1"/>
  <c r="N46" i="1"/>
  <c r="N245" i="1"/>
  <c r="N142" i="1"/>
  <c r="N186" i="1" s="1"/>
  <c r="N230" i="1" s="1"/>
  <c r="N141" i="1"/>
  <c r="N74" i="1"/>
  <c r="N73" i="1"/>
  <c r="N23" i="1"/>
  <c r="N27" i="1" s="1"/>
  <c r="AB14" i="1"/>
  <c r="N185" i="1" l="1"/>
  <c r="N229" i="1" s="1"/>
  <c r="N6" i="11"/>
  <c r="N211" i="1"/>
  <c r="N218" i="1"/>
  <c r="N217" i="1"/>
  <c r="N215" i="1"/>
  <c r="N207" i="1"/>
  <c r="N203" i="1"/>
  <c r="N202" i="1"/>
  <c r="N201" i="1"/>
  <c r="N200" i="1"/>
  <c r="N199" i="1"/>
  <c r="N198" i="1"/>
  <c r="N197" i="1"/>
  <c r="N196" i="1"/>
  <c r="N195" i="1"/>
  <c r="N194" i="1"/>
  <c r="N210" i="1"/>
  <c r="N209" i="1"/>
  <c r="N208" i="1"/>
  <c r="N188" i="1"/>
  <c r="N190" i="1"/>
  <c r="N160" i="1"/>
  <c r="N18" i="1"/>
  <c r="N233" i="1" s="1"/>
  <c r="N234" i="1"/>
  <c r="N254" i="1"/>
  <c r="N261" i="1"/>
  <c r="N189" i="1"/>
  <c r="N193" i="1"/>
  <c r="N239" i="1"/>
  <c r="N59" i="1"/>
  <c r="N266" i="1"/>
  <c r="N240" i="1"/>
  <c r="N260" i="1"/>
  <c r="N265" i="1"/>
  <c r="N38" i="1" l="1"/>
  <c r="N161" i="1"/>
  <c r="N205" i="1" s="1"/>
  <c r="N204" i="1"/>
  <c r="N39" i="1"/>
  <c r="N103" i="1" s="1"/>
  <c r="N66" i="1"/>
  <c r="N238" i="1"/>
  <c r="V163" i="1"/>
  <c r="U163" i="1"/>
  <c r="T163" i="1"/>
  <c r="S163" i="1"/>
  <c r="R163" i="1"/>
  <c r="V157" i="1"/>
  <c r="U157" i="1"/>
  <c r="T157" i="1"/>
  <c r="S157" i="1"/>
  <c r="AC54" i="1" l="1"/>
  <c r="N132" i="1"/>
  <c r="N131" i="1"/>
  <c r="N130" i="1"/>
  <c r="N129" i="1"/>
  <c r="N128" i="1"/>
  <c r="N125" i="1"/>
  <c r="N123" i="1"/>
  <c r="N122" i="1"/>
  <c r="N119" i="1"/>
  <c r="N118" i="1"/>
  <c r="N116" i="1"/>
  <c r="N115" i="1"/>
  <c r="N114" i="1"/>
  <c r="N112" i="1"/>
  <c r="N111" i="1"/>
  <c r="N110" i="1"/>
  <c r="N109" i="1"/>
  <c r="N108" i="1"/>
  <c r="N105" i="1"/>
  <c r="N102" i="1"/>
  <c r="N101" i="1"/>
  <c r="N100" i="1"/>
  <c r="N99" i="1"/>
  <c r="N98" i="1"/>
  <c r="N96" i="1"/>
  <c r="N91" i="1"/>
  <c r="N88" i="1"/>
  <c r="N84" i="1"/>
  <c r="N82" i="1"/>
  <c r="N80" i="1"/>
  <c r="N78" i="1"/>
  <c r="N93" i="1"/>
  <c r="N87" i="1"/>
  <c r="N81" i="1"/>
  <c r="N89" i="1"/>
  <c r="N83" i="1"/>
  <c r="N79" i="1"/>
  <c r="N104" i="1"/>
  <c r="AB62" i="1"/>
  <c r="AB63" i="1" s="1"/>
  <c r="N172" i="1"/>
  <c r="N216" i="1" s="1"/>
  <c r="N77" i="1"/>
  <c r="N97" i="1"/>
  <c r="N271" i="1"/>
  <c r="C245" i="1"/>
  <c r="G245" i="1"/>
  <c r="F245" i="1"/>
  <c r="E245" i="1"/>
  <c r="D245" i="1"/>
  <c r="N270" i="1" l="1"/>
  <c r="N246" i="1"/>
  <c r="N241" i="1"/>
  <c r="N213" i="1"/>
  <c r="N269" i="1"/>
  <c r="N176" i="1"/>
  <c r="N8" i="11" l="1"/>
  <c r="N30" i="11" s="1"/>
  <c r="N56" i="11" s="1"/>
  <c r="N220" i="1"/>
  <c r="N242" i="1"/>
  <c r="N247" i="1"/>
  <c r="A189" i="1"/>
  <c r="D164" i="1"/>
  <c r="C164" i="1"/>
  <c r="D158" i="1"/>
  <c r="C158" i="1"/>
  <c r="D156" i="1"/>
  <c r="C156" i="1"/>
  <c r="D45" i="1"/>
  <c r="C45" i="1"/>
  <c r="D65" i="1"/>
  <c r="C65" i="1"/>
  <c r="D36" i="1"/>
  <c r="C36" i="1"/>
  <c r="D11" i="1"/>
  <c r="C11" i="1"/>
  <c r="Q11" i="1" s="1"/>
  <c r="E45" i="1"/>
  <c r="E65" i="1"/>
  <c r="E36" i="1"/>
  <c r="E37" i="1" s="1"/>
  <c r="E11" i="1"/>
  <c r="S11" i="1" s="1"/>
  <c r="R11" i="1" l="1"/>
  <c r="G45" i="1"/>
  <c r="G46" i="1" s="1"/>
  <c r="F45" i="1"/>
  <c r="F46" i="1" s="1"/>
  <c r="F17" i="1"/>
  <c r="F18" i="1" s="1"/>
  <c r="F36" i="1"/>
  <c r="F37" i="1" s="1"/>
  <c r="F174" i="1"/>
  <c r="F158" i="1"/>
  <c r="F156" i="1"/>
  <c r="F65" i="1"/>
  <c r="F261" i="1" s="1"/>
  <c r="H65" i="1"/>
  <c r="G65" i="1"/>
  <c r="H57" i="1"/>
  <c r="G57" i="1"/>
  <c r="F57" i="1"/>
  <c r="G36" i="1"/>
  <c r="G37" i="1" s="1"/>
  <c r="G11" i="1"/>
  <c r="G18" i="1" s="1"/>
  <c r="F8" i="1"/>
  <c r="H167" i="1"/>
  <c r="G167" i="1"/>
  <c r="H146" i="1"/>
  <c r="H160" i="1"/>
  <c r="H23" i="1"/>
  <c r="O23" i="1" s="1"/>
  <c r="G23" i="1"/>
  <c r="G27" i="1" s="1"/>
  <c r="F23" i="1"/>
  <c r="F27" i="1" s="1"/>
  <c r="H18" i="1"/>
  <c r="C146" i="1"/>
  <c r="C222" i="1" s="1"/>
  <c r="E146" i="1"/>
  <c r="S44" i="1" s="1"/>
  <c r="E156" i="1"/>
  <c r="E158" i="1"/>
  <c r="E164" i="1"/>
  <c r="E167" i="1" s="1"/>
  <c r="D146" i="1"/>
  <c r="R44" i="1" s="1"/>
  <c r="F146" i="1"/>
  <c r="G146" i="1"/>
  <c r="G202" i="1" s="1"/>
  <c r="A183" i="1"/>
  <c r="A182" i="1"/>
  <c r="B42" i="1"/>
  <c r="B48" i="1"/>
  <c r="B57" i="1" s="1"/>
  <c r="B62" i="1"/>
  <c r="B63" i="1"/>
  <c r="E23" i="1"/>
  <c r="E27" i="1" s="1"/>
  <c r="B21" i="1"/>
  <c r="B23" i="1" s="1"/>
  <c r="B27" i="1" s="1"/>
  <c r="R157" i="1"/>
  <c r="E57" i="1"/>
  <c r="B11" i="1"/>
  <c r="D167" i="1"/>
  <c r="F167" i="1"/>
  <c r="C163" i="1"/>
  <c r="U48" i="1"/>
  <c r="R48" i="1"/>
  <c r="S48" i="1"/>
  <c r="T48" i="1"/>
  <c r="B14" i="1"/>
  <c r="B45" i="1"/>
  <c r="C57" i="1"/>
  <c r="D57" i="1"/>
  <c r="C23" i="1"/>
  <c r="C27" i="1" s="1"/>
  <c r="D23" i="1"/>
  <c r="D27" i="1" s="1"/>
  <c r="C37" i="1"/>
  <c r="D37" i="1"/>
  <c r="B15" i="1"/>
  <c r="B17" i="1"/>
  <c r="O140" i="1"/>
  <c r="B36" i="1"/>
  <c r="B37" i="1" s="1"/>
  <c r="B74" i="1"/>
  <c r="E186" i="1"/>
  <c r="E230" i="1" s="1"/>
  <c r="D186" i="1"/>
  <c r="D230" i="1" s="1"/>
  <c r="C142" i="1"/>
  <c r="C186" i="1" s="1"/>
  <c r="C230" i="1" s="1"/>
  <c r="A228" i="1"/>
  <c r="AB216" i="1"/>
  <c r="A193" i="1"/>
  <c r="A190" i="1"/>
  <c r="A188" i="1"/>
  <c r="O185" i="1"/>
  <c r="A139" i="1"/>
  <c r="A93" i="1"/>
  <c r="A77" i="1"/>
  <c r="C74" i="1"/>
  <c r="O73" i="1"/>
  <c r="G233" i="1" l="1"/>
  <c r="O18" i="1"/>
  <c r="H253" i="1"/>
  <c r="H265" i="1"/>
  <c r="H238" i="1"/>
  <c r="H260" i="1"/>
  <c r="H266" i="1"/>
  <c r="O65" i="1"/>
  <c r="H261" i="1"/>
  <c r="I249" i="1"/>
  <c r="F202" i="1"/>
  <c r="O57" i="1"/>
  <c r="F189" i="1"/>
  <c r="H207" i="1"/>
  <c r="H203" i="1"/>
  <c r="H202" i="1"/>
  <c r="H201" i="1"/>
  <c r="H200" i="1"/>
  <c r="H199" i="1"/>
  <c r="H198" i="1"/>
  <c r="H197" i="1"/>
  <c r="H196" i="1"/>
  <c r="H195" i="1"/>
  <c r="H194" i="1"/>
  <c r="O188" i="1"/>
  <c r="O146" i="1"/>
  <c r="H210" i="1"/>
  <c r="H209" i="1"/>
  <c r="O207" i="1"/>
  <c r="O203" i="1"/>
  <c r="O202" i="1"/>
  <c r="O201" i="1"/>
  <c r="O200" i="1"/>
  <c r="O199" i="1"/>
  <c r="O198" i="1"/>
  <c r="O197" i="1"/>
  <c r="O196" i="1"/>
  <c r="O195" i="1"/>
  <c r="O193" i="1"/>
  <c r="O218" i="1"/>
  <c r="O217" i="1"/>
  <c r="O215" i="1"/>
  <c r="O210" i="1"/>
  <c r="O209" i="1"/>
  <c r="O208" i="1"/>
  <c r="O190" i="1"/>
  <c r="O189" i="1"/>
  <c r="H208" i="1"/>
  <c r="H218" i="1"/>
  <c r="H217" i="1"/>
  <c r="H215" i="1"/>
  <c r="T44" i="1"/>
  <c r="H211" i="1"/>
  <c r="O211" i="1"/>
  <c r="O167" i="1"/>
  <c r="O204" i="1"/>
  <c r="O160" i="1"/>
  <c r="H204" i="1"/>
  <c r="G201" i="1"/>
  <c r="G211" i="1"/>
  <c r="F199" i="1"/>
  <c r="I235" i="1"/>
  <c r="I250" i="1"/>
  <c r="E207" i="1"/>
  <c r="F201" i="1"/>
  <c r="F193" i="1"/>
  <c r="F207" i="1"/>
  <c r="E254" i="1"/>
  <c r="F211" i="1"/>
  <c r="A226" i="1"/>
  <c r="D189" i="1"/>
  <c r="D193" i="1"/>
  <c r="G208" i="1"/>
  <c r="D208" i="1"/>
  <c r="E211" i="1"/>
  <c r="E202" i="1"/>
  <c r="E190" i="1"/>
  <c r="G256" i="1"/>
  <c r="G200" i="1"/>
  <c r="F266" i="1"/>
  <c r="H46" i="1"/>
  <c r="I255" i="1" s="1"/>
  <c r="F160" i="1"/>
  <c r="F161" i="1" s="1"/>
  <c r="F205" i="1" s="1"/>
  <c r="F200" i="1"/>
  <c r="F190" i="1"/>
  <c r="F188" i="1"/>
  <c r="F208" i="1"/>
  <c r="D188" i="1"/>
  <c r="E200" i="1"/>
  <c r="D201" i="1"/>
  <c r="G199" i="1"/>
  <c r="E199" i="1"/>
  <c r="E253" i="1"/>
  <c r="E235" i="1"/>
  <c r="S43" i="1"/>
  <c r="A70" i="1"/>
  <c r="A137" i="1"/>
  <c r="E188" i="1"/>
  <c r="E189" i="1"/>
  <c r="D190" i="1"/>
  <c r="E193" i="1"/>
  <c r="D199" i="1"/>
  <c r="D200" i="1"/>
  <c r="E201" i="1"/>
  <c r="D202" i="1"/>
  <c r="D207" i="1"/>
  <c r="E208" i="1"/>
  <c r="D211" i="1"/>
  <c r="G207" i="1"/>
  <c r="G193" i="1"/>
  <c r="G190" i="1"/>
  <c r="G189" i="1"/>
  <c r="G188" i="1"/>
  <c r="D254" i="1"/>
  <c r="F235" i="1"/>
  <c r="B46" i="1"/>
  <c r="B234" i="1" s="1"/>
  <c r="R43" i="1"/>
  <c r="D38" i="1"/>
  <c r="N249" i="1"/>
  <c r="N250" i="1"/>
  <c r="Q146" i="1"/>
  <c r="D222" i="1"/>
  <c r="H27" i="1"/>
  <c r="N256" i="1"/>
  <c r="N235" i="1"/>
  <c r="G234" i="1"/>
  <c r="U11" i="1"/>
  <c r="Q163" i="1"/>
  <c r="AC163" i="1" s="1"/>
  <c r="F74" i="1"/>
  <c r="T8" i="1"/>
  <c r="V11" i="1"/>
  <c r="N253" i="1"/>
  <c r="Q5" i="1"/>
  <c r="F260" i="1"/>
  <c r="F234" i="1"/>
  <c r="F233" i="1"/>
  <c r="G255" i="1"/>
  <c r="G254" i="1"/>
  <c r="G253" i="1"/>
  <c r="H235" i="1"/>
  <c r="F253" i="1"/>
  <c r="G235" i="1"/>
  <c r="F254" i="1"/>
  <c r="E160" i="1"/>
  <c r="E204" i="1" s="1"/>
  <c r="F215" i="1"/>
  <c r="G222" i="1"/>
  <c r="H254" i="1"/>
  <c r="G240" i="1"/>
  <c r="G239" i="1"/>
  <c r="G266" i="1"/>
  <c r="G265" i="1"/>
  <c r="G260" i="1"/>
  <c r="G261" i="1"/>
  <c r="G215" i="1"/>
  <c r="F222" i="1"/>
  <c r="F256" i="1"/>
  <c r="D215" i="1"/>
  <c r="E215" i="1"/>
  <c r="E222" i="1"/>
  <c r="H188" i="1"/>
  <c r="H190" i="1"/>
  <c r="C215" i="1"/>
  <c r="H189" i="1"/>
  <c r="H193" i="1"/>
  <c r="D160" i="1"/>
  <c r="D161" i="1" s="1"/>
  <c r="E265" i="1"/>
  <c r="D261" i="1"/>
  <c r="Q48" i="1"/>
  <c r="C160" i="1"/>
  <c r="C161" i="1" s="1"/>
  <c r="E256" i="1"/>
  <c r="C38" i="1"/>
  <c r="Q43" i="1"/>
  <c r="D235" i="1"/>
  <c r="C256" i="1"/>
  <c r="C189" i="1"/>
  <c r="C193" i="1"/>
  <c r="C200" i="1"/>
  <c r="C202" i="1"/>
  <c r="C207" i="1"/>
  <c r="C209" i="1"/>
  <c r="Q44" i="1"/>
  <c r="C235" i="1"/>
  <c r="C254" i="1"/>
  <c r="C188" i="1"/>
  <c r="C190" i="1"/>
  <c r="C199" i="1"/>
  <c r="C201" i="1"/>
  <c r="C203" i="1"/>
  <c r="C208" i="1"/>
  <c r="C210" i="1"/>
  <c r="B38" i="1"/>
  <c r="E18" i="1"/>
  <c r="E39" i="1" s="1"/>
  <c r="E271" i="1" s="1"/>
  <c r="E46" i="1"/>
  <c r="E234" i="1" s="1"/>
  <c r="F59" i="1"/>
  <c r="F66" i="1" s="1"/>
  <c r="C253" i="1"/>
  <c r="C167" i="1"/>
  <c r="C211" i="1" s="1"/>
  <c r="B65" i="1"/>
  <c r="D265" i="1"/>
  <c r="F240" i="1"/>
  <c r="F38" i="1"/>
  <c r="B18" i="1"/>
  <c r="C46" i="1"/>
  <c r="G39" i="1"/>
  <c r="G8" i="1"/>
  <c r="F142" i="1"/>
  <c r="F186" i="1" s="1"/>
  <c r="F230" i="1" s="1"/>
  <c r="Q157" i="1"/>
  <c r="AC157" i="1" s="1"/>
  <c r="F39" i="1"/>
  <c r="F121" i="1" s="1"/>
  <c r="G160" i="1"/>
  <c r="G161" i="1" s="1"/>
  <c r="G205" i="1" s="1"/>
  <c r="H161" i="1"/>
  <c r="G59" i="1"/>
  <c r="G238" i="1" s="1"/>
  <c r="U44" i="1"/>
  <c r="F265" i="1"/>
  <c r="G38" i="1"/>
  <c r="F239" i="1"/>
  <c r="D239" i="1"/>
  <c r="D18" i="1"/>
  <c r="D256" i="1"/>
  <c r="D46" i="1"/>
  <c r="D234" i="1" s="1"/>
  <c r="C18" i="1"/>
  <c r="D253" i="1"/>
  <c r="E38" i="1"/>
  <c r="E240" i="1"/>
  <c r="C240" i="1"/>
  <c r="E260" i="1"/>
  <c r="E261" i="1"/>
  <c r="D266" i="1"/>
  <c r="O27" i="1" l="1"/>
  <c r="I256" i="1"/>
  <c r="H256" i="1"/>
  <c r="U8" i="1"/>
  <c r="G7" i="11"/>
  <c r="H7" i="11" s="1"/>
  <c r="I7" i="11" s="1"/>
  <c r="J7" i="11" s="1"/>
  <c r="K7" i="11" s="1"/>
  <c r="L7" i="11" s="1"/>
  <c r="M7" i="11" s="1"/>
  <c r="O46" i="1"/>
  <c r="H234" i="1"/>
  <c r="O205" i="1"/>
  <c r="O161" i="1"/>
  <c r="H205" i="1"/>
  <c r="G169" i="1"/>
  <c r="H275" i="1" s="1"/>
  <c r="F169" i="1"/>
  <c r="G275" i="1" s="1"/>
  <c r="H169" i="1"/>
  <c r="R5" i="1"/>
  <c r="H39" i="1"/>
  <c r="H38" i="1"/>
  <c r="Q193" i="1"/>
  <c r="H233" i="1"/>
  <c r="H59" i="1"/>
  <c r="E161" i="1"/>
  <c r="N255" i="1"/>
  <c r="H240" i="1"/>
  <c r="F204" i="1"/>
  <c r="G104" i="1"/>
  <c r="B59" i="1"/>
  <c r="B66" i="1" s="1"/>
  <c r="AB157" i="1"/>
  <c r="AC11" i="1"/>
  <c r="F246" i="1"/>
  <c r="B266" i="1"/>
  <c r="F271" i="1"/>
  <c r="U54" i="1"/>
  <c r="G93" i="1"/>
  <c r="V54" i="1"/>
  <c r="G271" i="1"/>
  <c r="T54" i="1"/>
  <c r="C255" i="1"/>
  <c r="G66" i="1"/>
  <c r="G257" i="1"/>
  <c r="D204" i="1"/>
  <c r="C204" i="1"/>
  <c r="D260" i="1"/>
  <c r="D240" i="1"/>
  <c r="F255" i="1"/>
  <c r="E239" i="1"/>
  <c r="E266" i="1"/>
  <c r="E233" i="1"/>
  <c r="E121" i="1"/>
  <c r="F257" i="1"/>
  <c r="C169" i="1"/>
  <c r="D275" i="1" s="1"/>
  <c r="G125" i="1"/>
  <c r="C261" i="1"/>
  <c r="E59" i="1"/>
  <c r="E125" i="1" s="1"/>
  <c r="B265" i="1"/>
  <c r="G111" i="1"/>
  <c r="G112" i="1"/>
  <c r="G77" i="1"/>
  <c r="G123" i="1"/>
  <c r="G128" i="1"/>
  <c r="G114" i="1"/>
  <c r="G110" i="1"/>
  <c r="G109" i="1"/>
  <c r="G108" i="1"/>
  <c r="G105" i="1"/>
  <c r="G99" i="1"/>
  <c r="G97" i="1"/>
  <c r="G91" i="1"/>
  <c r="G88" i="1"/>
  <c r="G87" i="1"/>
  <c r="G83" i="1"/>
  <c r="G81" i="1"/>
  <c r="G80" i="1"/>
  <c r="G121" i="1"/>
  <c r="C59" i="1"/>
  <c r="C66" i="1" s="1"/>
  <c r="G89" i="1"/>
  <c r="G103" i="1"/>
  <c r="G102" i="1"/>
  <c r="G84" i="1"/>
  <c r="G131" i="1"/>
  <c r="C260" i="1"/>
  <c r="C266" i="1"/>
  <c r="C234" i="1"/>
  <c r="G204" i="1"/>
  <c r="B260" i="1"/>
  <c r="V44" i="1"/>
  <c r="B261" i="1"/>
  <c r="C205" i="1"/>
  <c r="B240" i="1"/>
  <c r="B239" i="1"/>
  <c r="D169" i="1"/>
  <c r="E275" i="1" s="1"/>
  <c r="D205" i="1"/>
  <c r="B233" i="1"/>
  <c r="B39" i="1"/>
  <c r="B271" i="1" s="1"/>
  <c r="C265" i="1"/>
  <c r="C239" i="1"/>
  <c r="H8" i="1"/>
  <c r="I8" i="1" s="1"/>
  <c r="G142" i="1"/>
  <c r="G186" i="1" s="1"/>
  <c r="G230" i="1" s="1"/>
  <c r="G74" i="1"/>
  <c r="E104" i="1"/>
  <c r="D255" i="1"/>
  <c r="C233" i="1"/>
  <c r="C39" i="1"/>
  <c r="F77" i="1"/>
  <c r="F81" i="1"/>
  <c r="F84" i="1"/>
  <c r="F88" i="1"/>
  <c r="F89" i="1"/>
  <c r="F93" i="1"/>
  <c r="F99" i="1"/>
  <c r="F103" i="1"/>
  <c r="F105" i="1"/>
  <c r="F109" i="1"/>
  <c r="F110" i="1"/>
  <c r="F111" i="1"/>
  <c r="F114" i="1"/>
  <c r="F128" i="1"/>
  <c r="F131" i="1"/>
  <c r="F80" i="1"/>
  <c r="F83" i="1"/>
  <c r="F87" i="1"/>
  <c r="F91" i="1"/>
  <c r="F97" i="1"/>
  <c r="F102" i="1"/>
  <c r="F104" i="1"/>
  <c r="F108" i="1"/>
  <c r="F112" i="1"/>
  <c r="F123" i="1"/>
  <c r="D39" i="1"/>
  <c r="E255" i="1"/>
  <c r="D233" i="1"/>
  <c r="F238" i="1"/>
  <c r="F132" i="1"/>
  <c r="F125" i="1"/>
  <c r="E131" i="1"/>
  <c r="E128" i="1"/>
  <c r="E111" i="1"/>
  <c r="E110" i="1"/>
  <c r="E109" i="1"/>
  <c r="E108" i="1"/>
  <c r="E105" i="1"/>
  <c r="E103" i="1"/>
  <c r="E89" i="1"/>
  <c r="E88" i="1"/>
  <c r="E87" i="1"/>
  <c r="E123" i="1"/>
  <c r="E114" i="1"/>
  <c r="E112" i="1"/>
  <c r="E102" i="1"/>
  <c r="E99" i="1"/>
  <c r="E97" i="1"/>
  <c r="E93" i="1"/>
  <c r="E91" i="1"/>
  <c r="E84" i="1"/>
  <c r="E83" i="1"/>
  <c r="E81" i="1"/>
  <c r="E80" i="1"/>
  <c r="E77" i="1"/>
  <c r="D59" i="1"/>
  <c r="C238" i="1" l="1"/>
  <c r="O117" i="1"/>
  <c r="O98" i="1"/>
  <c r="H242" i="1"/>
  <c r="O122" i="1"/>
  <c r="O116" i="1"/>
  <c r="O101" i="1"/>
  <c r="O97" i="1"/>
  <c r="O128" i="1"/>
  <c r="O115" i="1"/>
  <c r="O105" i="1"/>
  <c r="O96" i="1"/>
  <c r="O114" i="1"/>
  <c r="O119" i="1"/>
  <c r="O110" i="1"/>
  <c r="O100" i="1"/>
  <c r="O118" i="1"/>
  <c r="O109" i="1"/>
  <c r="O99" i="1"/>
  <c r="O111" i="1"/>
  <c r="O102" i="1"/>
  <c r="O103" i="1"/>
  <c r="O108" i="1"/>
  <c r="O129" i="1"/>
  <c r="O131" i="1"/>
  <c r="O123" i="1"/>
  <c r="O112" i="1"/>
  <c r="H66" i="1"/>
  <c r="O125" i="1"/>
  <c r="O59" i="1"/>
  <c r="F269" i="1"/>
  <c r="F270" i="1"/>
  <c r="O104" i="1"/>
  <c r="I275" i="1"/>
  <c r="H269" i="1"/>
  <c r="H246" i="1"/>
  <c r="H270" i="1"/>
  <c r="N248" i="1"/>
  <c r="H93" i="1"/>
  <c r="H91" i="1"/>
  <c r="H89" i="1"/>
  <c r="H88" i="1"/>
  <c r="H87" i="1"/>
  <c r="H84" i="1"/>
  <c r="H83" i="1"/>
  <c r="H81" i="1"/>
  <c r="H80" i="1"/>
  <c r="H79" i="1"/>
  <c r="H78" i="1"/>
  <c r="O39" i="1"/>
  <c r="H128" i="1"/>
  <c r="H123" i="1"/>
  <c r="H112" i="1"/>
  <c r="H110" i="1"/>
  <c r="H108" i="1"/>
  <c r="H102" i="1"/>
  <c r="H100" i="1"/>
  <c r="O93" i="1"/>
  <c r="O89" i="1"/>
  <c r="O87" i="1"/>
  <c r="O83" i="1"/>
  <c r="O81" i="1"/>
  <c r="O79" i="1"/>
  <c r="H131" i="1"/>
  <c r="H129" i="1"/>
  <c r="H125" i="1"/>
  <c r="H122" i="1"/>
  <c r="H114" i="1"/>
  <c r="H111" i="1"/>
  <c r="H109" i="1"/>
  <c r="H105" i="1"/>
  <c r="H101" i="1"/>
  <c r="O88" i="1"/>
  <c r="O82" i="1"/>
  <c r="O78" i="1"/>
  <c r="O77" i="1"/>
  <c r="H99" i="1"/>
  <c r="O91" i="1"/>
  <c r="O84" i="1"/>
  <c r="O80" i="1"/>
  <c r="H103" i="1"/>
  <c r="H104" i="1"/>
  <c r="O38" i="1"/>
  <c r="F213" i="1"/>
  <c r="F172" i="1"/>
  <c r="F216" i="1" s="1"/>
  <c r="H213" i="1"/>
  <c r="O213" i="1"/>
  <c r="O169" i="1"/>
  <c r="F241" i="1"/>
  <c r="T62" i="1"/>
  <c r="T63" i="1" s="1"/>
  <c r="H172" i="1"/>
  <c r="H271" i="1"/>
  <c r="J8" i="1"/>
  <c r="I142" i="1"/>
  <c r="I186" i="1" s="1"/>
  <c r="I230" i="1" s="1"/>
  <c r="I74" i="1"/>
  <c r="G132" i="1"/>
  <c r="G67" i="1"/>
  <c r="N257" i="1"/>
  <c r="AD54" i="1"/>
  <c r="I257" i="1"/>
  <c r="I248" i="1"/>
  <c r="H77" i="1"/>
  <c r="H97" i="1"/>
  <c r="H257" i="1"/>
  <c r="C241" i="1"/>
  <c r="E205" i="1"/>
  <c r="E169" i="1"/>
  <c r="B132" i="1"/>
  <c r="B238" i="1"/>
  <c r="C271" i="1"/>
  <c r="R54" i="1"/>
  <c r="G270" i="1"/>
  <c r="G269" i="1"/>
  <c r="U62" i="1"/>
  <c r="U63" i="1" s="1"/>
  <c r="V8" i="1"/>
  <c r="V62" i="1"/>
  <c r="V63" i="1" s="1"/>
  <c r="C246" i="1"/>
  <c r="C269" i="1"/>
  <c r="Q62" i="1"/>
  <c r="Q63" i="1" s="1"/>
  <c r="D271" i="1"/>
  <c r="S54" i="1"/>
  <c r="D269" i="1"/>
  <c r="R62" i="1"/>
  <c r="R63" i="1" s="1"/>
  <c r="D241" i="1"/>
  <c r="D66" i="1"/>
  <c r="D238" i="1"/>
  <c r="G241" i="1"/>
  <c r="G246" i="1"/>
  <c r="D172" i="1"/>
  <c r="D176" i="1" s="1"/>
  <c r="D8" i="11" s="1"/>
  <c r="D30" i="11" s="1"/>
  <c r="D56" i="11" s="1"/>
  <c r="D246" i="1"/>
  <c r="E66" i="1"/>
  <c r="E238" i="1"/>
  <c r="D84" i="1"/>
  <c r="D121" i="1"/>
  <c r="C84" i="1"/>
  <c r="C121" i="1"/>
  <c r="B84" i="1"/>
  <c r="B121" i="1"/>
  <c r="C172" i="1"/>
  <c r="C213" i="1"/>
  <c r="D213" i="1"/>
  <c r="H74" i="1"/>
  <c r="H142" i="1"/>
  <c r="H186" i="1" s="1"/>
  <c r="H230" i="1" s="1"/>
  <c r="G172" i="1"/>
  <c r="B80" i="1"/>
  <c r="B83" i="1"/>
  <c r="B87" i="1"/>
  <c r="B91" i="1"/>
  <c r="B97" i="1"/>
  <c r="B102" i="1"/>
  <c r="B104" i="1"/>
  <c r="B108" i="1"/>
  <c r="B112" i="1"/>
  <c r="B123" i="1"/>
  <c r="B129" i="1"/>
  <c r="B77" i="1"/>
  <c r="B81" i="1"/>
  <c r="B88" i="1"/>
  <c r="B89" i="1"/>
  <c r="B93" i="1"/>
  <c r="B99" i="1"/>
  <c r="B103" i="1"/>
  <c r="B105" i="1"/>
  <c r="B109" i="1"/>
  <c r="B110" i="1"/>
  <c r="B111" i="1"/>
  <c r="B114" i="1"/>
  <c r="B122" i="1"/>
  <c r="B128" i="1"/>
  <c r="B125" i="1"/>
  <c r="B131" i="1"/>
  <c r="D125" i="1"/>
  <c r="D123" i="1"/>
  <c r="D114" i="1"/>
  <c r="D104" i="1"/>
  <c r="D102" i="1"/>
  <c r="D99" i="1"/>
  <c r="D97" i="1"/>
  <c r="D93" i="1"/>
  <c r="D91" i="1"/>
  <c r="D81" i="1"/>
  <c r="D80" i="1"/>
  <c r="E257" i="1"/>
  <c r="D83" i="1"/>
  <c r="D131" i="1"/>
  <c r="D128" i="1"/>
  <c r="D111" i="1"/>
  <c r="D110" i="1"/>
  <c r="D109" i="1"/>
  <c r="D108" i="1"/>
  <c r="D105" i="1"/>
  <c r="D103" i="1"/>
  <c r="D89" i="1"/>
  <c r="D88" i="1"/>
  <c r="D87" i="1"/>
  <c r="D77" i="1"/>
  <c r="G213" i="1"/>
  <c r="D257" i="1"/>
  <c r="C257" i="1"/>
  <c r="C83" i="1"/>
  <c r="C132" i="1"/>
  <c r="C131" i="1"/>
  <c r="C129" i="1"/>
  <c r="C128" i="1"/>
  <c r="C111" i="1"/>
  <c r="C110" i="1"/>
  <c r="C109" i="1"/>
  <c r="C108" i="1"/>
  <c r="C105" i="1"/>
  <c r="C103" i="1"/>
  <c r="C87" i="1"/>
  <c r="C89" i="1"/>
  <c r="C88" i="1"/>
  <c r="C125" i="1"/>
  <c r="C123" i="1"/>
  <c r="C122" i="1"/>
  <c r="C114" i="1"/>
  <c r="C112" i="1"/>
  <c r="C104" i="1"/>
  <c r="C102" i="1"/>
  <c r="C99" i="1"/>
  <c r="C97" i="1"/>
  <c r="C93" i="1"/>
  <c r="C91" i="1"/>
  <c r="C81" i="1"/>
  <c r="C80" i="1"/>
  <c r="C77" i="1"/>
  <c r="D112" i="1"/>
  <c r="O66" i="1" l="1"/>
  <c r="O132" i="1"/>
  <c r="F176" i="1"/>
  <c r="F8" i="11" s="1"/>
  <c r="F30" i="11" s="1"/>
  <c r="F56" i="11" s="1"/>
  <c r="H132" i="1"/>
  <c r="Q67" i="1"/>
  <c r="Q69" i="1" s="1"/>
  <c r="H176" i="1"/>
  <c r="H216" i="1"/>
  <c r="O216" i="1"/>
  <c r="O172" i="1"/>
  <c r="K8" i="1"/>
  <c r="J74" i="1"/>
  <c r="J142" i="1"/>
  <c r="J186" i="1" s="1"/>
  <c r="J230" i="1" s="1"/>
  <c r="F275" i="1"/>
  <c r="S62" i="1"/>
  <c r="S63" i="1" s="1"/>
  <c r="AC63" i="1" s="1"/>
  <c r="E172" i="1"/>
  <c r="E241" i="1"/>
  <c r="E246" i="1"/>
  <c r="E213" i="1"/>
  <c r="E270" i="1"/>
  <c r="E269" i="1"/>
  <c r="F248" i="1"/>
  <c r="D216" i="1"/>
  <c r="D250" i="1"/>
  <c r="D248" i="1"/>
  <c r="D249" i="1"/>
  <c r="E276" i="1"/>
  <c r="D242" i="1"/>
  <c r="D274" i="1"/>
  <c r="D220" i="1"/>
  <c r="D247" i="1"/>
  <c r="F220" i="1"/>
  <c r="G176" i="1"/>
  <c r="H276" i="1" s="1"/>
  <c r="G216" i="1"/>
  <c r="E132" i="1"/>
  <c r="C216" i="1"/>
  <c r="C176" i="1"/>
  <c r="C8" i="11" s="1"/>
  <c r="C30" i="11" s="1"/>
  <c r="C56" i="11" s="1"/>
  <c r="C59" i="11" s="1"/>
  <c r="D58" i="11" s="1"/>
  <c r="D59" i="11" s="1"/>
  <c r="E58" i="11" s="1"/>
  <c r="D132" i="1"/>
  <c r="F247" i="1" l="1"/>
  <c r="F274" i="1"/>
  <c r="G276" i="1"/>
  <c r="H248" i="1"/>
  <c r="I276" i="1"/>
  <c r="H249" i="1"/>
  <c r="F242" i="1"/>
  <c r="F249" i="1"/>
  <c r="F250" i="1"/>
  <c r="H247" i="1"/>
  <c r="H274" i="1"/>
  <c r="H250" i="1"/>
  <c r="H8" i="11"/>
  <c r="H30" i="11" s="1"/>
  <c r="H56" i="11" s="1"/>
  <c r="H220" i="1"/>
  <c r="O220" i="1"/>
  <c r="O176" i="1"/>
  <c r="L8" i="1"/>
  <c r="K142" i="1"/>
  <c r="K186" i="1" s="1"/>
  <c r="K230" i="1" s="1"/>
  <c r="K74" i="1"/>
  <c r="E176" i="1"/>
  <c r="E8" i="11" s="1"/>
  <c r="E30" i="11" s="1"/>
  <c r="E56" i="11" s="1"/>
  <c r="E59" i="11" s="1"/>
  <c r="F58" i="11" s="1"/>
  <c r="F59" i="11" s="1"/>
  <c r="E216" i="1"/>
  <c r="C248" i="1"/>
  <c r="C249" i="1"/>
  <c r="C250" i="1"/>
  <c r="D276" i="1"/>
  <c r="G249" i="1"/>
  <c r="G250" i="1"/>
  <c r="G248" i="1"/>
  <c r="C247" i="1"/>
  <c r="C274" i="1"/>
  <c r="G8" i="11"/>
  <c r="G30" i="11" s="1"/>
  <c r="G56" i="11" s="1"/>
  <c r="G274" i="1"/>
  <c r="G242" i="1"/>
  <c r="G220" i="1"/>
  <c r="G247" i="1"/>
  <c r="C220" i="1"/>
  <c r="M8" i="1" l="1"/>
  <c r="L142" i="1"/>
  <c r="L186" i="1" s="1"/>
  <c r="L230" i="1" s="1"/>
  <c r="L74" i="1"/>
  <c r="E250" i="1"/>
  <c r="G59" i="11"/>
  <c r="H58" i="11" s="1"/>
  <c r="H59" i="11" s="1"/>
  <c r="I58" i="11" s="1"/>
  <c r="I59" i="11" s="1"/>
  <c r="E247" i="1"/>
  <c r="E242" i="1"/>
  <c r="F276" i="1"/>
  <c r="E249" i="1"/>
  <c r="E248" i="1"/>
  <c r="E274" i="1"/>
  <c r="E220" i="1"/>
  <c r="J58" i="11" l="1"/>
  <c r="J59" i="11" s="1"/>
  <c r="M142" i="1"/>
  <c r="M186" i="1" s="1"/>
  <c r="M230" i="1" s="1"/>
  <c r="M74" i="1"/>
  <c r="K58" i="11" l="1"/>
  <c r="K59" i="11" s="1"/>
  <c r="L59" i="11" l="1"/>
  <c r="M58" i="11" s="1"/>
  <c r="M59" i="11" s="1"/>
  <c r="N58" i="11" s="1"/>
  <c r="N59" i="11" s="1"/>
</calcChain>
</file>

<file path=xl/sharedStrings.xml><?xml version="1.0" encoding="utf-8"?>
<sst xmlns="http://schemas.openxmlformats.org/spreadsheetml/2006/main" count="211" uniqueCount="190">
  <si>
    <t>Exhibit 1</t>
  </si>
  <si>
    <t>Historical Balance Sheets</t>
  </si>
  <si>
    <t>Years Ended December 31</t>
  </si>
  <si>
    <t>Avg. Annual</t>
  </si>
  <si>
    <t>Account Name</t>
  </si>
  <si>
    <t>Pct. Change</t>
  </si>
  <si>
    <t>Current Assets:</t>
  </si>
  <si>
    <t>Cash &amp; Equivalents</t>
  </si>
  <si>
    <t>Accounts Receivable, net</t>
  </si>
  <si>
    <t>Material and Supplies</t>
  </si>
  <si>
    <t>Other Current Assets</t>
  </si>
  <si>
    <t>Total Current Assets</t>
  </si>
  <si>
    <t>Plant &amp; Equipment:</t>
  </si>
  <si>
    <t>Plant in Service</t>
  </si>
  <si>
    <t xml:space="preserve">  Construction Work in Progress</t>
  </si>
  <si>
    <t>Total Plant &amp; Equipment:</t>
  </si>
  <si>
    <t>Accumulated Depreciation &amp; Amort.</t>
  </si>
  <si>
    <t>Net Plant &amp; Equipment</t>
  </si>
  <si>
    <t>Other Assets:</t>
  </si>
  <si>
    <t>Other Non-Current Assets</t>
  </si>
  <si>
    <t>Total Other Assets</t>
  </si>
  <si>
    <t>Total Non-Current Assets</t>
  </si>
  <si>
    <t>Total Assets</t>
  </si>
  <si>
    <t>Current Liabilities:</t>
  </si>
  <si>
    <t>Total Current Liabilities</t>
  </si>
  <si>
    <t>Long-Term Debt</t>
  </si>
  <si>
    <t>Deferred Income Taxes</t>
  </si>
  <si>
    <t>Other Deferred Credits</t>
  </si>
  <si>
    <t>Total LTD &amp; Deferrals</t>
  </si>
  <si>
    <t>Total Liabilities</t>
  </si>
  <si>
    <t>Retained Earnings</t>
  </si>
  <si>
    <t>Total Liabilities &amp; Equity</t>
  </si>
  <si>
    <t>Common Size</t>
  </si>
  <si>
    <t>Wt. Average</t>
  </si>
  <si>
    <t>Historical Income Statements</t>
  </si>
  <si>
    <t>Operating Sales and Revenues:</t>
  </si>
  <si>
    <t>Operating Revenues</t>
  </si>
  <si>
    <t>Total Revenues</t>
  </si>
  <si>
    <t>Operating Expenses:</t>
  </si>
  <si>
    <t xml:space="preserve">   Operating and Maintenance</t>
  </si>
  <si>
    <t xml:space="preserve">   Depreciation and amortization</t>
  </si>
  <si>
    <t xml:space="preserve">   Other</t>
  </si>
  <si>
    <t xml:space="preserve">   Taxes, other than income taxes</t>
  </si>
  <si>
    <t>Total Operating Expenses</t>
  </si>
  <si>
    <t>Earnings From Operations</t>
  </si>
  <si>
    <t xml:space="preserve">   Interest expense (net)</t>
  </si>
  <si>
    <t xml:space="preserve">   Interest and Other Income</t>
  </si>
  <si>
    <t xml:space="preserve">   Loss (Gain) on Sale of Assets</t>
  </si>
  <si>
    <t xml:space="preserve">   Other (Income) Expense</t>
  </si>
  <si>
    <t>Total Other Income/Expense</t>
  </si>
  <si>
    <t>Extraordinary Items</t>
  </si>
  <si>
    <t>Average</t>
  </si>
  <si>
    <t>average</t>
  </si>
  <si>
    <t>Historical Financial Ratios</t>
  </si>
  <si>
    <t>Ratio Group And Name</t>
  </si>
  <si>
    <t>Short-term Liquidity Ratios:</t>
  </si>
  <si>
    <t>Current</t>
  </si>
  <si>
    <t>Quick</t>
  </si>
  <si>
    <t>Days Revenues Receivable</t>
  </si>
  <si>
    <t>Long-term Solvency Ratios:</t>
  </si>
  <si>
    <t>Net Worth/Total Debt</t>
  </si>
  <si>
    <t>Net Worth/Non Current Debt</t>
  </si>
  <si>
    <t>Net Worth/Fixed Assets</t>
  </si>
  <si>
    <t>Profitability Ratios:</t>
  </si>
  <si>
    <t>Return On Total Assets</t>
  </si>
  <si>
    <t>Return On Total Capital</t>
  </si>
  <si>
    <t>Asset-utilization Ratios:</t>
  </si>
  <si>
    <t>Sales/Cash</t>
  </si>
  <si>
    <t>Sales/Accounts Receivable</t>
  </si>
  <si>
    <t>Sales/Working Capital</t>
  </si>
  <si>
    <t>Sales/Fixed Assets</t>
  </si>
  <si>
    <t>Sales/Total Assets</t>
  </si>
  <si>
    <t>Capital Structure (Regulatory):</t>
  </si>
  <si>
    <t>Common Equity</t>
  </si>
  <si>
    <t>Capital Structure:</t>
  </si>
  <si>
    <t>Short-Term Debt</t>
  </si>
  <si>
    <t>Accounts Payable</t>
  </si>
  <si>
    <t>Customer Deposits</t>
  </si>
  <si>
    <t>Cost of Purchased Power</t>
  </si>
  <si>
    <t>Administrative and General Expense</t>
  </si>
  <si>
    <t>LTD plus current portion</t>
  </si>
  <si>
    <t>Patrons' Equity:</t>
  </si>
  <si>
    <t>Total Patronage Equity</t>
  </si>
  <si>
    <t>Contributed Patrons Capital</t>
  </si>
  <si>
    <t>Empire Electric Association, Inc.</t>
  </si>
  <si>
    <t>Current Portion LTD</t>
  </si>
  <si>
    <t>Deferred Compensation</t>
  </si>
  <si>
    <t>Other Equities</t>
  </si>
  <si>
    <t>G &amp; T and Other Capital Credits</t>
  </si>
  <si>
    <t>Operating Margin Before Capital Credits</t>
  </si>
  <si>
    <t>Operating Margin</t>
  </si>
  <si>
    <t>Interest &amp; Other Revenue</t>
  </si>
  <si>
    <t>Net Margin</t>
  </si>
  <si>
    <t>Retirement of Capital Credits</t>
  </si>
  <si>
    <t>Post Retirement Benefit &amp; Deferred Comp</t>
  </si>
  <si>
    <t>Misc Electric Revenue</t>
  </si>
  <si>
    <t>Revenues:</t>
  </si>
  <si>
    <t>Gross Margin</t>
  </si>
  <si>
    <t>Net Operating Margin</t>
  </si>
  <si>
    <t>Loan Covenants:</t>
  </si>
  <si>
    <t>Total Equity &gt; 20% of Total Assets</t>
  </si>
  <si>
    <t>Times Interest Earned (Operations)</t>
  </si>
  <si>
    <t>page 5 of 6</t>
  </si>
  <si>
    <t>page 1 of 6</t>
  </si>
  <si>
    <t>page 6 of 6</t>
  </si>
  <si>
    <t>Cash Flow from Operations</t>
  </si>
  <si>
    <t>Depreciation</t>
  </si>
  <si>
    <t>Depreciation Charged to Clearing</t>
  </si>
  <si>
    <t>Interest Earned</t>
  </si>
  <si>
    <t>Postretirement Benefits</t>
  </si>
  <si>
    <t>Patronage Capital Credits</t>
  </si>
  <si>
    <t>Decrease (Increase) In:</t>
  </si>
  <si>
    <t>Increase (Decrease) In:</t>
  </si>
  <si>
    <t>Net Cash Provided (Used) Operations</t>
  </si>
  <si>
    <t xml:space="preserve">Cash Flows from Investing </t>
  </si>
  <si>
    <t>Investment in Plant</t>
  </si>
  <si>
    <t>Decrease (Increase) Other Investments</t>
  </si>
  <si>
    <t>Decrease (Increase) Materials Inventory</t>
  </si>
  <si>
    <t>Payments Received from Assoc Organizations</t>
  </si>
  <si>
    <t xml:space="preserve">   Prepaid Expense</t>
  </si>
  <si>
    <t xml:space="preserve">   Interest Receivable</t>
  </si>
  <si>
    <t xml:space="preserve">   Deferred Debits</t>
  </si>
  <si>
    <t xml:space="preserve">   Accounts Payable</t>
  </si>
  <si>
    <t xml:space="preserve">   Accrued Liabilities</t>
  </si>
  <si>
    <t xml:space="preserve">   Customer Deposits</t>
  </si>
  <si>
    <t xml:space="preserve">   Deferred Credits</t>
  </si>
  <si>
    <t>Net Cash Provided (Used) Investing</t>
  </si>
  <si>
    <t>Financing Activities</t>
  </si>
  <si>
    <t>Long Term Borrowing</t>
  </si>
  <si>
    <t>Principal Payments on Long Term Debt</t>
  </si>
  <si>
    <t>Cushion on Credit Applied</t>
  </si>
  <si>
    <t>Paid into Cushion Credit</t>
  </si>
  <si>
    <t>Postretirement Benefit Payments</t>
  </si>
  <si>
    <t>Increase (Decrease) Other Capital</t>
  </si>
  <si>
    <t>Capital Refund to Members</t>
  </si>
  <si>
    <t xml:space="preserve">Net Cash Provided (Used) Financing </t>
  </si>
  <si>
    <t>Net Increase (Decrease) in Cash</t>
  </si>
  <si>
    <t>Cash Beginning of the Year</t>
  </si>
  <si>
    <t>Cash End of the Year</t>
  </si>
  <si>
    <t>Supplemental Disclosure</t>
  </si>
  <si>
    <t>Cash Paid for Interest</t>
  </si>
  <si>
    <t>Cash Paid for Income Taxes</t>
  </si>
  <si>
    <t>Statement of Cash Flows</t>
  </si>
  <si>
    <t>Operating Debt Service (ODSC) &gt; 1.1</t>
  </si>
  <si>
    <t>Operating Times Interest (OTIER) &gt; 1.25</t>
  </si>
  <si>
    <t>Distribution % of Total Margin</t>
  </si>
  <si>
    <t>Capital Credit Retirement</t>
  </si>
  <si>
    <t>Percent of Prior Year Operating Margin</t>
  </si>
  <si>
    <t>Percent of Prior Year Total Margin</t>
  </si>
  <si>
    <t>Special Funds</t>
  </si>
  <si>
    <t>Investment in Assoc Org - Patronage Capital</t>
  </si>
  <si>
    <t>Investment in Assoc Org - Non-General Funds</t>
  </si>
  <si>
    <t>Investment in Subsidiary Companies</t>
  </si>
  <si>
    <t>Cash - Construction Funds - Trustee</t>
  </si>
  <si>
    <t>Temporary Investments</t>
  </si>
  <si>
    <t>Prepayments</t>
  </si>
  <si>
    <t>Other Deferred Debits</t>
  </si>
  <si>
    <t>YTD 2015</t>
  </si>
  <si>
    <t>Payments Unapplied</t>
  </si>
  <si>
    <t>Long-Term Debt - FFB - RUS Guaranteed</t>
  </si>
  <si>
    <t xml:space="preserve">Long-Term Debt - Other </t>
  </si>
  <si>
    <t>Capital Lease Obligations</t>
  </si>
  <si>
    <t>Asset Retirement Obligation</t>
  </si>
  <si>
    <t>Other Current and Accrued Liabilities</t>
  </si>
  <si>
    <t>Transmission Expense</t>
  </si>
  <si>
    <t>Distribution Exp - Operation</t>
  </si>
  <si>
    <t>Distribution Exp - Maintenance</t>
  </si>
  <si>
    <t>Customer Account Expense</t>
  </si>
  <si>
    <t>Customer Service and Information Exp</t>
  </si>
  <si>
    <t xml:space="preserve">   Other Current Assets</t>
  </si>
  <si>
    <t xml:space="preserve">   Other Benefits Obligation</t>
  </si>
  <si>
    <t>Contributions-in-aid of Construction</t>
  </si>
  <si>
    <t>Sale of held-to-maturity securities</t>
  </si>
  <si>
    <t>Reapplication of Advance Payments</t>
  </si>
  <si>
    <t>Advance Payment of LT Debt</t>
  </si>
  <si>
    <t xml:space="preserve">Long-Term Debt - </t>
  </si>
  <si>
    <t>2009 to 2014</t>
  </si>
  <si>
    <t>Total Debt / Total Assets</t>
  </si>
  <si>
    <t>page 4 of 4</t>
  </si>
  <si>
    <t>page 3 of 4</t>
  </si>
  <si>
    <t>page 2 of 4</t>
  </si>
  <si>
    <t>DON’T INCLUDE</t>
  </si>
  <si>
    <t>AVG</t>
  </si>
  <si>
    <t>Loss (Gain) on Sale of Equipment</t>
  </si>
  <si>
    <t>Loss (Gain) on Sale of Investment</t>
  </si>
  <si>
    <t>Proceeds from Sale of Investments</t>
  </si>
  <si>
    <t>11 Months</t>
  </si>
  <si>
    <t xml:space="preserve">   Accounts Receivable</t>
  </si>
  <si>
    <t>5 Year</t>
  </si>
  <si>
    <t>Return On Patrons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</si>
</sst>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5" fillId="2" borderId="0"/>
    <xf numFmtId="0" fontId="6" fillId="2" borderId="0"/>
    <xf numFmtId="9" fontId="1" fillId="0" borderId="0" applyFont="0" applyFill="0" applyBorder="0" applyAlignment="0" applyProtection="0"/>
    <xf numFmtId="0" fontId="1" fillId="2" borderId="1"/>
  </cellStyleXfs>
  <cellXfs count="100">
    <xf numFmtId="0" fontId="0" fillId="0" borderId="0" xfId="0"/>
    <xf numFmtId="5" fontId="3" fillId="0" borderId="0" xfId="0" applyNumberFormat="1" applyFont="1" applyBorder="1"/>
    <xf numFmtId="10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5" fontId="6" fillId="0" borderId="0" xfId="0" applyNumberFormat="1" applyFont="1" applyBorder="1" applyAlignment="1">
      <alignment horizontal="centerContinuous"/>
    </xf>
    <xf numFmtId="164" fontId="6" fillId="0" borderId="0" xfId="0" applyNumberFormat="1" applyFont="1" applyBorder="1" applyAlignment="1">
      <alignment horizontal="centerContinuous"/>
    </xf>
    <xf numFmtId="10" fontId="6" fillId="0" borderId="0" xfId="0" applyNumberFormat="1" applyFont="1" applyBorder="1" applyAlignment="1">
      <alignment horizontal="centerContinuous"/>
    </xf>
    <xf numFmtId="5" fontId="7" fillId="0" borderId="0" xfId="0" applyNumberFormat="1" applyFont="1" applyBorder="1"/>
    <xf numFmtId="10" fontId="7" fillId="0" borderId="0" xfId="0" applyNumberFormat="1" applyFont="1" applyBorder="1"/>
    <xf numFmtId="5" fontId="6" fillId="0" borderId="0" xfId="0" applyNumberFormat="1" applyFont="1" applyBorder="1"/>
    <xf numFmtId="5" fontId="7" fillId="0" borderId="0" xfId="0" applyNumberFormat="1" applyFont="1" applyBorder="1" applyAlignment="1">
      <alignment horizontal="centerContinuous"/>
    </xf>
    <xf numFmtId="10" fontId="7" fillId="0" borderId="0" xfId="0" applyNumberFormat="1" applyFont="1" applyBorder="1" applyAlignment="1">
      <alignment horizontal="centerContinuous"/>
    </xf>
    <xf numFmtId="0" fontId="6" fillId="0" borderId="0" xfId="0" applyFont="1" applyBorder="1"/>
    <xf numFmtId="0" fontId="6" fillId="0" borderId="0" xfId="0" quotePrefix="1" applyFont="1" applyBorder="1" applyAlignment="1">
      <alignment horizontal="right"/>
    </xf>
    <xf numFmtId="0" fontId="7" fillId="0" borderId="0" xfId="0" applyFont="1" applyBorder="1"/>
    <xf numFmtId="5" fontId="7" fillId="0" borderId="3" xfId="0" applyNumberFormat="1" applyFont="1" applyBorder="1"/>
    <xf numFmtId="10" fontId="7" fillId="0" borderId="3" xfId="0" applyNumberFormat="1" applyFont="1" applyBorder="1"/>
    <xf numFmtId="39" fontId="7" fillId="0" borderId="0" xfId="0" applyNumberFormat="1" applyFont="1" applyBorder="1"/>
    <xf numFmtId="5" fontId="7" fillId="0" borderId="4" xfId="0" applyNumberFormat="1" applyFont="1" applyBorder="1"/>
    <xf numFmtId="10" fontId="7" fillId="0" borderId="4" xfId="0" applyNumberFormat="1" applyFont="1" applyBorder="1"/>
    <xf numFmtId="5" fontId="7" fillId="0" borderId="0" xfId="0" quotePrefix="1" applyNumberFormat="1" applyFont="1" applyBorder="1" applyAlignment="1">
      <alignment horizontal="left"/>
    </xf>
    <xf numFmtId="10" fontId="7" fillId="0" borderId="0" xfId="0" quotePrefix="1" applyNumberFormat="1" applyFont="1" applyBorder="1" applyAlignment="1">
      <alignment horizontal="left"/>
    </xf>
    <xf numFmtId="0" fontId="6" fillId="0" borderId="0" xfId="0" applyNumberFormat="1" applyFont="1" applyBorder="1"/>
    <xf numFmtId="0" fontId="7" fillId="0" borderId="3" xfId="0" applyFont="1" applyBorder="1"/>
    <xf numFmtId="5" fontId="6" fillId="0" borderId="0" xfId="0" applyNumberFormat="1" applyFont="1" applyBorder="1" applyAlignment="1">
      <alignment horizontal="right"/>
    </xf>
    <xf numFmtId="5" fontId="7" fillId="0" borderId="3" xfId="0" applyNumberFormat="1" applyFont="1" applyBorder="1" applyAlignment="1"/>
    <xf numFmtId="10" fontId="7" fillId="0" borderId="3" xfId="0" applyNumberFormat="1" applyFont="1" applyBorder="1" applyAlignment="1"/>
    <xf numFmtId="5" fontId="7" fillId="0" borderId="0" xfId="0" applyNumberFormat="1" applyFont="1"/>
    <xf numFmtId="0" fontId="6" fillId="0" borderId="0" xfId="0" applyFont="1" applyBorder="1" applyAlignment="1">
      <alignment horizontal="right"/>
    </xf>
    <xf numFmtId="10" fontId="7" fillId="0" borderId="0" xfId="0" applyNumberFormat="1" applyFont="1" applyFill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5" fontId="7" fillId="0" borderId="0" xfId="1" applyNumberFormat="1" applyFont="1" applyBorder="1"/>
    <xf numFmtId="165" fontId="7" fillId="0" borderId="3" xfId="1" applyNumberFormat="1" applyFont="1" applyBorder="1"/>
    <xf numFmtId="165" fontId="7" fillId="0" borderId="4" xfId="1" applyNumberFormat="1" applyFont="1" applyBorder="1"/>
    <xf numFmtId="165" fontId="7" fillId="0" borderId="0" xfId="1" applyNumberFormat="1" applyFont="1" applyFill="1" applyBorder="1"/>
    <xf numFmtId="165" fontId="7" fillId="0" borderId="0" xfId="0" applyNumberFormat="1" applyFont="1" applyBorder="1"/>
    <xf numFmtId="165" fontId="7" fillId="0" borderId="2" xfId="1" applyNumberFormat="1" applyFont="1" applyBorder="1"/>
    <xf numFmtId="10" fontId="7" fillId="0" borderId="2" xfId="0" applyNumberFormat="1" applyFont="1" applyBorder="1"/>
    <xf numFmtId="10" fontId="7" fillId="0" borderId="6" xfId="0" applyNumberFormat="1" applyFont="1" applyBorder="1"/>
    <xf numFmtId="10" fontId="7" fillId="0" borderId="0" xfId="8" applyNumberFormat="1" applyFont="1" applyBorder="1"/>
    <xf numFmtId="10" fontId="7" fillId="0" borderId="5" xfId="0" applyNumberFormat="1" applyFont="1" applyBorder="1"/>
    <xf numFmtId="165" fontId="7" fillId="0" borderId="0" xfId="1" applyNumberFormat="1" applyFont="1"/>
    <xf numFmtId="165" fontId="7" fillId="0" borderId="0" xfId="1" applyNumberFormat="1" applyFont="1" applyFill="1"/>
    <xf numFmtId="166" fontId="7" fillId="0" borderId="0" xfId="8" applyNumberFormat="1" applyFont="1" applyBorder="1"/>
    <xf numFmtId="10" fontId="7" fillId="0" borderId="0" xfId="0" applyNumberFormat="1" applyFont="1" applyBorder="1" applyAlignment="1">
      <alignment horizontal="right"/>
    </xf>
    <xf numFmtId="10" fontId="8" fillId="0" borderId="0" xfId="0" quotePrefix="1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1" fontId="7" fillId="0" borderId="0" xfId="0" applyNumberFormat="1" applyFont="1" applyBorder="1"/>
    <xf numFmtId="5" fontId="7" fillId="0" borderId="0" xfId="0" applyNumberFormat="1" applyFont="1" applyFill="1" applyBorder="1"/>
    <xf numFmtId="0" fontId="7" fillId="0" borderId="0" xfId="0" applyFont="1"/>
    <xf numFmtId="165" fontId="1" fillId="0" borderId="0" xfId="1" applyNumberFormat="1" applyFont="1"/>
    <xf numFmtId="43" fontId="1" fillId="0" borderId="0" xfId="0" applyNumberFormat="1" applyFont="1"/>
    <xf numFmtId="165" fontId="9" fillId="0" borderId="0" xfId="1" applyNumberFormat="1" applyFont="1" applyBorder="1"/>
    <xf numFmtId="165" fontId="9" fillId="0" borderId="0" xfId="1" applyNumberFormat="1" applyFont="1" applyFill="1" applyBorder="1"/>
    <xf numFmtId="165" fontId="1" fillId="0" borderId="2" xfId="1" applyNumberFormat="1" applyFont="1" applyBorder="1"/>
    <xf numFmtId="0" fontId="6" fillId="0" borderId="2" xfId="0" applyFont="1" applyBorder="1"/>
    <xf numFmtId="0" fontId="6" fillId="0" borderId="2" xfId="0" quotePrefix="1" applyFont="1" applyBorder="1" applyAlignment="1">
      <alignment horizontal="right"/>
    </xf>
    <xf numFmtId="5" fontId="6" fillId="0" borderId="0" xfId="0" applyNumberFormat="1" applyFont="1" applyFill="1" applyBorder="1"/>
    <xf numFmtId="0" fontId="6" fillId="0" borderId="0" xfId="0" applyFont="1"/>
    <xf numFmtId="165" fontId="3" fillId="0" borderId="0" xfId="0" applyNumberFormat="1" applyFont="1" applyBorder="1"/>
    <xf numFmtId="9" fontId="3" fillId="0" borderId="0" xfId="8" applyFont="1" applyBorder="1"/>
    <xf numFmtId="10" fontId="3" fillId="0" borderId="0" xfId="8" applyNumberFormat="1" applyFont="1" applyBorder="1"/>
    <xf numFmtId="0" fontId="3" fillId="0" borderId="0" xfId="0" applyFont="1" applyBorder="1" applyAlignment="1">
      <alignment horizontal="right"/>
    </xf>
    <xf numFmtId="165" fontId="9" fillId="0" borderId="3" xfId="1" applyNumberFormat="1" applyFont="1" applyBorder="1"/>
    <xf numFmtId="165" fontId="9" fillId="0" borderId="3" xfId="1" applyNumberFormat="1" applyFont="1" applyFill="1" applyBorder="1"/>
    <xf numFmtId="165" fontId="9" fillId="0" borderId="4" xfId="1" applyNumberFormat="1" applyFont="1" applyFill="1" applyBorder="1"/>
    <xf numFmtId="165" fontId="9" fillId="0" borderId="4" xfId="1" applyNumberFormat="1" applyFont="1" applyBorder="1"/>
    <xf numFmtId="165" fontId="9" fillId="0" borderId="0" xfId="1" applyNumberFormat="1" applyFont="1" applyBorder="1" applyProtection="1"/>
    <xf numFmtId="165" fontId="9" fillId="0" borderId="2" xfId="1" applyNumberFormat="1" applyFont="1" applyBorder="1"/>
    <xf numFmtId="165" fontId="9" fillId="0" borderId="5" xfId="1" applyNumberFormat="1" applyFont="1" applyBorder="1"/>
    <xf numFmtId="10" fontId="7" fillId="0" borderId="0" xfId="8" applyNumberFormat="1" applyFont="1" applyFill="1" applyBorder="1"/>
    <xf numFmtId="5" fontId="6" fillId="0" borderId="2" xfId="0" applyNumberFormat="1" applyFont="1" applyBorder="1"/>
    <xf numFmtId="5" fontId="6" fillId="0" borderId="0" xfId="0" quotePrefix="1" applyNumberFormat="1" applyFont="1" applyBorder="1" applyAlignment="1">
      <alignment horizontal="left"/>
    </xf>
    <xf numFmtId="5" fontId="7" fillId="0" borderId="0" xfId="0" applyNumberFormat="1" applyFont="1" applyBorder="1" applyAlignment="1">
      <alignment horizontal="right"/>
    </xf>
    <xf numFmtId="165" fontId="7" fillId="0" borderId="4" xfId="1" applyNumberFormat="1" applyFont="1" applyFill="1" applyBorder="1"/>
    <xf numFmtId="165" fontId="7" fillId="0" borderId="0" xfId="0" applyNumberFormat="1" applyFont="1" applyFill="1" applyBorder="1"/>
    <xf numFmtId="166" fontId="7" fillId="0" borderId="0" xfId="8" applyNumberFormat="1" applyFont="1" applyFill="1" applyBorder="1"/>
    <xf numFmtId="5" fontId="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166" fontId="7" fillId="0" borderId="0" xfId="0" applyNumberFormat="1" applyFont="1" applyBorder="1"/>
    <xf numFmtId="10" fontId="7" fillId="3" borderId="0" xfId="0" applyNumberFormat="1" applyFont="1" applyFill="1" applyBorder="1" applyAlignment="1">
      <alignment horizontal="right"/>
    </xf>
    <xf numFmtId="166" fontId="7" fillId="3" borderId="0" xfId="8" applyNumberFormat="1" applyFont="1" applyFill="1" applyBorder="1" applyAlignment="1">
      <alignment horizontal="right"/>
    </xf>
    <xf numFmtId="166" fontId="7" fillId="3" borderId="0" xfId="8" applyNumberFormat="1" applyFont="1" applyFill="1" applyBorder="1"/>
    <xf numFmtId="5" fontId="7" fillId="3" borderId="0" xfId="0" applyNumberFormat="1" applyFont="1" applyFill="1" applyBorder="1"/>
    <xf numFmtId="166" fontId="7" fillId="3" borderId="0" xfId="0" applyNumberFormat="1" applyFont="1" applyFill="1" applyBorder="1" applyAlignment="1">
      <alignment horizontal="right"/>
    </xf>
    <xf numFmtId="5" fontId="4" fillId="0" borderId="0" xfId="0" applyNumberFormat="1" applyFont="1" applyBorder="1"/>
    <xf numFmtId="10" fontId="4" fillId="0" borderId="0" xfId="0" applyNumberFormat="1" applyFont="1" applyBorder="1"/>
    <xf numFmtId="5" fontId="4" fillId="0" borderId="0" xfId="0" applyNumberFormat="1" applyFont="1" applyBorder="1" applyAlignment="1">
      <alignment horizontal="right"/>
    </xf>
    <xf numFmtId="165" fontId="3" fillId="0" borderId="0" xfId="8" applyNumberFormat="1" applyFont="1" applyBorder="1"/>
    <xf numFmtId="9" fontId="1" fillId="0" borderId="0" xfId="8" applyFont="1" applyBorder="1"/>
    <xf numFmtId="10" fontId="6" fillId="0" borderId="0" xfId="0" applyNumberFormat="1" applyFont="1" applyBorder="1" applyAlignment="1">
      <alignment horizontal="right"/>
    </xf>
    <xf numFmtId="10" fontId="7" fillId="0" borderId="0" xfId="0" applyNumberFormat="1" applyFont="1" applyBorder="1" applyAlignment="1">
      <alignment horizontal="right" vertical="center"/>
    </xf>
    <xf numFmtId="10" fontId="7" fillId="0" borderId="7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5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</cellXfs>
  <cellStyles count="10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6"/>
  <sheetViews>
    <sheetView tabSelected="1" zoomScaleNormal="100" workbookViewId="0">
      <selection activeCell="A4" sqref="A4"/>
    </sheetView>
  </sheetViews>
  <sheetFormatPr defaultColWidth="12.7109375" defaultRowHeight="12.75" x14ac:dyDescent="0.2"/>
  <cols>
    <col min="1" max="1" width="45.7109375" style="3" customWidth="1"/>
    <col min="2" max="4" width="14.7109375" style="3" hidden="1" customWidth="1"/>
    <col min="5" max="7" width="13.7109375" style="3" hidden="1" customWidth="1"/>
    <col min="8" max="14" width="13.5703125" style="3" customWidth="1"/>
    <col min="15" max="15" width="11.7109375" style="3" customWidth="1"/>
    <col min="16" max="16" width="10.7109375" style="3" customWidth="1"/>
    <col min="17" max="17" width="12.85546875" style="3" customWidth="1"/>
    <col min="18" max="18" width="13.5703125" style="3" customWidth="1"/>
    <col min="19" max="19" width="11.42578125" style="3" customWidth="1"/>
    <col min="20" max="20" width="13.28515625" style="3" customWidth="1"/>
    <col min="21" max="16384" width="12.7109375" style="3"/>
  </cols>
  <sheetData>
    <row r="1" spans="1:29" ht="15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46" t="s">
        <v>0</v>
      </c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x14ac:dyDescent="0.25">
      <c r="A2" s="10"/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46" t="s">
        <v>180</v>
      </c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x14ac:dyDescent="0.25">
      <c r="A3" s="5" t="s">
        <v>84</v>
      </c>
      <c r="B3" s="5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x14ac:dyDescent="0.25">
      <c r="A4" s="5" t="s">
        <v>1</v>
      </c>
      <c r="B4" s="5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x14ac:dyDescent="0.25">
      <c r="A5" s="6" t="s">
        <v>2</v>
      </c>
      <c r="B5" s="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8"/>
      <c r="Q5" s="61">
        <f>SUM(D11:H11)/5</f>
        <v>2455840.648</v>
      </c>
      <c r="R5" s="63">
        <f>+Q5/Q146-0.03</f>
        <v>3.0761931578317692E-2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8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7" t="s">
        <v>176</v>
      </c>
      <c r="P6" s="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8"/>
      <c r="B7" s="8"/>
      <c r="C7" s="10"/>
      <c r="D7" s="10"/>
      <c r="E7" s="13"/>
      <c r="F7" s="14"/>
      <c r="G7" s="13"/>
      <c r="H7" s="13"/>
      <c r="I7" s="13"/>
      <c r="J7" s="13"/>
      <c r="K7" s="13"/>
      <c r="L7" s="13"/>
      <c r="M7" s="13"/>
      <c r="N7" s="29" t="s">
        <v>186</v>
      </c>
      <c r="O7" s="48" t="s">
        <v>3</v>
      </c>
      <c r="P7" s="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57" t="s">
        <v>4</v>
      </c>
      <c r="B8" s="13">
        <v>2003</v>
      </c>
      <c r="C8" s="13">
        <v>2004</v>
      </c>
      <c r="D8" s="13">
        <v>2005</v>
      </c>
      <c r="E8" s="13">
        <v>2006</v>
      </c>
      <c r="F8" s="14">
        <f>+E8+1</f>
        <v>2007</v>
      </c>
      <c r="G8" s="14">
        <f t="shared" ref="G8:H8" si="0">+F8+1</f>
        <v>2008</v>
      </c>
      <c r="H8" s="14">
        <f t="shared" si="0"/>
        <v>2009</v>
      </c>
      <c r="I8" s="14">
        <f t="shared" ref="I8" si="1">+H8+1</f>
        <v>2010</v>
      </c>
      <c r="J8" s="14">
        <f t="shared" ref="J8" si="2">+I8+1</f>
        <v>2011</v>
      </c>
      <c r="K8" s="14">
        <f t="shared" ref="K8" si="3">+J8+1</f>
        <v>2012</v>
      </c>
      <c r="L8" s="14">
        <f t="shared" ref="L8" si="4">+K8+1</f>
        <v>2013</v>
      </c>
      <c r="M8" s="14">
        <f t="shared" ref="M8" si="5">+L8+1</f>
        <v>2014</v>
      </c>
      <c r="N8" s="29" t="s">
        <v>157</v>
      </c>
      <c r="O8" s="48" t="s">
        <v>5</v>
      </c>
      <c r="P8" s="8"/>
      <c r="Q8" s="3">
        <f t="shared" ref="Q8:V8" si="6">+C8</f>
        <v>2004</v>
      </c>
      <c r="R8" s="3">
        <f t="shared" si="6"/>
        <v>2005</v>
      </c>
      <c r="S8" s="3">
        <f t="shared" si="6"/>
        <v>2006</v>
      </c>
      <c r="T8" s="3">
        <f t="shared" si="6"/>
        <v>2007</v>
      </c>
      <c r="U8" s="3">
        <f t="shared" si="6"/>
        <v>2008</v>
      </c>
      <c r="V8" s="3">
        <f t="shared" si="6"/>
        <v>2009</v>
      </c>
      <c r="W8" s="3">
        <f t="shared" ref="W8" si="7">+I8</f>
        <v>2010</v>
      </c>
      <c r="X8" s="3">
        <f t="shared" ref="X8" si="8">+J8</f>
        <v>2011</v>
      </c>
      <c r="Y8" s="3">
        <f t="shared" ref="Y8" si="9">+K8</f>
        <v>2012</v>
      </c>
      <c r="Z8" s="3">
        <f t="shared" ref="Z8" si="10">+L8</f>
        <v>2013</v>
      </c>
      <c r="AA8" s="3">
        <f t="shared" ref="AA8" si="11">+M8</f>
        <v>2014</v>
      </c>
      <c r="AB8" s="64" t="str">
        <f t="shared" ref="AB8" si="12">+N8</f>
        <v>YTD 2015</v>
      </c>
      <c r="AC8" s="64" t="s">
        <v>51</v>
      </c>
    </row>
    <row r="9" spans="1:29" ht="15" x14ac:dyDescent="0.2">
      <c r="A9" s="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P9" s="8"/>
      <c r="Q9" s="1"/>
      <c r="R9" s="1"/>
      <c r="S9" s="1"/>
      <c r="T9" s="1"/>
      <c r="U9" s="1"/>
    </row>
    <row r="10" spans="1:29" ht="15.75" x14ac:dyDescent="0.25">
      <c r="A10" s="10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8"/>
      <c r="Q10" s="2"/>
      <c r="R10" s="2"/>
      <c r="S10" s="2"/>
      <c r="T10" s="1"/>
      <c r="U10" s="1"/>
    </row>
    <row r="11" spans="1:29" ht="15" x14ac:dyDescent="0.2">
      <c r="A11" s="8" t="s">
        <v>7</v>
      </c>
      <c r="B11" s="33">
        <f>197990+1800+198+2720838</f>
        <v>2920826</v>
      </c>
      <c r="C11" s="33">
        <f>1929287.48+996000+197.92</f>
        <v>2925485.4</v>
      </c>
      <c r="D11" s="33">
        <f>2421032.82+696000+197.92</f>
        <v>3117230.7399999998</v>
      </c>
      <c r="E11" s="54">
        <f>2719337.98+685000+197.92</f>
        <v>3404535.9</v>
      </c>
      <c r="F11" s="54">
        <v>1861228.71</v>
      </c>
      <c r="G11" s="54">
        <f>2300649.89+100000</f>
        <v>2400649.89</v>
      </c>
      <c r="H11" s="54">
        <v>1495558</v>
      </c>
      <c r="I11" s="54">
        <v>338341</v>
      </c>
      <c r="J11" s="54">
        <v>767338</v>
      </c>
      <c r="K11" s="54">
        <v>1563647</v>
      </c>
      <c r="L11" s="54">
        <v>6280646</v>
      </c>
      <c r="M11" s="54">
        <v>854082</v>
      </c>
      <c r="N11" s="54">
        <v>722937</v>
      </c>
      <c r="O11" s="94">
        <f>RATE(5,,-(H12+H11),(M12+M11))</f>
        <v>0.13886342256343776</v>
      </c>
      <c r="P11" s="8"/>
      <c r="Q11" s="2">
        <f>C11/C144</f>
        <v>0.10048514028187502</v>
      </c>
      <c r="R11" s="2">
        <f>D11/D144</f>
        <v>0.10451636187644167</v>
      </c>
      <c r="S11" s="2">
        <f>E11/E144</f>
        <v>9.8443685331779468E-2</v>
      </c>
      <c r="T11" s="2">
        <f>F11/F144</f>
        <v>4.7302137120362089E-2</v>
      </c>
      <c r="U11" s="2">
        <f>G11/G144</f>
        <v>5.1209883331949618E-2</v>
      </c>
      <c r="V11" s="2">
        <f>H11/H$144</f>
        <v>2.9626222106077058E-2</v>
      </c>
      <c r="W11" s="2">
        <f t="shared" ref="W11:AA11" si="13">I11/I$144</f>
        <v>6.5650693781457532E-3</v>
      </c>
      <c r="X11" s="2">
        <f t="shared" si="13"/>
        <v>1.4738174497144964E-2</v>
      </c>
      <c r="Y11" s="2">
        <f t="shared" si="13"/>
        <v>2.961159395786353E-2</v>
      </c>
      <c r="Z11" s="2">
        <f t="shared" si="13"/>
        <v>0.10435953332292504</v>
      </c>
      <c r="AA11" s="2">
        <f t="shared" si="13"/>
        <v>1.297945930302102E-2</v>
      </c>
      <c r="AB11" s="2">
        <f>N11/N144</f>
        <v>1.1391260213379261E-2</v>
      </c>
      <c r="AC11" s="2">
        <f>AVERAGE(T11:V11)</f>
        <v>4.2712747519462919E-2</v>
      </c>
    </row>
    <row r="12" spans="1:29" ht="15" x14ac:dyDescent="0.2">
      <c r="A12" s="8" t="s">
        <v>153</v>
      </c>
      <c r="B12" s="33"/>
      <c r="C12" s="33"/>
      <c r="D12" s="33"/>
      <c r="E12" s="54"/>
      <c r="F12" s="54"/>
      <c r="G12" s="54"/>
      <c r="H12" s="54">
        <f>1800+2800</f>
        <v>4600</v>
      </c>
      <c r="I12" s="54">
        <f>1800+2800</f>
        <v>4600</v>
      </c>
      <c r="J12" s="54">
        <f>1800+2800</f>
        <v>4600</v>
      </c>
      <c r="K12" s="54">
        <f>32076+1800</f>
        <v>33876</v>
      </c>
      <c r="L12" s="54">
        <v>965829</v>
      </c>
      <c r="M12" s="54">
        <v>2019974</v>
      </c>
      <c r="N12" s="54">
        <f>3808588+1800</f>
        <v>3810388</v>
      </c>
      <c r="O12" s="94"/>
      <c r="P12" s="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" x14ac:dyDescent="0.2">
      <c r="A13" s="8" t="s">
        <v>154</v>
      </c>
      <c r="B13" s="33"/>
      <c r="C13" s="33"/>
      <c r="D13" s="33"/>
      <c r="E13" s="54"/>
      <c r="F13" s="54"/>
      <c r="G13" s="54"/>
      <c r="H13" s="54">
        <v>1586184</v>
      </c>
      <c r="I13" s="54">
        <v>2006061</v>
      </c>
      <c r="J13" s="54">
        <v>5600192</v>
      </c>
      <c r="K13" s="54">
        <v>6680437</v>
      </c>
      <c r="L13" s="54">
        <v>200590</v>
      </c>
      <c r="M13" s="54">
        <v>8373423</v>
      </c>
      <c r="N13" s="54">
        <v>5658331</v>
      </c>
      <c r="O13" s="9">
        <f t="shared" ref="O13:O17" si="14">RATE(5,,-H13,M13)</f>
        <v>0.39479343071966166</v>
      </c>
      <c r="P13" s="8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" x14ac:dyDescent="0.2">
      <c r="A14" s="8" t="s">
        <v>8</v>
      </c>
      <c r="B14" s="33">
        <f>2198762+14308</f>
        <v>2213070</v>
      </c>
      <c r="C14" s="33">
        <v>2167647.73</v>
      </c>
      <c r="D14" s="33">
        <v>2087730.1</v>
      </c>
      <c r="E14" s="54">
        <v>2505345.56</v>
      </c>
      <c r="F14" s="54">
        <v>2707047.72</v>
      </c>
      <c r="G14" s="54">
        <v>3436787.71</v>
      </c>
      <c r="H14" s="54">
        <f>4343434+46468-90976</f>
        <v>4298926</v>
      </c>
      <c r="I14" s="54">
        <f>3830787+103057-40798</f>
        <v>3893046</v>
      </c>
      <c r="J14" s="54">
        <f>3837672+133021-47552</f>
        <v>3923141</v>
      </c>
      <c r="K14" s="54">
        <f>3417854+382371</f>
        <v>3800225</v>
      </c>
      <c r="L14" s="54">
        <v>6416744</v>
      </c>
      <c r="M14" s="54">
        <v>7213012</v>
      </c>
      <c r="N14" s="54">
        <f>6278611+37693</f>
        <v>6316304</v>
      </c>
      <c r="O14" s="9">
        <f t="shared" si="14"/>
        <v>0.10905053856570224</v>
      </c>
      <c r="P14" s="8"/>
      <c r="Q14" s="2">
        <f t="shared" ref="Q14:V15" si="15">C14/C$144</f>
        <v>7.4454784915603395E-2</v>
      </c>
      <c r="R14" s="2">
        <f t="shared" si="15"/>
        <v>6.9998653558748042E-2</v>
      </c>
      <c r="S14" s="2">
        <f t="shared" si="15"/>
        <v>7.2443192611366156E-2</v>
      </c>
      <c r="T14" s="2">
        <f t="shared" si="15"/>
        <v>6.8798177115376419E-2</v>
      </c>
      <c r="U14" s="2">
        <f t="shared" si="15"/>
        <v>7.3312438602106317E-2</v>
      </c>
      <c r="V14" s="2">
        <f t="shared" si="15"/>
        <v>8.5159476592408592E-2</v>
      </c>
      <c r="W14" s="2">
        <f t="shared" ref="W14" si="16">I14/I$144</f>
        <v>7.5539521022615685E-2</v>
      </c>
      <c r="X14" s="2">
        <f t="shared" ref="X14" si="17">J14/J$144</f>
        <v>7.5351327100839249E-2</v>
      </c>
      <c r="Y14" s="2">
        <f t="shared" ref="Y14" si="18">K14/K$144</f>
        <v>7.1966831163633435E-2</v>
      </c>
      <c r="Z14" s="2">
        <f t="shared" ref="Z14" si="19">L14/L$144</f>
        <v>0.1066209446118567</v>
      </c>
      <c r="AA14" s="2">
        <f t="shared" ref="AA14" si="20">M14/M$144</f>
        <v>0.10961593348905872</v>
      </c>
      <c r="AB14" s="2">
        <f>N14/N$144</f>
        <v>9.9525494546285884E-2</v>
      </c>
      <c r="AC14" s="2">
        <f>AVERAGE(Z14:AA14)</f>
        <v>0.1081184390504577</v>
      </c>
    </row>
    <row r="15" spans="1:29" ht="15" x14ac:dyDescent="0.2">
      <c r="A15" s="8" t="s">
        <v>9</v>
      </c>
      <c r="B15" s="33">
        <f>288682</f>
        <v>288682</v>
      </c>
      <c r="C15" s="33">
        <v>330370.21000000002</v>
      </c>
      <c r="D15" s="33">
        <v>346854.24</v>
      </c>
      <c r="E15" s="54">
        <v>385938.38</v>
      </c>
      <c r="F15" s="54">
        <v>535864.55000000005</v>
      </c>
      <c r="G15" s="54">
        <v>536183.81999999995</v>
      </c>
      <c r="H15" s="54">
        <v>535875</v>
      </c>
      <c r="I15" s="54">
        <v>624461</v>
      </c>
      <c r="J15" s="54">
        <v>519219</v>
      </c>
      <c r="K15" s="54">
        <v>508851</v>
      </c>
      <c r="L15" s="54">
        <v>621409</v>
      </c>
      <c r="M15" s="54">
        <v>575044</v>
      </c>
      <c r="N15" s="54">
        <v>634177</v>
      </c>
      <c r="O15" s="9">
        <f t="shared" si="14"/>
        <v>1.4209130436800119E-2</v>
      </c>
      <c r="P15" s="8"/>
      <c r="Q15" s="2">
        <f t="shared" si="15"/>
        <v>1.1347620089576422E-2</v>
      </c>
      <c r="R15" s="2">
        <f t="shared" si="15"/>
        <v>1.1629534766559549E-2</v>
      </c>
      <c r="S15" s="2">
        <f t="shared" si="15"/>
        <v>1.1159581674018103E-2</v>
      </c>
      <c r="T15" s="2">
        <f t="shared" si="15"/>
        <v>1.361871235160623E-2</v>
      </c>
      <c r="U15" s="2">
        <f t="shared" si="15"/>
        <v>1.1437699008529341E-2</v>
      </c>
      <c r="V15" s="2">
        <f>H15/H$39</f>
        <v>6.0927874023197093E-3</v>
      </c>
      <c r="W15" s="2">
        <f t="shared" ref="W15:AA15" si="21">I15/I$39</f>
        <v>6.8233031414908956E-3</v>
      </c>
      <c r="X15" s="2">
        <f t="shared" si="21"/>
        <v>5.2435387161984398E-3</v>
      </c>
      <c r="Y15" s="2">
        <f t="shared" si="21"/>
        <v>4.5881445301368283E-3</v>
      </c>
      <c r="Z15" s="2">
        <f t="shared" si="21"/>
        <v>5.2747303154928055E-3</v>
      </c>
      <c r="AA15" s="2">
        <f t="shared" si="21"/>
        <v>4.700310725617763E-3</v>
      </c>
      <c r="AB15" s="2">
        <f>N15/N$144</f>
        <v>9.9926760261823903E-3</v>
      </c>
      <c r="AC15" s="2">
        <f>AVERAGE(W15:AA15)</f>
        <v>5.3260054857873461E-3</v>
      </c>
    </row>
    <row r="16" spans="1:29" ht="15" x14ac:dyDescent="0.2">
      <c r="A16" s="8" t="s">
        <v>155</v>
      </c>
      <c r="B16" s="33"/>
      <c r="C16" s="33"/>
      <c r="D16" s="33"/>
      <c r="E16" s="54"/>
      <c r="F16" s="54"/>
      <c r="G16" s="54"/>
      <c r="H16" s="54"/>
      <c r="I16" s="54">
        <v>286091</v>
      </c>
      <c r="J16" s="54">
        <v>80291</v>
      </c>
      <c r="K16" s="54">
        <v>218804</v>
      </c>
      <c r="L16" s="54">
        <v>287198</v>
      </c>
      <c r="M16" s="54">
        <v>316376</v>
      </c>
      <c r="N16" s="54">
        <v>127407</v>
      </c>
      <c r="O16" s="9"/>
      <c r="P16" s="8"/>
      <c r="Q16" s="2"/>
      <c r="R16" s="2"/>
      <c r="S16" s="2"/>
      <c r="T16" s="2"/>
      <c r="U16" s="2"/>
      <c r="V16" s="2"/>
      <c r="W16" s="2">
        <f>+I16/I39</f>
        <v>3.1260328812404165E-3</v>
      </c>
      <c r="X16" s="2">
        <f t="shared" ref="X16:AA16" si="22">+J16/J39</f>
        <v>8.1085046398974019E-4</v>
      </c>
      <c r="Y16" s="2">
        <f t="shared" si="22"/>
        <v>1.9728847457744182E-3</v>
      </c>
      <c r="Z16" s="2">
        <f t="shared" si="22"/>
        <v>2.4378340145522559E-3</v>
      </c>
      <c r="AA16" s="2">
        <f t="shared" si="22"/>
        <v>2.5860029947761313E-3</v>
      </c>
      <c r="AB16" s="2"/>
      <c r="AC16" s="2">
        <f>AVERAGE(Y16:AA16)</f>
        <v>2.3322405850342686E-3</v>
      </c>
    </row>
    <row r="17" spans="1:29" ht="15" x14ac:dyDescent="0.2">
      <c r="A17" s="8" t="s">
        <v>10</v>
      </c>
      <c r="B17" s="33">
        <f>-80057+60035+9247</f>
        <v>-10775</v>
      </c>
      <c r="C17" s="33">
        <v>83835.72</v>
      </c>
      <c r="D17" s="33">
        <v>87446.54</v>
      </c>
      <c r="E17" s="54">
        <v>94500.18</v>
      </c>
      <c r="F17" s="54">
        <f>74545.98+563</f>
        <v>75108.98</v>
      </c>
      <c r="G17" s="54">
        <v>78037.02</v>
      </c>
      <c r="H17" s="54">
        <f>78933+13743</f>
        <v>92676</v>
      </c>
      <c r="I17" s="54">
        <v>13772</v>
      </c>
      <c r="J17" s="54">
        <v>20569</v>
      </c>
      <c r="K17" s="54">
        <v>14752</v>
      </c>
      <c r="L17" s="54">
        <f>1800+142835+13531</f>
        <v>158166</v>
      </c>
      <c r="M17" s="54">
        <f>83044+1800+18404</f>
        <v>103248</v>
      </c>
      <c r="N17" s="54">
        <f>4959+11440</f>
        <v>16399</v>
      </c>
      <c r="O17" s="39">
        <f t="shared" si="14"/>
        <v>2.1839939314239189E-2</v>
      </c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" x14ac:dyDescent="0.2">
      <c r="A18" s="8" t="s">
        <v>11</v>
      </c>
      <c r="B18" s="34">
        <f t="shared" ref="B18:N18" si="23">SUM(B10:B17)</f>
        <v>5411803</v>
      </c>
      <c r="C18" s="34">
        <f t="shared" si="23"/>
        <v>5507339.0599999996</v>
      </c>
      <c r="D18" s="34">
        <f t="shared" si="23"/>
        <v>5639261.6200000001</v>
      </c>
      <c r="E18" s="65">
        <f t="shared" si="23"/>
        <v>6390320.0199999996</v>
      </c>
      <c r="F18" s="65">
        <f t="shared" si="23"/>
        <v>5179249.96</v>
      </c>
      <c r="G18" s="65">
        <f t="shared" si="23"/>
        <v>6451658.4399999995</v>
      </c>
      <c r="H18" s="65">
        <f t="shared" si="23"/>
        <v>8013819</v>
      </c>
      <c r="I18" s="65">
        <f t="shared" si="23"/>
        <v>7166372</v>
      </c>
      <c r="J18" s="65">
        <f t="shared" si="23"/>
        <v>10915350</v>
      </c>
      <c r="K18" s="65">
        <f t="shared" si="23"/>
        <v>12820592</v>
      </c>
      <c r="L18" s="65">
        <f t="shared" si="23"/>
        <v>14930582</v>
      </c>
      <c r="M18" s="65">
        <f t="shared" si="23"/>
        <v>19455159</v>
      </c>
      <c r="N18" s="65">
        <f t="shared" si="23"/>
        <v>17285943</v>
      </c>
      <c r="O18" s="9">
        <f>RATE(5,,-H18,M18)</f>
        <v>0.1940954707490492</v>
      </c>
      <c r="P18" s="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" x14ac:dyDescent="0.2">
      <c r="A19" s="8"/>
      <c r="B19" s="33"/>
      <c r="C19" s="33"/>
      <c r="D19" s="3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9"/>
      <c r="P19" s="8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x14ac:dyDescent="0.25">
      <c r="A20" s="10" t="s">
        <v>12</v>
      </c>
      <c r="B20" s="33"/>
      <c r="C20" s="33"/>
      <c r="D20" s="3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9"/>
      <c r="P20" s="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" x14ac:dyDescent="0.2">
      <c r="A21" s="8" t="s">
        <v>13</v>
      </c>
      <c r="B21" s="33">
        <f>46537567</f>
        <v>46537567</v>
      </c>
      <c r="C21" s="33">
        <v>46472994.469999999</v>
      </c>
      <c r="D21" s="33">
        <v>49332446.950000003</v>
      </c>
      <c r="E21" s="54">
        <v>50585345.799999997</v>
      </c>
      <c r="F21" s="54">
        <v>54695199.390000001</v>
      </c>
      <c r="G21" s="54">
        <v>57746038.530000001</v>
      </c>
      <c r="H21" s="54">
        <v>60243879</v>
      </c>
      <c r="I21" s="54">
        <v>68097028</v>
      </c>
      <c r="J21" s="54">
        <v>70997980</v>
      </c>
      <c r="K21" s="54">
        <v>74282368</v>
      </c>
      <c r="L21" s="54">
        <v>76359515</v>
      </c>
      <c r="M21" s="54">
        <v>86930875</v>
      </c>
      <c r="N21" s="54">
        <v>88110925</v>
      </c>
      <c r="O21" s="9">
        <f t="shared" ref="O21:O23" si="24">RATE(5,,-H21,M21)</f>
        <v>7.609899226305028E-2</v>
      </c>
      <c r="P21" s="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" x14ac:dyDescent="0.2">
      <c r="A22" s="8" t="s">
        <v>14</v>
      </c>
      <c r="B22" s="33">
        <v>1953850</v>
      </c>
      <c r="C22" s="33">
        <v>2445856.59</v>
      </c>
      <c r="D22" s="33">
        <v>1598990.15</v>
      </c>
      <c r="E22" s="54">
        <v>2042587.64</v>
      </c>
      <c r="F22" s="54">
        <v>3386708.21</v>
      </c>
      <c r="G22" s="54">
        <v>5038369.54</v>
      </c>
      <c r="H22" s="54">
        <v>7753907</v>
      </c>
      <c r="I22" s="54">
        <v>2637834</v>
      </c>
      <c r="J22" s="54">
        <v>3016377</v>
      </c>
      <c r="K22" s="54">
        <v>8513213</v>
      </c>
      <c r="L22" s="54">
        <v>12493769</v>
      </c>
      <c r="M22" s="54">
        <v>2134417</v>
      </c>
      <c r="N22" s="54">
        <v>1812768</v>
      </c>
      <c r="O22" s="39">
        <f t="shared" si="24"/>
        <v>-0.22740527840715535</v>
      </c>
      <c r="P22" s="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" x14ac:dyDescent="0.2">
      <c r="A23" s="8" t="s">
        <v>15</v>
      </c>
      <c r="B23" s="34">
        <f t="shared" ref="B23:N23" si="25">SUM(B21:B22)</f>
        <v>48491417</v>
      </c>
      <c r="C23" s="34">
        <f t="shared" si="25"/>
        <v>48918851.060000002</v>
      </c>
      <c r="D23" s="34">
        <f t="shared" si="25"/>
        <v>50931437.100000001</v>
      </c>
      <c r="E23" s="65">
        <f t="shared" si="25"/>
        <v>52627933.439999998</v>
      </c>
      <c r="F23" s="65">
        <f t="shared" si="25"/>
        <v>58081907.600000001</v>
      </c>
      <c r="G23" s="65">
        <f t="shared" si="25"/>
        <v>62784408.07</v>
      </c>
      <c r="H23" s="65">
        <f t="shared" si="25"/>
        <v>67997786</v>
      </c>
      <c r="I23" s="65">
        <f t="shared" si="25"/>
        <v>70734862</v>
      </c>
      <c r="J23" s="65">
        <f t="shared" si="25"/>
        <v>74014357</v>
      </c>
      <c r="K23" s="65">
        <f t="shared" si="25"/>
        <v>82795581</v>
      </c>
      <c r="L23" s="65">
        <f t="shared" si="25"/>
        <v>88853284</v>
      </c>
      <c r="M23" s="65">
        <f t="shared" si="25"/>
        <v>89065292</v>
      </c>
      <c r="N23" s="65">
        <f t="shared" si="25"/>
        <v>89923693</v>
      </c>
      <c r="O23" s="9">
        <f t="shared" si="24"/>
        <v>5.5462347058004902E-2</v>
      </c>
      <c r="P23" s="8"/>
      <c r="Q23" s="9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" x14ac:dyDescent="0.2">
      <c r="A24" s="8"/>
      <c r="B24" s="33"/>
      <c r="C24" s="33"/>
      <c r="D24" s="3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9"/>
      <c r="P24" s="8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" x14ac:dyDescent="0.2">
      <c r="A25" s="8" t="s">
        <v>16</v>
      </c>
      <c r="B25" s="33">
        <v>18267205</v>
      </c>
      <c r="C25" s="33">
        <v>18259366.859999999</v>
      </c>
      <c r="D25" s="33">
        <v>19316624.879999999</v>
      </c>
      <c r="E25" s="54">
        <v>20464957.41</v>
      </c>
      <c r="F25" s="54">
        <v>21923787.52</v>
      </c>
      <c r="G25" s="54">
        <v>22729809</v>
      </c>
      <c r="H25" s="54">
        <v>23647735</v>
      </c>
      <c r="I25" s="54">
        <v>24185938</v>
      </c>
      <c r="J25" s="54">
        <v>25475218</v>
      </c>
      <c r="K25" s="54">
        <v>27000584</v>
      </c>
      <c r="L25" s="54">
        <v>28592226</v>
      </c>
      <c r="M25" s="54">
        <v>29954972</v>
      </c>
      <c r="N25" s="54">
        <v>31803360</v>
      </c>
      <c r="O25" s="9">
        <f>RATE(5,,-H25,M25)</f>
        <v>4.8421391726355692E-2</v>
      </c>
      <c r="P25" s="61"/>
      <c r="Q25" s="61"/>
      <c r="R25" s="61"/>
      <c r="S25" s="6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" x14ac:dyDescent="0.2">
      <c r="A26" s="8"/>
      <c r="B26" s="33"/>
      <c r="C26" s="33"/>
      <c r="D26" s="3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9"/>
      <c r="P26" s="61"/>
      <c r="Q26" s="61"/>
      <c r="R26" s="61"/>
      <c r="S26" s="6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" x14ac:dyDescent="0.2">
      <c r="A27" s="8" t="s">
        <v>17</v>
      </c>
      <c r="B27" s="33">
        <f>B23-B25</f>
        <v>30224212</v>
      </c>
      <c r="C27" s="33">
        <f>C23-C25</f>
        <v>30659484.200000003</v>
      </c>
      <c r="D27" s="33">
        <f>D23-D25</f>
        <v>31614812.220000003</v>
      </c>
      <c r="E27" s="54">
        <f>E23-E25</f>
        <v>32162976.029999997</v>
      </c>
      <c r="F27" s="54">
        <f t="shared" ref="F27:N27" si="26">F23-F25</f>
        <v>36158120.079999998</v>
      </c>
      <c r="G27" s="54">
        <f t="shared" si="26"/>
        <v>40054599.07</v>
      </c>
      <c r="H27" s="54">
        <f t="shared" si="26"/>
        <v>44350051</v>
      </c>
      <c r="I27" s="54">
        <f t="shared" si="26"/>
        <v>46548924</v>
      </c>
      <c r="J27" s="54">
        <f t="shared" si="26"/>
        <v>48539139</v>
      </c>
      <c r="K27" s="54">
        <f t="shared" si="26"/>
        <v>55794997</v>
      </c>
      <c r="L27" s="54">
        <f t="shared" si="26"/>
        <v>60261058</v>
      </c>
      <c r="M27" s="54">
        <f t="shared" si="26"/>
        <v>59110320</v>
      </c>
      <c r="N27" s="54">
        <f t="shared" si="26"/>
        <v>58120333</v>
      </c>
      <c r="O27" s="9">
        <f>RATE(5,,-H27,M27)</f>
        <v>5.9141139509512275E-2</v>
      </c>
      <c r="P27" s="62"/>
      <c r="Q27" s="62"/>
      <c r="R27" s="62"/>
      <c r="S27" s="62"/>
      <c r="T27" s="4"/>
      <c r="U27" s="1"/>
      <c r="V27" s="1"/>
      <c r="W27" s="1"/>
      <c r="X27" s="1"/>
      <c r="Y27" s="1"/>
      <c r="Z27" s="1"/>
      <c r="AA27" s="1"/>
      <c r="AB27" s="1"/>
      <c r="AC27" s="1"/>
    </row>
    <row r="28" spans="1:29" ht="15" x14ac:dyDescent="0.2">
      <c r="A28" s="8"/>
      <c r="B28" s="33"/>
      <c r="C28" s="33"/>
      <c r="D28" s="3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9"/>
      <c r="P28" s="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" x14ac:dyDescent="0.2">
      <c r="A29" s="8" t="s">
        <v>18</v>
      </c>
      <c r="B29" s="33"/>
      <c r="C29" s="33"/>
      <c r="D29" s="3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9"/>
      <c r="P29" s="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" x14ac:dyDescent="0.2">
      <c r="A30" s="8" t="s">
        <v>152</v>
      </c>
      <c r="B30" s="33"/>
      <c r="C30" s="33"/>
      <c r="D30" s="33"/>
      <c r="E30" s="54"/>
      <c r="F30" s="54"/>
      <c r="G30" s="54"/>
      <c r="H30" s="54"/>
      <c r="I30" s="54"/>
      <c r="J30" s="54"/>
      <c r="K30" s="54">
        <v>3494336</v>
      </c>
      <c r="L30" s="54">
        <v>1032175</v>
      </c>
      <c r="M30" s="54">
        <v>842175</v>
      </c>
      <c r="N30" s="54">
        <v>842175</v>
      </c>
      <c r="O30" s="9"/>
      <c r="P30" s="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" x14ac:dyDescent="0.2">
      <c r="A31" s="50" t="s">
        <v>150</v>
      </c>
      <c r="B31" s="33"/>
      <c r="C31" s="33">
        <v>18351377.329999998</v>
      </c>
      <c r="D31" s="33">
        <v>20137687.23</v>
      </c>
      <c r="E31" s="54">
        <v>20818088.440000001</v>
      </c>
      <c r="F31" s="54">
        <v>27468938.59</v>
      </c>
      <c r="G31" s="54">
        <v>30996854.68</v>
      </c>
      <c r="H31" s="54">
        <v>34970789.909999996</v>
      </c>
      <c r="I31" s="54">
        <v>37290767</v>
      </c>
      <c r="J31" s="54">
        <v>38989339</v>
      </c>
      <c r="K31" s="54">
        <v>34937477</v>
      </c>
      <c r="L31" s="54">
        <v>37530961</v>
      </c>
      <c r="M31" s="54">
        <v>39130682</v>
      </c>
      <c r="N31" s="54">
        <v>39290369</v>
      </c>
      <c r="O31" s="9">
        <f>RATE(5,,-H31,M31)</f>
        <v>2.2733295965154166E-2</v>
      </c>
      <c r="P31" s="8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" x14ac:dyDescent="0.2">
      <c r="A32" s="50" t="s">
        <v>151</v>
      </c>
      <c r="B32" s="33"/>
      <c r="C32" s="33"/>
      <c r="D32" s="33"/>
      <c r="E32" s="54"/>
      <c r="F32" s="54"/>
      <c r="G32" s="54"/>
      <c r="H32" s="54"/>
      <c r="I32" s="54"/>
      <c r="J32" s="54"/>
      <c r="K32" s="54">
        <v>2025378</v>
      </c>
      <c r="L32" s="54">
        <v>2052983</v>
      </c>
      <c r="M32" s="54">
        <v>1829740</v>
      </c>
      <c r="N32" s="54">
        <v>1980175</v>
      </c>
      <c r="O32" s="9"/>
      <c r="P32" s="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30" ht="15" hidden="1" x14ac:dyDescent="0.2">
      <c r="A33" s="8" t="s">
        <v>86</v>
      </c>
      <c r="B33" s="33"/>
      <c r="C33" s="33">
        <v>283112.49</v>
      </c>
      <c r="D33" s="33">
        <v>309609.69</v>
      </c>
      <c r="E33" s="54">
        <v>354009.22</v>
      </c>
      <c r="F33" s="54">
        <v>459212.07</v>
      </c>
      <c r="G33" s="54">
        <v>314162.32</v>
      </c>
      <c r="H33" s="54"/>
      <c r="I33" s="54"/>
      <c r="J33" s="54"/>
      <c r="K33" s="54"/>
      <c r="L33" s="54"/>
      <c r="M33" s="54"/>
      <c r="N33" s="54"/>
      <c r="O33" s="9"/>
      <c r="P33" s="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30" ht="15" x14ac:dyDescent="0.2">
      <c r="A34" s="8" t="s">
        <v>149</v>
      </c>
      <c r="B34" s="33"/>
      <c r="C34" s="33"/>
      <c r="D34" s="33"/>
      <c r="E34" s="54"/>
      <c r="F34" s="54"/>
      <c r="G34" s="54"/>
      <c r="H34" s="54">
        <v>414379</v>
      </c>
      <c r="I34" s="54">
        <v>459155</v>
      </c>
      <c r="J34" s="54">
        <v>517691</v>
      </c>
      <c r="K34" s="54">
        <v>1789196</v>
      </c>
      <c r="L34" s="54">
        <v>1707837</v>
      </c>
      <c r="M34" s="54">
        <v>1697577</v>
      </c>
      <c r="N34" s="54">
        <v>1391275</v>
      </c>
      <c r="O34" s="9">
        <f>RATE(5,,-H34,M34)</f>
        <v>0.32582544264244306</v>
      </c>
      <c r="P34" s="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30" ht="15" hidden="1" x14ac:dyDescent="0.2">
      <c r="A35" s="8" t="s">
        <v>156</v>
      </c>
      <c r="B35" s="33"/>
      <c r="C35" s="33"/>
      <c r="D35" s="3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9"/>
      <c r="P35" s="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30" ht="15" x14ac:dyDescent="0.2">
      <c r="A36" s="8" t="s">
        <v>19</v>
      </c>
      <c r="B36" s="33">
        <f>(6000+18243095+500+265789)+36971</f>
        <v>18552355</v>
      </c>
      <c r="C36" s="33">
        <f>6500+32550.54</f>
        <v>39050.54</v>
      </c>
      <c r="D36" s="33">
        <f>22000+24432.91</f>
        <v>46432.91</v>
      </c>
      <c r="E36" s="54">
        <f>18800+18002.83</f>
        <v>36802.83</v>
      </c>
      <c r="F36" s="54">
        <f>118800</f>
        <v>118800</v>
      </c>
      <c r="G36" s="54">
        <f>18800+100000+48304.05</f>
        <v>167104.04999999999</v>
      </c>
      <c r="H36" s="54">
        <f>6000+12800+39154+615+144747</f>
        <v>203316</v>
      </c>
      <c r="I36" s="54">
        <f>12800+6000+34853</f>
        <v>53653</v>
      </c>
      <c r="J36" s="54">
        <f>12800+6000+29893+10512</f>
        <v>59205</v>
      </c>
      <c r="K36" s="54">
        <f>6000+12800+24841</f>
        <v>43641</v>
      </c>
      <c r="L36" s="54">
        <f>248509+12800+31772</f>
        <v>293081</v>
      </c>
      <c r="M36" s="54">
        <f>248509+12800+14737</f>
        <v>276046</v>
      </c>
      <c r="N36" s="54">
        <f>12800+248509</f>
        <v>261309</v>
      </c>
      <c r="O36" s="39">
        <f t="shared" ref="O36:O39" si="27">RATE(5,,-H36,M36)</f>
        <v>6.3070288464861415E-2</v>
      </c>
      <c r="P36" s="8"/>
      <c r="Q36" s="1"/>
      <c r="R36" s="1"/>
      <c r="S36" s="1"/>
      <c r="T36" s="2"/>
      <c r="U36" s="2"/>
      <c r="V36" s="2"/>
      <c r="W36" s="2"/>
      <c r="X36" s="2"/>
      <c r="Y36" s="2"/>
      <c r="Z36" s="2"/>
      <c r="AA36" s="2"/>
      <c r="AB36" s="2"/>
      <c r="AC36" s="1"/>
    </row>
    <row r="37" spans="1:30" ht="15" x14ac:dyDescent="0.2">
      <c r="A37" s="8" t="s">
        <v>20</v>
      </c>
      <c r="B37" s="34">
        <f>SUM(B31:B36)</f>
        <v>18552355</v>
      </c>
      <c r="C37" s="34">
        <f>SUM(C31:C36)</f>
        <v>18673540.359999996</v>
      </c>
      <c r="D37" s="34">
        <f>SUM(D31:D36)</f>
        <v>20493729.830000002</v>
      </c>
      <c r="E37" s="65">
        <f>SUM(E31:E36)</f>
        <v>21208900.489999998</v>
      </c>
      <c r="F37" s="65">
        <f t="shared" ref="F37" si="28">SUM(F31:F36)</f>
        <v>28046950.66</v>
      </c>
      <c r="G37" s="65">
        <f t="shared" ref="G37:K37" si="29">SUM(G30:G36)</f>
        <v>31478121.050000001</v>
      </c>
      <c r="H37" s="65">
        <f t="shared" si="29"/>
        <v>35588484.909999996</v>
      </c>
      <c r="I37" s="65">
        <f t="shared" si="29"/>
        <v>37803575</v>
      </c>
      <c r="J37" s="65">
        <f t="shared" si="29"/>
        <v>39566235</v>
      </c>
      <c r="K37" s="65">
        <f t="shared" si="29"/>
        <v>42290028</v>
      </c>
      <c r="L37" s="65">
        <f>SUM(L30:L36)</f>
        <v>42617037</v>
      </c>
      <c r="M37" s="65">
        <f>SUM(M30:M36)</f>
        <v>43776220</v>
      </c>
      <c r="N37" s="65">
        <f>SUM(N30:N36)</f>
        <v>43765303</v>
      </c>
      <c r="O37" s="40">
        <f t="shared" si="27"/>
        <v>4.2283233865177711E-2</v>
      </c>
      <c r="P37" s="8"/>
      <c r="Q37" s="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30" ht="15" x14ac:dyDescent="0.2">
      <c r="A38" s="8" t="s">
        <v>21</v>
      </c>
      <c r="B38" s="34">
        <f>B27+B37</f>
        <v>48776567</v>
      </c>
      <c r="C38" s="34">
        <f>C27+C37</f>
        <v>49333024.560000002</v>
      </c>
      <c r="D38" s="34">
        <f>D27+D37</f>
        <v>52108542.050000004</v>
      </c>
      <c r="E38" s="65">
        <f>E27+E37</f>
        <v>53371876.519999996</v>
      </c>
      <c r="F38" s="65">
        <f t="shared" ref="F38:H38" si="30">F27+F37</f>
        <v>64205070.739999995</v>
      </c>
      <c r="G38" s="65">
        <f t="shared" si="30"/>
        <v>71532720.120000005</v>
      </c>
      <c r="H38" s="65">
        <f t="shared" si="30"/>
        <v>79938535.909999996</v>
      </c>
      <c r="I38" s="65">
        <f t="shared" ref="I38:M38" si="31">I27+I37</f>
        <v>84352499</v>
      </c>
      <c r="J38" s="65">
        <f t="shared" si="31"/>
        <v>88105374</v>
      </c>
      <c r="K38" s="65">
        <f t="shared" si="31"/>
        <v>98085025</v>
      </c>
      <c r="L38" s="65">
        <f t="shared" si="31"/>
        <v>102878095</v>
      </c>
      <c r="M38" s="65">
        <f t="shared" si="31"/>
        <v>102886540</v>
      </c>
      <c r="N38" s="65">
        <f t="shared" ref="N38" si="32">N27+N37</f>
        <v>101885636</v>
      </c>
      <c r="O38" s="40">
        <f t="shared" si="27"/>
        <v>5.176926234215791E-2</v>
      </c>
      <c r="P38" s="1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30" ht="15.75" thickBot="1" x14ac:dyDescent="0.25">
      <c r="A39" s="8" t="s">
        <v>22</v>
      </c>
      <c r="B39" s="34">
        <f t="shared" ref="B39:N39" si="33">B18+B27+B37</f>
        <v>54188370</v>
      </c>
      <c r="C39" s="34">
        <f t="shared" si="33"/>
        <v>54840363.620000005</v>
      </c>
      <c r="D39" s="34">
        <f t="shared" si="33"/>
        <v>57747803.670000002</v>
      </c>
      <c r="E39" s="66">
        <f t="shared" si="33"/>
        <v>59762196.539999992</v>
      </c>
      <c r="F39" s="66">
        <f t="shared" si="33"/>
        <v>69384320.700000003</v>
      </c>
      <c r="G39" s="66">
        <f t="shared" si="33"/>
        <v>77984378.560000002</v>
      </c>
      <c r="H39" s="66">
        <f t="shared" si="33"/>
        <v>87952354.909999996</v>
      </c>
      <c r="I39" s="66">
        <f t="shared" ref="I39:M39" si="34">I18+I27+I37</f>
        <v>91518871</v>
      </c>
      <c r="J39" s="66">
        <f t="shared" si="34"/>
        <v>99020724</v>
      </c>
      <c r="K39" s="66">
        <f t="shared" si="34"/>
        <v>110905617</v>
      </c>
      <c r="L39" s="66">
        <f t="shared" si="34"/>
        <v>117808677</v>
      </c>
      <c r="M39" s="66">
        <f t="shared" si="34"/>
        <v>122341699</v>
      </c>
      <c r="N39" s="66">
        <f t="shared" si="33"/>
        <v>119171579</v>
      </c>
      <c r="O39" s="9">
        <f t="shared" si="27"/>
        <v>6.8231565829257074E-2</v>
      </c>
      <c r="P39" s="1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30" ht="15.75" thickTop="1" x14ac:dyDescent="0.2">
      <c r="A40" s="8"/>
      <c r="B40" s="35"/>
      <c r="C40" s="35"/>
      <c r="D40" s="35"/>
      <c r="E40" s="67"/>
      <c r="F40" s="68"/>
      <c r="G40" s="68"/>
      <c r="H40" s="68"/>
      <c r="I40" s="68"/>
      <c r="J40" s="68"/>
      <c r="K40" s="68"/>
      <c r="L40" s="68"/>
      <c r="M40" s="68"/>
      <c r="N40" s="68"/>
      <c r="O40" s="20"/>
      <c r="P40" s="8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30" ht="15.75" x14ac:dyDescent="0.25">
      <c r="A41" s="10" t="s">
        <v>23</v>
      </c>
      <c r="B41" s="33"/>
      <c r="C41" s="33"/>
      <c r="D41" s="3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9"/>
      <c r="P41" s="8"/>
      <c r="Q41" s="6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30" ht="15" x14ac:dyDescent="0.2">
      <c r="A42" s="8" t="s">
        <v>85</v>
      </c>
      <c r="B42" s="33">
        <f>1877153</f>
        <v>1877153</v>
      </c>
      <c r="C42" s="36">
        <v>903800</v>
      </c>
      <c r="D42" s="36">
        <v>1010700</v>
      </c>
      <c r="E42" s="55">
        <v>1265700</v>
      </c>
      <c r="F42" s="55">
        <v>1120000</v>
      </c>
      <c r="G42" s="55">
        <v>899400</v>
      </c>
      <c r="H42" s="55">
        <v>2327361</v>
      </c>
      <c r="I42" s="55">
        <v>2300296</v>
      </c>
      <c r="J42" s="55">
        <v>2400827</v>
      </c>
      <c r="K42" s="55">
        <v>1789327</v>
      </c>
      <c r="L42" s="55">
        <f>1835307+33365</f>
        <v>1868672</v>
      </c>
      <c r="M42" s="55">
        <f>1786382+33875</f>
        <v>1820257</v>
      </c>
      <c r="N42" s="55">
        <f>1769345+34350</f>
        <v>1803695</v>
      </c>
      <c r="O42" s="9">
        <f t="shared" ref="O42:O46" si="35">RATE(5,,-H42,M42)</f>
        <v>-4.7963078208969813E-2</v>
      </c>
      <c r="P42" s="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90" t="s">
        <v>182</v>
      </c>
    </row>
    <row r="43" spans="1:30" ht="15" x14ac:dyDescent="0.2">
      <c r="A43" s="8" t="s">
        <v>76</v>
      </c>
      <c r="B43" s="33">
        <v>1981166</v>
      </c>
      <c r="C43" s="33">
        <v>2179420.88</v>
      </c>
      <c r="D43" s="33">
        <v>1964289.61</v>
      </c>
      <c r="E43" s="54">
        <v>2312289.2400000002</v>
      </c>
      <c r="F43" s="54">
        <v>3051478.61</v>
      </c>
      <c r="G43" s="54">
        <v>3576698.66</v>
      </c>
      <c r="H43" s="55">
        <v>3864604</v>
      </c>
      <c r="I43" s="55">
        <v>4178743</v>
      </c>
      <c r="J43" s="55">
        <v>4087741</v>
      </c>
      <c r="K43" s="55">
        <v>4573842</v>
      </c>
      <c r="L43" s="55">
        <v>4649958</v>
      </c>
      <c r="M43" s="55">
        <v>5741868</v>
      </c>
      <c r="N43" s="54">
        <v>4772619</v>
      </c>
      <c r="O43" s="9">
        <f t="shared" si="35"/>
        <v>8.2404629374623228E-2</v>
      </c>
      <c r="P43" s="8"/>
      <c r="Q43" s="2">
        <f t="shared" ref="Q43:U44" si="36">B43/C$146</f>
        <v>6.7292427144942435E-2</v>
      </c>
      <c r="R43" s="2">
        <f t="shared" si="36"/>
        <v>7.2314544113123422E-2</v>
      </c>
      <c r="S43" s="2">
        <f t="shared" si="36"/>
        <v>5.627632980968101E-2</v>
      </c>
      <c r="T43" s="2">
        <f t="shared" ref="T43:AA43" si="37">E43/E$146</f>
        <v>6.6246418666143975E-2</v>
      </c>
      <c r="U43" s="2">
        <f t="shared" si="37"/>
        <v>7.6892217902695487E-2</v>
      </c>
      <c r="V43" s="2">
        <f t="shared" si="37"/>
        <v>7.6296973521674388E-2</v>
      </c>
      <c r="W43" s="2">
        <f t="shared" si="37"/>
        <v>7.6555784834846805E-2</v>
      </c>
      <c r="X43" s="2">
        <f t="shared" si="37"/>
        <v>8.1083101688654111E-2</v>
      </c>
      <c r="Y43" s="2">
        <f t="shared" si="37"/>
        <v>7.8512780752593839E-2</v>
      </c>
      <c r="Z43" s="2">
        <f t="shared" si="37"/>
        <v>8.6617217397163451E-2</v>
      </c>
      <c r="AA43" s="2">
        <f t="shared" si="37"/>
        <v>7.7263938590266326E-2</v>
      </c>
      <c r="AB43" s="2">
        <f>M43/M$146</f>
        <v>8.725900092651373E-2</v>
      </c>
      <c r="AC43" s="89">
        <f>AVERAGE(X43:AB43)</f>
        <v>8.2147207871038283E-2</v>
      </c>
      <c r="AD43" s="2"/>
    </row>
    <row r="44" spans="1:30" ht="15" x14ac:dyDescent="0.2">
      <c r="A44" s="8" t="s">
        <v>77</v>
      </c>
      <c r="B44" s="33">
        <v>237353</v>
      </c>
      <c r="C44" s="33">
        <v>242803.98</v>
      </c>
      <c r="D44" s="33">
        <v>262417</v>
      </c>
      <c r="E44" s="54">
        <v>303501</v>
      </c>
      <c r="F44" s="54">
        <v>358471.96</v>
      </c>
      <c r="G44" s="54">
        <v>412745.87</v>
      </c>
      <c r="H44" s="55">
        <v>483466.9</v>
      </c>
      <c r="I44" s="55">
        <v>447848</v>
      </c>
      <c r="J44" s="55">
        <v>488374</v>
      </c>
      <c r="K44" s="55">
        <v>598236</v>
      </c>
      <c r="L44" s="55">
        <v>626079</v>
      </c>
      <c r="M44" s="55">
        <v>575213</v>
      </c>
      <c r="N44" s="54">
        <v>580275</v>
      </c>
      <c r="O44" s="9">
        <f t="shared" si="35"/>
        <v>3.5362400371869079E-2</v>
      </c>
      <c r="P44" s="8"/>
      <c r="Q44" s="2">
        <f t="shared" si="36"/>
        <v>8.0619491047865359E-3</v>
      </c>
      <c r="R44" s="2">
        <f t="shared" si="36"/>
        <v>8.0563874943475541E-3</v>
      </c>
      <c r="S44" s="2">
        <f t="shared" si="36"/>
        <v>7.5181712332465381E-3</v>
      </c>
      <c r="T44" s="2">
        <f t="shared" si="36"/>
        <v>7.6477236147776849E-3</v>
      </c>
      <c r="U44" s="2">
        <f t="shared" si="36"/>
        <v>7.6468073607248539E-3</v>
      </c>
      <c r="V44" s="2">
        <f>AVERAGE(Q44:U44)</f>
        <v>7.7862077615766332E-3</v>
      </c>
      <c r="W44" s="2"/>
      <c r="X44" s="2"/>
      <c r="Y44" s="2"/>
      <c r="Z44" s="2"/>
      <c r="AA44" s="2"/>
      <c r="AB44" s="2"/>
      <c r="AC44" s="88"/>
    </row>
    <row r="45" spans="1:30" ht="15" x14ac:dyDescent="0.2">
      <c r="A45" s="8" t="s">
        <v>163</v>
      </c>
      <c r="B45" s="33">
        <f>563937+93023+431673</f>
        <v>1088633</v>
      </c>
      <c r="C45" s="33">
        <f>697947.88+457494.7</f>
        <v>1155442.58</v>
      </c>
      <c r="D45" s="33">
        <f>662136.89+553036.47</f>
        <v>1215173.3599999999</v>
      </c>
      <c r="E45" s="54">
        <f>728842.58+499428.16</f>
        <v>1228270.74</v>
      </c>
      <c r="F45" s="54">
        <f>595189.61+620907.14</f>
        <v>1216096.75</v>
      </c>
      <c r="G45" s="54">
        <f>930180.78+560448.45</f>
        <v>1490629.23</v>
      </c>
      <c r="H45" s="55">
        <f>571097+92362+831531</f>
        <v>1494990</v>
      </c>
      <c r="I45" s="55">
        <f>762903+93100+824968</f>
        <v>1680971</v>
      </c>
      <c r="J45" s="55">
        <f>678320+82635+957573+1465900</f>
        <v>3184428</v>
      </c>
      <c r="K45" s="55">
        <v>1662557</v>
      </c>
      <c r="L45" s="55">
        <v>2643177</v>
      </c>
      <c r="M45" s="55">
        <v>4736987</v>
      </c>
      <c r="N45" s="54">
        <v>3445154</v>
      </c>
      <c r="O45" s="39">
        <f t="shared" si="35"/>
        <v>0.25942636615887932</v>
      </c>
      <c r="P45" s="8"/>
      <c r="Q45" s="1"/>
      <c r="R45" s="1"/>
      <c r="S45" s="1"/>
      <c r="T45" s="1"/>
      <c r="U45" s="1"/>
      <c r="V45" s="1"/>
      <c r="W45" s="63">
        <f t="shared" ref="W45:AA45" si="38">H45/H39</f>
        <v>1.6997725661010387E-2</v>
      </c>
      <c r="X45" s="63">
        <f t="shared" si="38"/>
        <v>1.8367479642531867E-2</v>
      </c>
      <c r="Y45" s="63">
        <f t="shared" si="38"/>
        <v>3.2159207399857025E-2</v>
      </c>
      <c r="Z45" s="63">
        <f t="shared" si="38"/>
        <v>1.4990737574635196E-2</v>
      </c>
      <c r="AA45" s="63">
        <f t="shared" si="38"/>
        <v>2.2436182693062582E-2</v>
      </c>
      <c r="AB45" s="63">
        <f>M45/M39</f>
        <v>3.8719316788301261E-2</v>
      </c>
      <c r="AC45" s="89">
        <f>AVERAGE(X45:AB45)</f>
        <v>2.5334584819677586E-2</v>
      </c>
    </row>
    <row r="46" spans="1:30" ht="15" x14ac:dyDescent="0.2">
      <c r="A46" s="8" t="s">
        <v>24</v>
      </c>
      <c r="B46" s="34">
        <f t="shared" ref="B46:N46" si="39">SUM(B41:B45)</f>
        <v>5184305</v>
      </c>
      <c r="C46" s="34">
        <f t="shared" si="39"/>
        <v>4481467.4399999995</v>
      </c>
      <c r="D46" s="34">
        <f t="shared" si="39"/>
        <v>4452579.9700000007</v>
      </c>
      <c r="E46" s="65">
        <f t="shared" si="39"/>
        <v>5109760.9800000004</v>
      </c>
      <c r="F46" s="65">
        <f t="shared" si="39"/>
        <v>5746047.3200000003</v>
      </c>
      <c r="G46" s="65">
        <f t="shared" si="39"/>
        <v>6379473.7599999998</v>
      </c>
      <c r="H46" s="65">
        <f t="shared" si="39"/>
        <v>8170421.9000000004</v>
      </c>
      <c r="I46" s="65">
        <f t="shared" ref="I46:L46" si="40">SUM(I41:I45)</f>
        <v>8607858</v>
      </c>
      <c r="J46" s="65">
        <f t="shared" si="40"/>
        <v>10161370</v>
      </c>
      <c r="K46" s="65">
        <f t="shared" si="40"/>
        <v>8623962</v>
      </c>
      <c r="L46" s="65">
        <f t="shared" si="40"/>
        <v>9787886</v>
      </c>
      <c r="M46" s="65">
        <f t="shared" ref="M46" si="41">SUM(M41:M45)</f>
        <v>12874325</v>
      </c>
      <c r="N46" s="65">
        <f t="shared" si="39"/>
        <v>10601743</v>
      </c>
      <c r="O46" s="9">
        <f t="shared" si="35"/>
        <v>9.5206460679421942E-2</v>
      </c>
      <c r="P46" s="8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30" ht="15" x14ac:dyDescent="0.2">
      <c r="A47" s="8"/>
      <c r="B47" s="33"/>
      <c r="C47" s="33"/>
      <c r="D47" s="3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9"/>
      <c r="P47" s="8"/>
      <c r="Q47" s="1" t="s">
        <v>80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30" ht="15" x14ac:dyDescent="0.2">
      <c r="A48" s="8" t="s">
        <v>175</v>
      </c>
      <c r="B48" s="33">
        <f>24868051</f>
        <v>24868051</v>
      </c>
      <c r="C48" s="33">
        <v>23901316.620000001</v>
      </c>
      <c r="D48" s="33">
        <v>24396245.760000002</v>
      </c>
      <c r="E48" s="54">
        <v>23717457.039999999</v>
      </c>
      <c r="F48" s="54">
        <v>23575449.780000001</v>
      </c>
      <c r="G48" s="54">
        <v>25918652.879999999</v>
      </c>
      <c r="H48" s="54">
        <v>31147290</v>
      </c>
      <c r="I48" s="54">
        <v>30664340</v>
      </c>
      <c r="J48" s="54">
        <v>33466250</v>
      </c>
      <c r="K48" s="54">
        <v>12410760</v>
      </c>
      <c r="L48" s="54">
        <v>12103097</v>
      </c>
      <c r="M48" s="54">
        <v>11782735</v>
      </c>
      <c r="N48" s="54">
        <v>8118280</v>
      </c>
      <c r="O48" s="95">
        <f>RATE(5,,-H48,(M48+M49+M50+M51))</f>
        <v>6.9517213617593263E-2</v>
      </c>
      <c r="P48" s="8"/>
      <c r="Q48" s="1">
        <f t="shared" ref="Q48:U48" si="42">B42+B48</f>
        <v>26745204</v>
      </c>
      <c r="R48" s="1">
        <f t="shared" si="42"/>
        <v>24805116.620000001</v>
      </c>
      <c r="S48" s="1">
        <f t="shared" si="42"/>
        <v>25406945.760000002</v>
      </c>
      <c r="T48" s="1">
        <f t="shared" si="42"/>
        <v>24983157.039999999</v>
      </c>
      <c r="U48" s="1">
        <f t="shared" si="42"/>
        <v>24695449.780000001</v>
      </c>
      <c r="V48" s="61">
        <f>G42+G48</f>
        <v>26818052.879999999</v>
      </c>
      <c r="W48" s="91">
        <f t="shared" ref="W48:Y48" si="43">(H42+H48+H49+H50+H51)</f>
        <v>33474651</v>
      </c>
      <c r="X48" s="91">
        <f t="shared" si="43"/>
        <v>32964636</v>
      </c>
      <c r="Y48" s="91">
        <f t="shared" si="43"/>
        <v>35867077</v>
      </c>
      <c r="Z48" s="91">
        <f t="shared" ref="Z48:AA48" si="44">(K42+K48+K49)</f>
        <v>37204480</v>
      </c>
      <c r="AA48" s="91">
        <f t="shared" si="44"/>
        <v>41476675</v>
      </c>
      <c r="AB48" s="91">
        <f>(M42+M48+M49)</f>
        <v>43748540</v>
      </c>
      <c r="AC48" s="1"/>
    </row>
    <row r="49" spans="1:30" ht="15" x14ac:dyDescent="0.2">
      <c r="A49" s="8" t="s">
        <v>159</v>
      </c>
      <c r="B49" s="33"/>
      <c r="C49" s="33"/>
      <c r="D49" s="33"/>
      <c r="E49" s="54"/>
      <c r="F49" s="54"/>
      <c r="G49" s="54"/>
      <c r="H49" s="54"/>
      <c r="I49" s="54"/>
      <c r="J49" s="54"/>
      <c r="K49" s="54">
        <v>23004393</v>
      </c>
      <c r="L49" s="54">
        <v>27504906</v>
      </c>
      <c r="M49" s="54">
        <v>30145548</v>
      </c>
      <c r="N49" s="54">
        <v>29585807</v>
      </c>
      <c r="O49" s="96"/>
      <c r="P49" s="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ht="15" x14ac:dyDescent="0.2">
      <c r="A50" s="8" t="s">
        <v>160</v>
      </c>
      <c r="B50" s="33"/>
      <c r="C50" s="33"/>
      <c r="D50" s="33"/>
      <c r="E50" s="54"/>
      <c r="F50" s="54"/>
      <c r="G50" s="54"/>
      <c r="H50" s="54"/>
      <c r="I50" s="54"/>
      <c r="J50" s="54"/>
      <c r="K50" s="54">
        <v>6605415</v>
      </c>
      <c r="L50" s="54">
        <v>5598769</v>
      </c>
      <c r="M50" s="54">
        <v>4772956</v>
      </c>
      <c r="N50" s="54">
        <v>4151374</v>
      </c>
      <c r="O50" s="96"/>
      <c r="P50" s="8"/>
      <c r="Q50" s="61">
        <f>+L50-K50</f>
        <v>-1006646</v>
      </c>
      <c r="R50" s="61">
        <f>+M50-L50</f>
        <v>-825813</v>
      </c>
      <c r="S50" s="61">
        <f>(+R50+Q50)/2</f>
        <v>-916229.5</v>
      </c>
      <c r="T50" s="1">
        <f>+S50*0.5</f>
        <v>-458114.75</v>
      </c>
      <c r="U50" s="1"/>
      <c r="V50" s="1"/>
      <c r="W50" s="1"/>
      <c r="X50" s="1"/>
      <c r="Y50" s="1"/>
      <c r="Z50" s="1"/>
      <c r="AA50" s="1"/>
      <c r="AB50" s="1"/>
      <c r="AC50" s="1"/>
    </row>
    <row r="51" spans="1:30" ht="15" x14ac:dyDescent="0.2">
      <c r="A51" s="8" t="s">
        <v>158</v>
      </c>
      <c r="B51" s="33"/>
      <c r="C51" s="33"/>
      <c r="D51" s="33"/>
      <c r="E51" s="54"/>
      <c r="F51" s="54"/>
      <c r="G51" s="54"/>
      <c r="H51" s="54"/>
      <c r="I51" s="54"/>
      <c r="J51" s="54"/>
      <c r="K51" s="54">
        <v>-888682</v>
      </c>
      <c r="L51" s="54">
        <v>-1235072</v>
      </c>
      <c r="M51" s="54">
        <v>-3114020</v>
      </c>
      <c r="N51" s="54"/>
      <c r="O51" s="96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ht="15" x14ac:dyDescent="0.2">
      <c r="A52" s="8" t="s">
        <v>161</v>
      </c>
      <c r="B52" s="33"/>
      <c r="C52" s="33"/>
      <c r="D52" s="33"/>
      <c r="E52" s="54"/>
      <c r="F52" s="54"/>
      <c r="G52" s="54"/>
      <c r="H52" s="54"/>
      <c r="I52" s="54"/>
      <c r="J52" s="54"/>
      <c r="K52" s="54"/>
      <c r="L52" s="54">
        <v>139374</v>
      </c>
      <c r="M52" s="54">
        <v>105498</v>
      </c>
      <c r="N52" s="54">
        <v>73991</v>
      </c>
      <c r="O52" s="97"/>
      <c r="P52" s="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ht="15" x14ac:dyDescent="0.2">
      <c r="A53" s="8" t="s">
        <v>162</v>
      </c>
      <c r="B53" s="33"/>
      <c r="C53" s="33"/>
      <c r="D53" s="33"/>
      <c r="E53" s="54"/>
      <c r="F53" s="54"/>
      <c r="G53" s="54"/>
      <c r="H53" s="54"/>
      <c r="I53" s="54"/>
      <c r="J53" s="54"/>
      <c r="K53" s="54">
        <v>2463923</v>
      </c>
      <c r="L53" s="54">
        <v>1160792</v>
      </c>
      <c r="M53" s="54">
        <v>1208351</v>
      </c>
      <c r="N53" s="54">
        <v>1274713</v>
      </c>
      <c r="O53" s="9"/>
      <c r="P53" s="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ht="15" x14ac:dyDescent="0.2">
      <c r="A54" s="8" t="s">
        <v>26</v>
      </c>
      <c r="B54" s="33"/>
      <c r="C54" s="33"/>
      <c r="D54" s="3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9"/>
      <c r="P54" s="8"/>
      <c r="Q54" s="2">
        <f>+Q48/B39</f>
        <v>0.49355985426393156</v>
      </c>
      <c r="R54" s="2">
        <f t="shared" ref="R54:AA54" si="45">+R48/C39</f>
        <v>0.45231495531064825</v>
      </c>
      <c r="S54" s="2">
        <f t="shared" si="45"/>
        <v>0.4399638452951054</v>
      </c>
      <c r="T54" s="2">
        <f t="shared" si="45"/>
        <v>0.41804281780838309</v>
      </c>
      <c r="U54" s="2">
        <f t="shared" si="45"/>
        <v>0.35592262820842174</v>
      </c>
      <c r="V54" s="2">
        <f t="shared" si="45"/>
        <v>0.34389006330757121</v>
      </c>
      <c r="W54" s="2">
        <f t="shared" si="45"/>
        <v>0.38059982628383271</v>
      </c>
      <c r="X54" s="2">
        <f t="shared" si="45"/>
        <v>0.3601949591358049</v>
      </c>
      <c r="Y54" s="2">
        <f t="shared" si="45"/>
        <v>0.36221788279390887</v>
      </c>
      <c r="Z54" s="2">
        <f t="shared" si="45"/>
        <v>0.33546073685339128</v>
      </c>
      <c r="AA54" s="2">
        <f t="shared" si="45"/>
        <v>0.3520680823875138</v>
      </c>
      <c r="AB54" s="2">
        <f>+AB48/M39</f>
        <v>0.35759303947544491</v>
      </c>
      <c r="AC54" s="2">
        <f t="shared" ref="AC54" si="46">+AC48/N39</f>
        <v>0</v>
      </c>
      <c r="AD54" s="2">
        <f>AVERAGE(U54:AC54)</f>
        <v>0.31643857982732104</v>
      </c>
    </row>
    <row r="55" spans="1:30" ht="15" x14ac:dyDescent="0.2">
      <c r="A55" s="8" t="s">
        <v>94</v>
      </c>
      <c r="B55" s="33"/>
      <c r="C55" s="33">
        <v>1916466.32</v>
      </c>
      <c r="D55" s="33">
        <v>1954306.01</v>
      </c>
      <c r="E55" s="54">
        <v>2119618.98</v>
      </c>
      <c r="F55" s="54">
        <v>2500863.25</v>
      </c>
      <c r="G55" s="54">
        <v>2331527.7400000002</v>
      </c>
      <c r="H55" s="54"/>
      <c r="I55" s="54"/>
      <c r="J55" s="54"/>
      <c r="K55" s="54"/>
      <c r="L55" s="54"/>
      <c r="M55" s="54"/>
      <c r="N55" s="54"/>
      <c r="O55" s="9"/>
      <c r="P55" s="8"/>
      <c r="Q55" s="2"/>
      <c r="R55" s="2"/>
      <c r="S55" s="2"/>
      <c r="T55" s="2"/>
      <c r="U55" s="1"/>
      <c r="V55" s="1"/>
      <c r="W55" s="1"/>
      <c r="X55" s="1"/>
      <c r="Y55" s="1"/>
      <c r="Z55" s="1"/>
      <c r="AA55" s="1"/>
      <c r="AB55" s="2"/>
      <c r="AC55" s="1"/>
    </row>
    <row r="56" spans="1:30" ht="15" x14ac:dyDescent="0.2">
      <c r="A56" s="8" t="s">
        <v>27</v>
      </c>
      <c r="B56" s="33">
        <v>424085</v>
      </c>
      <c r="C56" s="33">
        <v>484012.38</v>
      </c>
      <c r="D56" s="33">
        <v>485547.51</v>
      </c>
      <c r="E56" s="54">
        <v>546477.87</v>
      </c>
      <c r="F56" s="54">
        <v>527750</v>
      </c>
      <c r="G56" s="54">
        <v>623842.84</v>
      </c>
      <c r="H56" s="54">
        <v>478666</v>
      </c>
      <c r="I56" s="54">
        <v>470985</v>
      </c>
      <c r="J56" s="54">
        <v>605347</v>
      </c>
      <c r="K56" s="54">
        <v>1632797</v>
      </c>
      <c r="L56" s="54">
        <v>2380512</v>
      </c>
      <c r="M56" s="54">
        <v>1110143</v>
      </c>
      <c r="N56" s="54">
        <f>912750+1</f>
        <v>912751</v>
      </c>
      <c r="O56" s="39">
        <f t="shared" ref="O56:O57" si="47">RATE(5,,-H56,M56)</f>
        <v>0.18323026299492431</v>
      </c>
      <c r="P56" s="8"/>
      <c r="Q56" s="2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ht="15" x14ac:dyDescent="0.2">
      <c r="A57" s="8" t="s">
        <v>28</v>
      </c>
      <c r="B57" s="34">
        <f>SUM(B48:B56)</f>
        <v>25292136</v>
      </c>
      <c r="C57" s="34">
        <f>SUM(C48:C56)</f>
        <v>26301795.32</v>
      </c>
      <c r="D57" s="34">
        <f>SUM(D48:D56)</f>
        <v>26836099.280000005</v>
      </c>
      <c r="E57" s="65">
        <f>SUM(E48:E56)</f>
        <v>26383553.890000001</v>
      </c>
      <c r="F57" s="65">
        <f t="shared" ref="F57:K57" si="48">SUM(F48:F56)</f>
        <v>26604063.030000001</v>
      </c>
      <c r="G57" s="65">
        <f t="shared" si="48"/>
        <v>28874023.459999997</v>
      </c>
      <c r="H57" s="65">
        <f t="shared" si="48"/>
        <v>31625956</v>
      </c>
      <c r="I57" s="65">
        <f t="shared" si="48"/>
        <v>31135325</v>
      </c>
      <c r="J57" s="65">
        <f t="shared" si="48"/>
        <v>34071597</v>
      </c>
      <c r="K57" s="65">
        <f t="shared" si="48"/>
        <v>45228606</v>
      </c>
      <c r="L57" s="65">
        <f>SUM(L48:L56)</f>
        <v>47652378</v>
      </c>
      <c r="M57" s="65">
        <f t="shared" ref="M57:N57" si="49">SUM(M48:M56)</f>
        <v>46011211</v>
      </c>
      <c r="N57" s="65">
        <f t="shared" si="49"/>
        <v>44116916</v>
      </c>
      <c r="O57" s="9">
        <f t="shared" si="47"/>
        <v>7.78640826678383E-2</v>
      </c>
      <c r="P57" s="8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ht="15" x14ac:dyDescent="0.2">
      <c r="A58" s="8"/>
      <c r="B58" s="33"/>
      <c r="C58" s="33"/>
      <c r="D58" s="33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39"/>
      <c r="P58" s="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ht="15" x14ac:dyDescent="0.2">
      <c r="A59" s="8" t="s">
        <v>29</v>
      </c>
      <c r="B59" s="34">
        <f>B57+B46</f>
        <v>30476441</v>
      </c>
      <c r="C59" s="34">
        <f>C57+C46</f>
        <v>30783262.759999998</v>
      </c>
      <c r="D59" s="34">
        <f>D57+D46</f>
        <v>31288679.250000007</v>
      </c>
      <c r="E59" s="65">
        <f>E57+E46</f>
        <v>31493314.870000001</v>
      </c>
      <c r="F59" s="65">
        <f t="shared" ref="F59:L59" si="50">F57+F46</f>
        <v>32350110.350000001</v>
      </c>
      <c r="G59" s="65">
        <f t="shared" si="50"/>
        <v>35253497.219999999</v>
      </c>
      <c r="H59" s="65">
        <f t="shared" si="50"/>
        <v>39796377.899999999</v>
      </c>
      <c r="I59" s="65">
        <f t="shared" si="50"/>
        <v>39743183</v>
      </c>
      <c r="J59" s="65">
        <f t="shared" si="50"/>
        <v>44232967</v>
      </c>
      <c r="K59" s="65">
        <f t="shared" si="50"/>
        <v>53852568</v>
      </c>
      <c r="L59" s="65">
        <f t="shared" si="50"/>
        <v>57440264</v>
      </c>
      <c r="M59" s="65">
        <f t="shared" ref="M59:N59" si="51">M57+M46</f>
        <v>58885536</v>
      </c>
      <c r="N59" s="65">
        <f t="shared" si="51"/>
        <v>54718659</v>
      </c>
      <c r="O59" s="9">
        <f>RATE(5,,-H59,M59)</f>
        <v>8.1516170508559763E-2</v>
      </c>
      <c r="P59" s="8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ht="15" x14ac:dyDescent="0.2">
      <c r="A60" s="8"/>
      <c r="B60" s="33"/>
      <c r="C60" s="33"/>
      <c r="D60" s="33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9"/>
      <c r="P60" s="8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ht="15.75" x14ac:dyDescent="0.25">
      <c r="A61" s="74" t="s">
        <v>81</v>
      </c>
      <c r="B61" s="33"/>
      <c r="C61" s="33"/>
      <c r="D61" s="33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9"/>
      <c r="P61" s="8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ht="15" x14ac:dyDescent="0.2">
      <c r="A62" s="21" t="s">
        <v>83</v>
      </c>
      <c r="B62" s="33">
        <f>25218038+181008</f>
        <v>25399046</v>
      </c>
      <c r="C62" s="33">
        <v>23864856.07</v>
      </c>
      <c r="D62" s="33">
        <v>26217759.030000001</v>
      </c>
      <c r="E62" s="54">
        <v>27983362.609999999</v>
      </c>
      <c r="F62" s="54">
        <v>36576428</v>
      </c>
      <c r="G62" s="54">
        <v>42225015.549999997</v>
      </c>
      <c r="H62" s="54">
        <v>41521065</v>
      </c>
      <c r="I62" s="54">
        <v>46613017</v>
      </c>
      <c r="J62" s="54">
        <v>50135053</v>
      </c>
      <c r="K62" s="54">
        <v>53443471</v>
      </c>
      <c r="L62" s="54">
        <v>56387593</v>
      </c>
      <c r="M62" s="54">
        <v>58433525</v>
      </c>
      <c r="N62" s="54">
        <v>61743171</v>
      </c>
      <c r="O62" s="9">
        <f t="shared" ref="O62:O66" si="52">RATE(5,,-H62,M62)</f>
        <v>7.0726916369431819E-2</v>
      </c>
      <c r="P62" s="8"/>
      <c r="Q62" s="61">
        <f t="shared" ref="Q62:V62" si="53">+C62+C169+C178</f>
        <v>25193712.680000003</v>
      </c>
      <c r="R62" s="61">
        <f t="shared" si="53"/>
        <v>26448038.100000005</v>
      </c>
      <c r="S62" s="61">
        <f t="shared" si="53"/>
        <v>28569390.759999998</v>
      </c>
      <c r="T62" s="61">
        <f t="shared" si="53"/>
        <v>36959648.169999994</v>
      </c>
      <c r="U62" s="61">
        <f t="shared" si="53"/>
        <v>43403127</v>
      </c>
      <c r="V62" s="61">
        <f t="shared" si="53"/>
        <v>42306833.729999997</v>
      </c>
      <c r="W62" s="61"/>
      <c r="X62" s="61"/>
      <c r="Y62" s="61"/>
      <c r="Z62" s="61"/>
      <c r="AA62" s="61"/>
      <c r="AB62" s="61">
        <f t="shared" ref="AB62" si="54">+N62+N169+N178</f>
        <v>63771550</v>
      </c>
      <c r="AC62" s="61"/>
    </row>
    <row r="63" spans="1:30" ht="15" x14ac:dyDescent="0.2">
      <c r="A63" s="8" t="s">
        <v>30</v>
      </c>
      <c r="B63" s="33">
        <f>2972294-4659411</f>
        <v>-1687117</v>
      </c>
      <c r="C63" s="33"/>
      <c r="D63" s="33"/>
      <c r="E63" s="54"/>
      <c r="F63" s="54"/>
      <c r="G63" s="54"/>
      <c r="H63" s="54">
        <f>473576+6031124+130212</f>
        <v>6634912</v>
      </c>
      <c r="I63" s="54">
        <f>734095+4344978+83598</f>
        <v>5162671</v>
      </c>
      <c r="J63" s="54">
        <f>803884+3551693+297127</f>
        <v>4652704</v>
      </c>
      <c r="K63" s="54">
        <f>2534558+232034+842986</f>
        <v>3609578</v>
      </c>
      <c r="L63" s="54">
        <f>4395063-1560831+263515+883073</f>
        <v>3980820</v>
      </c>
      <c r="M63" s="54">
        <f>4698011-960000+351894+932733</f>
        <v>5022638</v>
      </c>
      <c r="N63" s="54">
        <f>-879687+2392289+176273+1020874</f>
        <v>2709749</v>
      </c>
      <c r="O63" s="9">
        <f t="shared" si="52"/>
        <v>-5.415637248377192E-2</v>
      </c>
      <c r="P63" s="8"/>
      <c r="Q63" s="61">
        <f t="shared" ref="Q63:V63" si="55">+Q62-C62</f>
        <v>1328856.6100000031</v>
      </c>
      <c r="R63" s="61">
        <f t="shared" si="55"/>
        <v>230279.07000000402</v>
      </c>
      <c r="S63" s="61">
        <f t="shared" si="55"/>
        <v>586028.14999999851</v>
      </c>
      <c r="T63" s="61">
        <f t="shared" si="55"/>
        <v>383220.16999999434</v>
      </c>
      <c r="U63" s="61">
        <f t="shared" si="55"/>
        <v>1178111.450000003</v>
      </c>
      <c r="V63" s="61">
        <f t="shared" si="55"/>
        <v>785768.72999999672</v>
      </c>
      <c r="W63" s="61"/>
      <c r="X63" s="61"/>
      <c r="Y63" s="61"/>
      <c r="Z63" s="61"/>
      <c r="AA63" s="61"/>
      <c r="AB63" s="61">
        <f t="shared" ref="AB63" si="56">+AB62-N62</f>
        <v>2028379</v>
      </c>
      <c r="AC63" s="61">
        <f>AVERAGE(Q63:AB63)</f>
        <v>931520.45428571419</v>
      </c>
    </row>
    <row r="64" spans="1:30" ht="15" x14ac:dyDescent="0.2">
      <c r="A64" s="8" t="s">
        <v>87</v>
      </c>
      <c r="B64" s="33"/>
      <c r="C64" s="33">
        <v>192244.79</v>
      </c>
      <c r="D64" s="33">
        <v>241365.39</v>
      </c>
      <c r="E64" s="54">
        <v>285519.06</v>
      </c>
      <c r="F64" s="54">
        <v>457782.27</v>
      </c>
      <c r="G64" s="54">
        <v>505865.51</v>
      </c>
      <c r="H64" s="54"/>
      <c r="I64" s="54"/>
      <c r="J64" s="54"/>
      <c r="K64" s="54"/>
      <c r="L64" s="54"/>
      <c r="M64" s="54"/>
      <c r="N64" s="54"/>
      <c r="O64" s="39"/>
      <c r="P64" s="8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" x14ac:dyDescent="0.2">
      <c r="A65" s="21" t="s">
        <v>82</v>
      </c>
      <c r="B65" s="34">
        <f>SUM(B61:B63)</f>
        <v>23711929</v>
      </c>
      <c r="C65" s="34">
        <f t="shared" ref="C65:D65" si="57">SUM(C62:C64)</f>
        <v>24057100.859999999</v>
      </c>
      <c r="D65" s="34">
        <f t="shared" si="57"/>
        <v>26459124.420000002</v>
      </c>
      <c r="E65" s="65">
        <f>SUM(E62:E64)</f>
        <v>28268881.669999998</v>
      </c>
      <c r="F65" s="65">
        <f>SUM(F61:F64)</f>
        <v>37034210.270000003</v>
      </c>
      <c r="G65" s="65">
        <f>SUM(G61:G64)</f>
        <v>42730881.059999995</v>
      </c>
      <c r="H65" s="65">
        <f>SUM(H61:H64)</f>
        <v>48155977</v>
      </c>
      <c r="I65" s="65">
        <f t="shared" ref="I65:L65" si="58">SUM(I61:I64)</f>
        <v>51775688</v>
      </c>
      <c r="J65" s="65">
        <f t="shared" si="58"/>
        <v>54787757</v>
      </c>
      <c r="K65" s="65">
        <f t="shared" si="58"/>
        <v>57053049</v>
      </c>
      <c r="L65" s="65">
        <f t="shared" si="58"/>
        <v>60368413</v>
      </c>
      <c r="M65" s="65">
        <f>SUM(M61:M64)</f>
        <v>63456163</v>
      </c>
      <c r="N65" s="65">
        <f>SUM(N61:N64)</f>
        <v>64452920</v>
      </c>
      <c r="O65" s="40">
        <f t="shared" si="52"/>
        <v>5.6731666658456782E-2</v>
      </c>
      <c r="P65" s="8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thickBot="1" x14ac:dyDescent="0.25">
      <c r="A66" s="8" t="s">
        <v>31</v>
      </c>
      <c r="B66" s="34">
        <f>B65+B59</f>
        <v>54188370</v>
      </c>
      <c r="C66" s="34">
        <f>C65+C59</f>
        <v>54840363.619999997</v>
      </c>
      <c r="D66" s="34">
        <f>D65+D59</f>
        <v>57747803.670000009</v>
      </c>
      <c r="E66" s="65">
        <f t="shared" ref="E66:L66" si="59">E65+E59</f>
        <v>59762196.539999999</v>
      </c>
      <c r="F66" s="65">
        <f t="shared" si="59"/>
        <v>69384320.620000005</v>
      </c>
      <c r="G66" s="65">
        <f t="shared" si="59"/>
        <v>77984378.280000001</v>
      </c>
      <c r="H66" s="65">
        <f t="shared" si="59"/>
        <v>87952354.900000006</v>
      </c>
      <c r="I66" s="65">
        <f t="shared" si="59"/>
        <v>91518871</v>
      </c>
      <c r="J66" s="65">
        <f t="shared" si="59"/>
        <v>99020724</v>
      </c>
      <c r="K66" s="65">
        <f t="shared" si="59"/>
        <v>110905617</v>
      </c>
      <c r="L66" s="65">
        <f t="shared" si="59"/>
        <v>117808677</v>
      </c>
      <c r="M66" s="65">
        <f t="shared" ref="M66:N66" si="60">M65+M59</f>
        <v>122341699</v>
      </c>
      <c r="N66" s="65">
        <f t="shared" si="60"/>
        <v>119171579</v>
      </c>
      <c r="O66" s="9">
        <f t="shared" si="52"/>
        <v>6.8231565853548087E-2</v>
      </c>
      <c r="P66" s="2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thickTop="1" x14ac:dyDescent="0.2">
      <c r="A67" s="75"/>
      <c r="B67" s="35"/>
      <c r="C67" s="76"/>
      <c r="D67" s="76"/>
      <c r="E67" s="76"/>
      <c r="F67" s="76"/>
      <c r="G67" s="76">
        <f t="shared" ref="G67" si="61">+G66-G39</f>
        <v>-0.2800000011920929</v>
      </c>
      <c r="H67" s="76"/>
      <c r="I67" s="76"/>
      <c r="J67" s="76"/>
      <c r="K67" s="76"/>
      <c r="L67" s="76"/>
      <c r="M67" s="76"/>
      <c r="N67" s="76"/>
      <c r="O67" s="19"/>
      <c r="Q67" s="37">
        <f>AVERAGE(C67:N67)</f>
        <v>-0.2800000011920929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" hidden="1" x14ac:dyDescent="0.2">
      <c r="A68" s="75"/>
      <c r="B68" s="15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46" t="s">
        <v>0</v>
      </c>
      <c r="P68" s="8"/>
      <c r="Q68" s="37" t="e">
        <f>AVERAGE(C68:N68)</f>
        <v>#DIV/0!</v>
      </c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" hidden="1" x14ac:dyDescent="0.2">
      <c r="A69" s="75"/>
      <c r="B69" s="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85"/>
      <c r="N69" s="84" t="s">
        <v>181</v>
      </c>
      <c r="O69" s="83" t="s">
        <v>104</v>
      </c>
      <c r="P69" s="9"/>
      <c r="Q69" s="62" t="e">
        <f>+Q67/Q68</f>
        <v>#DIV/0!</v>
      </c>
      <c r="R69" s="4" t="e">
        <f>AVERAGE(C69:N69)</f>
        <v>#DIV/0!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hidden="1" x14ac:dyDescent="0.25">
      <c r="A70" s="5" t="str">
        <f>A3</f>
        <v>Empire Electric Association, Inc.</v>
      </c>
      <c r="B70" s="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2"/>
      <c r="P70" s="8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hidden="1" x14ac:dyDescent="0.25">
      <c r="A71" s="5" t="s">
        <v>32</v>
      </c>
      <c r="B71" s="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2"/>
      <c r="P71" s="8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hidden="1" x14ac:dyDescent="0.25">
      <c r="A72" s="5" t="s">
        <v>1</v>
      </c>
      <c r="B72" s="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2"/>
      <c r="P72" s="8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hidden="1" x14ac:dyDescent="0.25">
      <c r="A73" s="8"/>
      <c r="B73" s="8"/>
      <c r="C73" s="8"/>
      <c r="D73" s="8"/>
      <c r="E73" s="15"/>
      <c r="F73" s="14"/>
      <c r="G73" s="15"/>
      <c r="H73" s="15"/>
      <c r="I73" s="15"/>
      <c r="J73" s="15"/>
      <c r="K73" s="15"/>
      <c r="L73" s="15"/>
      <c r="M73" s="15"/>
      <c r="N73" s="14" t="str">
        <f>+N7</f>
        <v>11 Months</v>
      </c>
      <c r="O73" s="48" t="str">
        <f>O6</f>
        <v>2009 to 2014</v>
      </c>
      <c r="P73" s="8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hidden="1" x14ac:dyDescent="0.25">
      <c r="A74" s="73" t="s">
        <v>4</v>
      </c>
      <c r="B74" s="23">
        <f>B8</f>
        <v>2003</v>
      </c>
      <c r="C74" s="13">
        <f>C8</f>
        <v>2004</v>
      </c>
      <c r="D74" s="13">
        <v>2005</v>
      </c>
      <c r="E74" s="13">
        <v>2006</v>
      </c>
      <c r="F74" s="14">
        <f t="shared" ref="F74:M74" si="62">+F8</f>
        <v>2007</v>
      </c>
      <c r="G74" s="14">
        <f t="shared" si="62"/>
        <v>2008</v>
      </c>
      <c r="H74" s="14">
        <f t="shared" si="62"/>
        <v>2009</v>
      </c>
      <c r="I74" s="14">
        <f t="shared" si="62"/>
        <v>2010</v>
      </c>
      <c r="J74" s="14">
        <f t="shared" si="62"/>
        <v>2011</v>
      </c>
      <c r="K74" s="14">
        <f t="shared" si="62"/>
        <v>2012</v>
      </c>
      <c r="L74" s="14">
        <f t="shared" si="62"/>
        <v>2013</v>
      </c>
      <c r="M74" s="14">
        <f t="shared" si="62"/>
        <v>2014</v>
      </c>
      <c r="N74" s="14" t="str">
        <f>+N8</f>
        <v>YTD 2015</v>
      </c>
      <c r="O74" s="48" t="s">
        <v>33</v>
      </c>
      <c r="P74" s="8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" hidden="1" x14ac:dyDescent="0.2">
      <c r="A75" s="8"/>
      <c r="B75" s="1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17"/>
      <c r="P75" s="8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" hidden="1" x14ac:dyDescent="0.2">
      <c r="A76" s="8" t="s">
        <v>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9"/>
      <c r="P76" s="8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" hidden="1" x14ac:dyDescent="0.2">
      <c r="A77" s="8" t="str">
        <f>A11</f>
        <v>Cash &amp; Equivalents</v>
      </c>
      <c r="B77" s="9">
        <f t="shared" ref="B77:N77" si="63">B11/B$39</f>
        <v>5.3901344513592124E-2</v>
      </c>
      <c r="C77" s="9">
        <f t="shared" si="63"/>
        <v>5.3345477799368386E-2</v>
      </c>
      <c r="D77" s="9">
        <f t="shared" si="63"/>
        <v>5.3980074425227051E-2</v>
      </c>
      <c r="E77" s="9">
        <f t="shared" si="63"/>
        <v>5.6968051663249662E-2</v>
      </c>
      <c r="F77" s="9">
        <f t="shared" si="63"/>
        <v>2.6824917952969162E-2</v>
      </c>
      <c r="G77" s="9">
        <f t="shared" si="63"/>
        <v>3.0783727899466127E-2</v>
      </c>
      <c r="H77" s="9">
        <f t="shared" si="63"/>
        <v>1.7004183702987563E-2</v>
      </c>
      <c r="I77" s="9">
        <f t="shared" si="63"/>
        <v>3.6969533857121118E-3</v>
      </c>
      <c r="J77" s="9">
        <f t="shared" si="63"/>
        <v>7.7492667090577928E-3</v>
      </c>
      <c r="K77" s="9">
        <f t="shared" si="63"/>
        <v>1.4098898164914407E-2</v>
      </c>
      <c r="L77" s="9">
        <f t="shared" si="63"/>
        <v>5.3312253052464037E-2</v>
      </c>
      <c r="M77" s="9">
        <f t="shared" si="63"/>
        <v>6.9811193320112389E-3</v>
      </c>
      <c r="N77" s="9">
        <f t="shared" si="63"/>
        <v>6.0663541262636119E-3</v>
      </c>
      <c r="O77" s="9">
        <f>SUM(H11:M11)/SUM(H$39:M$39)</f>
        <v>1.7948771221090926E-2</v>
      </c>
      <c r="P77" s="8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" hidden="1" x14ac:dyDescent="0.2">
      <c r="A78" s="8" t="str">
        <f t="shared" ref="A78:A91" si="64">A12</f>
        <v>Cash - Construction Funds - Trustee</v>
      </c>
      <c r="B78" s="9"/>
      <c r="C78" s="9"/>
      <c r="D78" s="9"/>
      <c r="E78" s="9"/>
      <c r="F78" s="9"/>
      <c r="G78" s="9"/>
      <c r="H78" s="9">
        <f t="shared" ref="H78:N78" si="65">H12/H$39</f>
        <v>5.2301044181330835E-5</v>
      </c>
      <c r="I78" s="9">
        <f t="shared" si="65"/>
        <v>5.0262857809948292E-5</v>
      </c>
      <c r="J78" s="9"/>
      <c r="K78" s="9">
        <f t="shared" si="65"/>
        <v>3.0544891157316227E-4</v>
      </c>
      <c r="L78" s="9">
        <f t="shared" si="65"/>
        <v>8.1982840703660569E-3</v>
      </c>
      <c r="M78" s="9">
        <f t="shared" si="65"/>
        <v>1.6510919960331757E-2</v>
      </c>
      <c r="N78" s="9">
        <f t="shared" si="65"/>
        <v>3.1973965873188605E-2</v>
      </c>
      <c r="O78" s="9">
        <f t="shared" ref="O78:O84" si="66">SUM(H12:M12)/SUM(H$39:M$39)</f>
        <v>4.8185035534834006E-3</v>
      </c>
      <c r="P78" s="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" hidden="1" x14ac:dyDescent="0.2">
      <c r="A79" s="8" t="str">
        <f t="shared" si="64"/>
        <v>Temporary Investments</v>
      </c>
      <c r="B79" s="9"/>
      <c r="C79" s="9"/>
      <c r="D79" s="9"/>
      <c r="E79" s="9"/>
      <c r="F79" s="9"/>
      <c r="G79" s="9"/>
      <c r="H79" s="9">
        <f t="shared" ref="H79:N79" si="67">H13/H$39</f>
        <v>1.8034582492113059E-2</v>
      </c>
      <c r="I79" s="9">
        <f t="shared" si="67"/>
        <v>2.1919643217626669E-2</v>
      </c>
      <c r="J79" s="9">
        <f t="shared" si="67"/>
        <v>5.6555756954473492E-2</v>
      </c>
      <c r="K79" s="9">
        <f t="shared" si="67"/>
        <v>6.0235335059720195E-2</v>
      </c>
      <c r="L79" s="9">
        <f t="shared" si="67"/>
        <v>1.7026759412636474E-3</v>
      </c>
      <c r="M79" s="9">
        <f t="shared" si="67"/>
        <v>6.8442919041037678E-2</v>
      </c>
      <c r="N79" s="9">
        <f t="shared" si="67"/>
        <v>4.7480540641321872E-2</v>
      </c>
      <c r="O79" s="9">
        <f t="shared" si="66"/>
        <v>3.8832446798249522E-2</v>
      </c>
      <c r="P79" s="8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" hidden="1" x14ac:dyDescent="0.2">
      <c r="A80" s="8" t="str">
        <f t="shared" si="64"/>
        <v>Accounts Receivable, net</v>
      </c>
      <c r="B80" s="9">
        <f t="shared" ref="B80:G81" si="68">B14/B$39</f>
        <v>4.0840313152065655E-2</v>
      </c>
      <c r="C80" s="9">
        <f t="shared" si="68"/>
        <v>3.952650177559125E-2</v>
      </c>
      <c r="D80" s="9">
        <f t="shared" si="68"/>
        <v>3.615254550511289E-2</v>
      </c>
      <c r="E80" s="9">
        <f t="shared" si="68"/>
        <v>4.19219122630997E-2</v>
      </c>
      <c r="F80" s="9">
        <f t="shared" si="68"/>
        <v>3.9015265879802724E-2</v>
      </c>
      <c r="G80" s="9">
        <f t="shared" si="68"/>
        <v>4.4070207052503307E-2</v>
      </c>
      <c r="H80" s="9">
        <f t="shared" ref="H80:N80" si="69">H14/H$39</f>
        <v>4.8877895360493882E-2</v>
      </c>
      <c r="I80" s="9">
        <f t="shared" si="69"/>
        <v>4.2538177727301729E-2</v>
      </c>
      <c r="J80" s="9">
        <f t="shared" si="69"/>
        <v>3.9619393209041773E-2</v>
      </c>
      <c r="K80" s="9">
        <f t="shared" si="69"/>
        <v>3.4265397035751578E-2</v>
      </c>
      <c r="L80" s="9">
        <f t="shared" si="69"/>
        <v>5.4467499028106395E-2</v>
      </c>
      <c r="M80" s="9">
        <f t="shared" si="69"/>
        <v>5.8957919163767705E-2</v>
      </c>
      <c r="N80" s="9">
        <f t="shared" si="69"/>
        <v>5.3001764791586761E-2</v>
      </c>
      <c r="O80" s="9">
        <f t="shared" si="66"/>
        <v>4.6930649734842768E-2</v>
      </c>
      <c r="P80" s="8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" hidden="1" x14ac:dyDescent="0.2">
      <c r="A81" s="8" t="str">
        <f t="shared" si="64"/>
        <v>Material and Supplies</v>
      </c>
      <c r="B81" s="9">
        <f t="shared" si="68"/>
        <v>5.3273792882125815E-3</v>
      </c>
      <c r="C81" s="9">
        <f t="shared" si="68"/>
        <v>6.0242162559169402E-3</v>
      </c>
      <c r="D81" s="9">
        <f t="shared" si="68"/>
        <v>6.006362458078918E-3</v>
      </c>
      <c r="E81" s="9">
        <f t="shared" si="68"/>
        <v>6.4579015221049316E-3</v>
      </c>
      <c r="F81" s="9">
        <f t="shared" si="68"/>
        <v>7.7231360715764707E-3</v>
      </c>
      <c r="G81" s="9">
        <f t="shared" si="68"/>
        <v>6.8755285340572183E-3</v>
      </c>
      <c r="H81" s="9">
        <f t="shared" ref="H81:N81" si="70">H15/H$39</f>
        <v>6.0927874023197093E-3</v>
      </c>
      <c r="I81" s="9">
        <f t="shared" si="70"/>
        <v>6.8233031414908956E-3</v>
      </c>
      <c r="J81" s="9">
        <f t="shared" si="70"/>
        <v>5.2435387161984398E-3</v>
      </c>
      <c r="K81" s="9">
        <f t="shared" si="70"/>
        <v>4.5881445301368283E-3</v>
      </c>
      <c r="L81" s="9">
        <f t="shared" si="70"/>
        <v>5.2747303154928055E-3</v>
      </c>
      <c r="M81" s="9">
        <f t="shared" si="70"/>
        <v>4.700310725617763E-3</v>
      </c>
      <c r="N81" s="9">
        <f t="shared" si="70"/>
        <v>5.3215456681999654E-3</v>
      </c>
      <c r="O81" s="9">
        <f t="shared" si="66"/>
        <v>5.3766500837949659E-3</v>
      </c>
      <c r="P81" s="8"/>
      <c r="Q81" s="1"/>
      <c r="R81" s="2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" hidden="1" x14ac:dyDescent="0.2">
      <c r="A82" s="8" t="str">
        <f t="shared" si="64"/>
        <v>Prepayments</v>
      </c>
      <c r="B82" s="9"/>
      <c r="C82" s="9"/>
      <c r="D82" s="9"/>
      <c r="E82" s="9"/>
      <c r="F82" s="9"/>
      <c r="G82" s="9"/>
      <c r="H82" s="9"/>
      <c r="I82" s="9">
        <f t="shared" ref="I82:N82" si="71">I16/I$39</f>
        <v>3.1260328812404165E-3</v>
      </c>
      <c r="J82" s="9">
        <f t="shared" si="71"/>
        <v>8.1085046398974019E-4</v>
      </c>
      <c r="K82" s="9">
        <f t="shared" si="71"/>
        <v>1.9728847457744182E-3</v>
      </c>
      <c r="L82" s="9">
        <f t="shared" si="71"/>
        <v>2.4378340145522559E-3</v>
      </c>
      <c r="M82" s="9">
        <f t="shared" si="71"/>
        <v>2.5860029947761313E-3</v>
      </c>
      <c r="N82" s="9">
        <f t="shared" si="71"/>
        <v>1.0691055792757434E-3</v>
      </c>
      <c r="O82" s="9">
        <f t="shared" si="66"/>
        <v>1.8882755688234294E-3</v>
      </c>
      <c r="P82" s="8"/>
      <c r="Q82" s="1"/>
      <c r="R82" s="2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" hidden="1" x14ac:dyDescent="0.2">
      <c r="A83" s="8" t="str">
        <f t="shared" si="64"/>
        <v>Other Current Assets</v>
      </c>
      <c r="B83" s="9">
        <f t="shared" ref="B83:G84" si="72">B17/B$39</f>
        <v>-1.9884340495940366E-4</v>
      </c>
      <c r="C83" s="9">
        <f t="shared" si="72"/>
        <v>1.5287229052840477E-3</v>
      </c>
      <c r="D83" s="9">
        <f t="shared" si="72"/>
        <v>1.5142833916197663E-3</v>
      </c>
      <c r="E83" s="9">
        <f t="shared" si="72"/>
        <v>1.5812701920477304E-3</v>
      </c>
      <c r="F83" s="9">
        <f t="shared" si="72"/>
        <v>1.082506526578994E-3</v>
      </c>
      <c r="G83" s="9">
        <f t="shared" si="72"/>
        <v>1.0006750254470452E-3</v>
      </c>
      <c r="H83" s="39">
        <f t="shared" ref="H83:N83" si="73">H17/H$39</f>
        <v>1.0537068631628298E-3</v>
      </c>
      <c r="I83" s="39">
        <f t="shared" si="73"/>
        <v>1.5048262559969736E-4</v>
      </c>
      <c r="J83" s="39">
        <f t="shared" si="73"/>
        <v>2.0772419316990654E-4</v>
      </c>
      <c r="K83" s="39">
        <f t="shared" si="73"/>
        <v>1.3301400234759977E-4</v>
      </c>
      <c r="L83" s="39">
        <f t="shared" si="73"/>
        <v>1.3425666430325841E-3</v>
      </c>
      <c r="M83" s="39">
        <f t="shared" si="73"/>
        <v>8.4393138924774951E-4</v>
      </c>
      <c r="N83" s="39">
        <f t="shared" si="73"/>
        <v>1.376083134721241E-4</v>
      </c>
      <c r="O83" s="39">
        <f t="shared" si="66"/>
        <v>6.4043255885539276E-4</v>
      </c>
      <c r="P83" s="8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" hidden="1" x14ac:dyDescent="0.2">
      <c r="A84" s="8" t="str">
        <f t="shared" si="64"/>
        <v>Total Current Assets</v>
      </c>
      <c r="B84" s="17">
        <f t="shared" si="72"/>
        <v>9.9870193548910954E-2</v>
      </c>
      <c r="C84" s="17">
        <f t="shared" si="72"/>
        <v>0.10042491873616062</v>
      </c>
      <c r="D84" s="17">
        <f t="shared" si="72"/>
        <v>9.765326578003862E-2</v>
      </c>
      <c r="E84" s="17">
        <f t="shared" si="72"/>
        <v>0.10692913564050202</v>
      </c>
      <c r="F84" s="17">
        <f t="shared" si="72"/>
        <v>7.4645826430927348E-2</v>
      </c>
      <c r="G84" s="17">
        <f t="shared" si="72"/>
        <v>8.2730138511473691E-2</v>
      </c>
      <c r="H84" s="9">
        <f t="shared" ref="H84:N84" si="74">H18/H$39</f>
        <v>9.1115456865258376E-2</v>
      </c>
      <c r="I84" s="9">
        <f t="shared" si="74"/>
        <v>7.830485583678147E-2</v>
      </c>
      <c r="J84" s="9">
        <f t="shared" si="74"/>
        <v>0.11023298516783214</v>
      </c>
      <c r="K84" s="9">
        <f t="shared" si="74"/>
        <v>0.11559912245021819</v>
      </c>
      <c r="L84" s="9">
        <f t="shared" si="74"/>
        <v>0.12673584306527777</v>
      </c>
      <c r="M84" s="9">
        <f t="shared" si="74"/>
        <v>0.15902312260679002</v>
      </c>
      <c r="N84" s="9">
        <f t="shared" si="74"/>
        <v>0.14505088499330868</v>
      </c>
      <c r="O84" s="9">
        <f t="shared" si="66"/>
        <v>0.1164357295191404</v>
      </c>
      <c r="P84" s="8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" hidden="1" x14ac:dyDescent="0.2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8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" hidden="1" x14ac:dyDescent="0.2">
      <c r="A86" s="8" t="str">
        <f t="shared" si="64"/>
        <v>Plant &amp; Equipment: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8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" hidden="1" x14ac:dyDescent="0.2">
      <c r="A87" s="8" t="str">
        <f t="shared" si="64"/>
        <v>Plant in Service</v>
      </c>
      <c r="B87" s="9">
        <f t="shared" ref="B87:G88" si="75">B21/B$39</f>
        <v>0.85881097733701894</v>
      </c>
      <c r="C87" s="9">
        <f t="shared" si="75"/>
        <v>0.84742316429593345</v>
      </c>
      <c r="D87" s="9">
        <f t="shared" si="75"/>
        <v>0.85427399511002045</v>
      </c>
      <c r="E87" s="9">
        <f t="shared" si="75"/>
        <v>0.84644388474145604</v>
      </c>
      <c r="F87" s="9">
        <f t="shared" si="75"/>
        <v>0.78829336135591799</v>
      </c>
      <c r="G87" s="9">
        <f t="shared" si="75"/>
        <v>0.74048212727079787</v>
      </c>
      <c r="H87" s="9">
        <f t="shared" ref="H87:N87" si="76">H21/H$39</f>
        <v>0.68496038635516288</v>
      </c>
      <c r="I87" s="9">
        <f t="shared" si="76"/>
        <v>0.74407635557479723</v>
      </c>
      <c r="J87" s="9">
        <f t="shared" si="76"/>
        <v>0.71700122087574314</v>
      </c>
      <c r="K87" s="9">
        <f t="shared" si="76"/>
        <v>0.66978003467579106</v>
      </c>
      <c r="L87" s="9">
        <f t="shared" si="76"/>
        <v>0.64816545728630837</v>
      </c>
      <c r="M87" s="9">
        <f t="shared" si="76"/>
        <v>0.71055801669061336</v>
      </c>
      <c r="N87" s="9">
        <f t="shared" si="76"/>
        <v>0.73936189936696228</v>
      </c>
      <c r="O87" s="9">
        <f t="shared" ref="O87:O89" si="77">SUM(H21:M21)/SUM(H$39:M$39)</f>
        <v>0.6940085340926303</v>
      </c>
      <c r="P87" s="8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" hidden="1" x14ac:dyDescent="0.2">
      <c r="A88" s="8" t="str">
        <f t="shared" si="64"/>
        <v xml:space="preserve">  Construction Work in Progress</v>
      </c>
      <c r="B88" s="9">
        <f t="shared" si="75"/>
        <v>3.6056629863566662E-2</v>
      </c>
      <c r="C88" s="9">
        <f t="shared" si="75"/>
        <v>4.459956915945773E-2</v>
      </c>
      <c r="D88" s="9">
        <f t="shared" si="75"/>
        <v>2.7689194192344248E-2</v>
      </c>
      <c r="E88" s="9">
        <f t="shared" si="75"/>
        <v>3.417859045111999E-2</v>
      </c>
      <c r="F88" s="9">
        <f t="shared" si="75"/>
        <v>4.881085778216749E-2</v>
      </c>
      <c r="G88" s="9">
        <f t="shared" si="75"/>
        <v>6.4607420524913903E-2</v>
      </c>
      <c r="H88" s="39">
        <f t="shared" ref="H88:N88" si="78">H22/H$39</f>
        <v>8.8160311431506613E-2</v>
      </c>
      <c r="I88" s="39">
        <f t="shared" si="78"/>
        <v>2.8822842449618944E-2</v>
      </c>
      <c r="J88" s="39">
        <f t="shared" si="78"/>
        <v>3.0462077817164819E-2</v>
      </c>
      <c r="K88" s="39">
        <f t="shared" si="78"/>
        <v>7.6760882183271206E-2</v>
      </c>
      <c r="L88" s="39">
        <f t="shared" si="78"/>
        <v>0.10605134798347664</v>
      </c>
      <c r="M88" s="39">
        <f t="shared" si="78"/>
        <v>1.744635735359536E-2</v>
      </c>
      <c r="N88" s="39">
        <f t="shared" si="78"/>
        <v>1.5211412110264982E-2</v>
      </c>
      <c r="O88" s="39">
        <f t="shared" si="77"/>
        <v>5.805676503532807E-2</v>
      </c>
      <c r="P88" s="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" hidden="1" x14ac:dyDescent="0.2">
      <c r="A89" s="8" t="str">
        <f t="shared" si="64"/>
        <v>Total Plant &amp; Equipment:</v>
      </c>
      <c r="B89" s="17">
        <f>B23/B$39</f>
        <v>0.89486760720058567</v>
      </c>
      <c r="C89" s="17">
        <f>C23/C$39</f>
        <v>0.89202273345539129</v>
      </c>
      <c r="D89" s="17">
        <f>D23/D$39</f>
        <v>0.88196318930236473</v>
      </c>
      <c r="E89" s="17">
        <f>E23/E$39</f>
        <v>0.88062247519257608</v>
      </c>
      <c r="F89" s="17">
        <f>F23/F$39</f>
        <v>0.83710421913808541</v>
      </c>
      <c r="G89" s="17">
        <f t="shared" ref="G89:N89" si="79">G23/G$39</f>
        <v>0.80508954779571174</v>
      </c>
      <c r="H89" s="9">
        <f t="shared" si="79"/>
        <v>0.77312069778666948</v>
      </c>
      <c r="I89" s="9">
        <f t="shared" si="79"/>
        <v>0.7728991980244162</v>
      </c>
      <c r="J89" s="9">
        <f t="shared" si="79"/>
        <v>0.74746329869290795</v>
      </c>
      <c r="K89" s="9">
        <f t="shared" si="79"/>
        <v>0.74654091685906221</v>
      </c>
      <c r="L89" s="9">
        <f t="shared" si="79"/>
        <v>0.75421680526978496</v>
      </c>
      <c r="M89" s="9">
        <f t="shared" si="79"/>
        <v>0.7280043740442087</v>
      </c>
      <c r="N89" s="9">
        <f t="shared" si="79"/>
        <v>0.75457331147722728</v>
      </c>
      <c r="O89" s="9">
        <f t="shared" si="77"/>
        <v>0.75206529912795839</v>
      </c>
      <c r="P89" s="8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" hidden="1" x14ac:dyDescent="0.2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8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" hidden="1" x14ac:dyDescent="0.2">
      <c r="A91" s="8" t="str">
        <f t="shared" si="64"/>
        <v>Accumulated Depreciation &amp; Amort.</v>
      </c>
      <c r="B91" s="9">
        <f>B25/B$39</f>
        <v>0.33710563724282533</v>
      </c>
      <c r="C91" s="9">
        <f>C25/C$39</f>
        <v>0.33295488313175409</v>
      </c>
      <c r="D91" s="9">
        <f>D25/D$39</f>
        <v>0.33449973249865761</v>
      </c>
      <c r="E91" s="9">
        <f>E25/E$39</f>
        <v>0.34243984650568204</v>
      </c>
      <c r="F91" s="9">
        <f>F25/F$39</f>
        <v>0.31597610668832271</v>
      </c>
      <c r="G91" s="9">
        <f t="shared" ref="G91" si="80">G25/G$39</f>
        <v>0.2914661810443489</v>
      </c>
      <c r="H91" s="9">
        <f t="shared" ref="H91:N91" si="81">H25/H$39</f>
        <v>0.26886983326595731</v>
      </c>
      <c r="I91" s="9">
        <f t="shared" si="81"/>
        <v>0.26427268754222283</v>
      </c>
      <c r="J91" s="9">
        <f t="shared" si="81"/>
        <v>0.25727157882626672</v>
      </c>
      <c r="K91" s="9">
        <f t="shared" si="81"/>
        <v>0.24345551407013047</v>
      </c>
      <c r="L91" s="9">
        <f t="shared" si="81"/>
        <v>0.2427005100821224</v>
      </c>
      <c r="M91" s="9">
        <f t="shared" si="81"/>
        <v>0.24484678768438553</v>
      </c>
      <c r="N91" s="9">
        <f t="shared" si="81"/>
        <v>0.26687034162734385</v>
      </c>
      <c r="O91" s="9">
        <f>SUM(H25:M25)/SUM(H$39:M$39)</f>
        <v>0.25233451207179963</v>
      </c>
      <c r="P91" s="8"/>
      <c r="Q91" s="2"/>
      <c r="R91" s="2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" hidden="1" x14ac:dyDescent="0.2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8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" hidden="1" x14ac:dyDescent="0.2">
      <c r="A93" s="8" t="str">
        <f>A27</f>
        <v>Net Plant &amp; Equipment</v>
      </c>
      <c r="B93" s="9">
        <f>B27/B$39</f>
        <v>0.55776196995776028</v>
      </c>
      <c r="C93" s="9">
        <f>C27/C$39</f>
        <v>0.55906785032363726</v>
      </c>
      <c r="D93" s="9">
        <f>D27/D$39</f>
        <v>0.54746345680370712</v>
      </c>
      <c r="E93" s="9">
        <f>E27/E$39</f>
        <v>0.53818262868689404</v>
      </c>
      <c r="F93" s="9">
        <f>F27/F$39</f>
        <v>0.52112811244976265</v>
      </c>
      <c r="G93" s="9">
        <f t="shared" ref="G93" si="82">G27/G$39</f>
        <v>0.51362336675136289</v>
      </c>
      <c r="H93" s="9">
        <f t="shared" ref="H93:N93" si="83">H27/H$39</f>
        <v>0.50425086452071211</v>
      </c>
      <c r="I93" s="9">
        <f t="shared" si="83"/>
        <v>0.50862651048219332</v>
      </c>
      <c r="J93" s="9">
        <f t="shared" si="83"/>
        <v>0.49019171986664123</v>
      </c>
      <c r="K93" s="9">
        <f t="shared" si="83"/>
        <v>0.50308540278893177</v>
      </c>
      <c r="L93" s="9">
        <f t="shared" si="83"/>
        <v>0.51151629518766262</v>
      </c>
      <c r="M93" s="9">
        <f t="shared" si="83"/>
        <v>0.48315758635982325</v>
      </c>
      <c r="N93" s="9">
        <f t="shared" si="83"/>
        <v>0.48770296984988343</v>
      </c>
      <c r="O93" s="9">
        <f>SUM(H27:M27)/SUM(H$39:M$39)</f>
        <v>0.49973078705615881</v>
      </c>
      <c r="P93" s="8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" hidden="1" x14ac:dyDescent="0.2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8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" hidden="1" x14ac:dyDescent="0.2">
      <c r="A95" s="8" t="str">
        <f t="shared" ref="A95:A132" si="84">A29</f>
        <v>Other Assets: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8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" hidden="1" x14ac:dyDescent="0.2">
      <c r="A96" s="8" t="str">
        <f t="shared" si="84"/>
        <v>Investment in Subsidiary Companies</v>
      </c>
      <c r="B96" s="9"/>
      <c r="C96" s="9"/>
      <c r="D96" s="9"/>
      <c r="E96" s="9"/>
      <c r="F96" s="9"/>
      <c r="G96" s="9"/>
      <c r="H96" s="9"/>
      <c r="I96" s="9"/>
      <c r="J96" s="9"/>
      <c r="K96" s="9">
        <f t="shared" ref="I96:M97" si="85">K30/K$39</f>
        <v>3.1507295072349673E-2</v>
      </c>
      <c r="L96" s="9">
        <f t="shared" si="85"/>
        <v>8.7614514166897903E-3</v>
      </c>
      <c r="M96" s="9">
        <f t="shared" si="85"/>
        <v>6.8837935624876355E-3</v>
      </c>
      <c r="N96" s="9">
        <f t="shared" ref="N96:N105" si="86">N30/N$39</f>
        <v>7.0669114823090498E-3</v>
      </c>
      <c r="O96" s="9">
        <f t="shared" ref="O96:O105" si="87">SUM(H30:M30)/SUM(H$39:M$39)</f>
        <v>8.5278429712342119E-3</v>
      </c>
      <c r="P96" s="8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" hidden="1" x14ac:dyDescent="0.2">
      <c r="A97" s="8" t="str">
        <f t="shared" si="84"/>
        <v>Investment in Assoc Org - Patronage Capital</v>
      </c>
      <c r="B97" s="9">
        <f t="shared" ref="B97:H97" si="88">B31/B$39</f>
        <v>0</v>
      </c>
      <c r="C97" s="9">
        <f t="shared" si="88"/>
        <v>0.33463267051182249</v>
      </c>
      <c r="D97" s="9">
        <f t="shared" si="88"/>
        <v>0.34871780310601724</v>
      </c>
      <c r="E97" s="9">
        <f t="shared" si="88"/>
        <v>0.34834878309846012</v>
      </c>
      <c r="F97" s="9">
        <f t="shared" si="88"/>
        <v>0.39589547484032656</v>
      </c>
      <c r="G97" s="9">
        <f t="shared" si="88"/>
        <v>0.39747517711065028</v>
      </c>
      <c r="H97" s="9">
        <f t="shared" si="88"/>
        <v>0.3976106148128149</v>
      </c>
      <c r="I97" s="9">
        <f t="shared" si="85"/>
        <v>0.40746533029237214</v>
      </c>
      <c r="J97" s="9">
        <f t="shared" si="85"/>
        <v>0.39374928222096217</v>
      </c>
      <c r="K97" s="9">
        <f t="shared" si="85"/>
        <v>0.31501990561938809</v>
      </c>
      <c r="L97" s="9">
        <f t="shared" si="85"/>
        <v>0.31857552394039701</v>
      </c>
      <c r="M97" s="9">
        <f t="shared" si="85"/>
        <v>0.31984746263822933</v>
      </c>
      <c r="N97" s="9">
        <f t="shared" si="86"/>
        <v>0.32969579936504828</v>
      </c>
      <c r="O97" s="9">
        <f t="shared" si="87"/>
        <v>0.35398418566806211</v>
      </c>
      <c r="P97" s="8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" hidden="1" x14ac:dyDescent="0.2">
      <c r="A98" s="8" t="str">
        <f t="shared" si="84"/>
        <v>Investment in Assoc Org - Non-General Funds</v>
      </c>
      <c r="B98" s="9"/>
      <c r="C98" s="9"/>
      <c r="D98" s="9"/>
      <c r="E98" s="9"/>
      <c r="F98" s="9"/>
      <c r="G98" s="9"/>
      <c r="H98" s="9"/>
      <c r="I98" s="9"/>
      <c r="J98" s="9"/>
      <c r="K98" s="9">
        <f t="shared" ref="K98:M98" si="89">K32/K$39</f>
        <v>1.8262176928333575E-2</v>
      </c>
      <c r="L98" s="9">
        <f t="shared" si="89"/>
        <v>1.7426415882762183E-2</v>
      </c>
      <c r="M98" s="9">
        <f t="shared" si="89"/>
        <v>1.4955979972127083E-2</v>
      </c>
      <c r="N98" s="9">
        <f t="shared" si="86"/>
        <v>1.6616168188893426E-2</v>
      </c>
      <c r="O98" s="9">
        <f t="shared" si="87"/>
        <v>9.3846720754746718E-3</v>
      </c>
      <c r="P98" s="8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" hidden="1" x14ac:dyDescent="0.2">
      <c r="A99" s="8" t="str">
        <f t="shared" si="84"/>
        <v>Deferred Compensation</v>
      </c>
      <c r="B99" s="9">
        <f t="shared" ref="B99:M99" si="90">B33/B$39</f>
        <v>0</v>
      </c>
      <c r="C99" s="9">
        <f t="shared" si="90"/>
        <v>5.1624838223492432E-3</v>
      </c>
      <c r="D99" s="9">
        <f t="shared" si="90"/>
        <v>5.3614106567457616E-3</v>
      </c>
      <c r="E99" s="9">
        <f t="shared" si="90"/>
        <v>5.9236313337822982E-3</v>
      </c>
      <c r="F99" s="9">
        <f t="shared" si="90"/>
        <v>6.6183838851073453E-3</v>
      </c>
      <c r="G99" s="9">
        <f t="shared" si="90"/>
        <v>4.0285288643838874E-3</v>
      </c>
      <c r="H99" s="9">
        <f t="shared" si="90"/>
        <v>0</v>
      </c>
      <c r="I99" s="9">
        <f t="shared" si="90"/>
        <v>0</v>
      </c>
      <c r="J99" s="9">
        <f t="shared" si="90"/>
        <v>0</v>
      </c>
      <c r="K99" s="9">
        <f t="shared" si="90"/>
        <v>0</v>
      </c>
      <c r="L99" s="9">
        <f t="shared" si="90"/>
        <v>0</v>
      </c>
      <c r="M99" s="9">
        <f t="shared" si="90"/>
        <v>0</v>
      </c>
      <c r="N99" s="9">
        <f t="shared" si="86"/>
        <v>0</v>
      </c>
      <c r="O99" s="9">
        <f t="shared" si="87"/>
        <v>0</v>
      </c>
      <c r="P99" s="8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" hidden="1" x14ac:dyDescent="0.2">
      <c r="A100" s="8" t="str">
        <f t="shared" si="84"/>
        <v>Special Funds</v>
      </c>
      <c r="B100" s="9"/>
      <c r="C100" s="9"/>
      <c r="D100" s="9"/>
      <c r="E100" s="9"/>
      <c r="F100" s="9"/>
      <c r="G100" s="9"/>
      <c r="H100" s="9">
        <f t="shared" ref="H100:M100" si="91">H34/H$39</f>
        <v>4.7114031275686287E-3</v>
      </c>
      <c r="I100" s="9">
        <f t="shared" si="91"/>
        <v>5.0170527125493062E-3</v>
      </c>
      <c r="J100" s="9">
        <f t="shared" si="91"/>
        <v>5.2281076030104567E-3</v>
      </c>
      <c r="K100" s="9">
        <f t="shared" si="91"/>
        <v>1.6132600389392359E-2</v>
      </c>
      <c r="L100" s="9">
        <f t="shared" si="91"/>
        <v>1.4496699593698009E-2</v>
      </c>
      <c r="M100" s="9">
        <f t="shared" si="91"/>
        <v>1.3875702347406505E-2</v>
      </c>
      <c r="N100" s="9">
        <f t="shared" si="86"/>
        <v>1.1674553712173269E-2</v>
      </c>
      <c r="O100" s="9">
        <f t="shared" si="87"/>
        <v>1.0461212802249613E-2</v>
      </c>
      <c r="P100" s="8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" hidden="1" x14ac:dyDescent="0.2">
      <c r="A101" s="8" t="str">
        <f t="shared" si="84"/>
        <v>Other Deferred Debits</v>
      </c>
      <c r="B101" s="9"/>
      <c r="C101" s="9"/>
      <c r="D101" s="9"/>
      <c r="E101" s="9"/>
      <c r="F101" s="9"/>
      <c r="G101" s="9"/>
      <c r="H101" s="9">
        <f t="shared" ref="H101:M101" si="92">H35/H$39</f>
        <v>0</v>
      </c>
      <c r="I101" s="9">
        <f t="shared" si="92"/>
        <v>0</v>
      </c>
      <c r="J101" s="9">
        <f t="shared" si="92"/>
        <v>0</v>
      </c>
      <c r="K101" s="9">
        <f t="shared" si="92"/>
        <v>0</v>
      </c>
      <c r="L101" s="9">
        <f t="shared" si="92"/>
        <v>0</v>
      </c>
      <c r="M101" s="9">
        <f t="shared" si="92"/>
        <v>0</v>
      </c>
      <c r="N101" s="9">
        <f t="shared" si="86"/>
        <v>0</v>
      </c>
      <c r="O101" s="9">
        <f t="shared" si="87"/>
        <v>0</v>
      </c>
      <c r="P101" s="8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" hidden="1" x14ac:dyDescent="0.2">
      <c r="A102" s="8" t="str">
        <f t="shared" si="84"/>
        <v>Other Non-Current Assets</v>
      </c>
      <c r="B102" s="9">
        <f t="shared" ref="B102:G105" si="93">B36/B$39</f>
        <v>0.34236783649332875</v>
      </c>
      <c r="C102" s="9">
        <f t="shared" si="93"/>
        <v>7.1207660603035217E-4</v>
      </c>
      <c r="D102" s="9">
        <f t="shared" si="93"/>
        <v>8.0406365349132598E-4</v>
      </c>
      <c r="E102" s="9">
        <f t="shared" si="93"/>
        <v>6.1582124036165832E-4</v>
      </c>
      <c r="F102" s="9">
        <f t="shared" si="93"/>
        <v>1.7122023938759986E-3</v>
      </c>
      <c r="G102" s="9">
        <f t="shared" si="93"/>
        <v>2.1427887621292339E-3</v>
      </c>
      <c r="H102" s="9">
        <f t="shared" ref="H102:M102" si="94">H36/H$39</f>
        <v>2.3116606736459698E-3</v>
      </c>
      <c r="I102" s="9">
        <f t="shared" si="94"/>
        <v>5.862506761037295E-4</v>
      </c>
      <c r="J102" s="9">
        <f t="shared" si="94"/>
        <v>5.9790514155400444E-4</v>
      </c>
      <c r="K102" s="9">
        <f t="shared" si="94"/>
        <v>3.9349675138636124E-4</v>
      </c>
      <c r="L102" s="9">
        <f t="shared" si="94"/>
        <v>2.4877709135125931E-3</v>
      </c>
      <c r="M102" s="9">
        <f t="shared" si="94"/>
        <v>2.2563525131361795E-3</v>
      </c>
      <c r="N102" s="9">
        <f t="shared" si="86"/>
        <v>2.1927124083838817E-3</v>
      </c>
      <c r="O102" s="9">
        <f t="shared" si="87"/>
        <v>1.4755699076802501E-3</v>
      </c>
      <c r="P102" s="8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" hidden="1" x14ac:dyDescent="0.2">
      <c r="A103" s="8" t="str">
        <f t="shared" si="84"/>
        <v>Total Other Assets</v>
      </c>
      <c r="B103" s="17">
        <f t="shared" si="93"/>
        <v>0.34236783649332875</v>
      </c>
      <c r="C103" s="17">
        <f t="shared" si="93"/>
        <v>0.34050723094020202</v>
      </c>
      <c r="D103" s="17">
        <f t="shared" si="93"/>
        <v>0.35488327741625436</v>
      </c>
      <c r="E103" s="17">
        <f t="shared" si="93"/>
        <v>0.35488823567260402</v>
      </c>
      <c r="F103" s="17">
        <f t="shared" si="93"/>
        <v>0.40422606111930992</v>
      </c>
      <c r="G103" s="17">
        <f t="shared" si="93"/>
        <v>0.40364649473716341</v>
      </c>
      <c r="H103" s="9">
        <f t="shared" ref="H103:M103" si="95">H37/H$39</f>
        <v>0.40463367861402949</v>
      </c>
      <c r="I103" s="9">
        <f t="shared" si="95"/>
        <v>0.4130686336810252</v>
      </c>
      <c r="J103" s="9">
        <f t="shared" si="95"/>
        <v>0.39957529496552663</v>
      </c>
      <c r="K103" s="9">
        <f t="shared" si="95"/>
        <v>0.38131547476085004</v>
      </c>
      <c r="L103" s="9">
        <f t="shared" si="95"/>
        <v>0.36174786174705958</v>
      </c>
      <c r="M103" s="9">
        <f t="shared" si="95"/>
        <v>0.35781929103338672</v>
      </c>
      <c r="N103" s="9">
        <f t="shared" si="86"/>
        <v>0.36724614515680792</v>
      </c>
      <c r="O103" s="9">
        <f t="shared" si="87"/>
        <v>0.38383348342470086</v>
      </c>
      <c r="P103" s="8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" hidden="1" x14ac:dyDescent="0.2">
      <c r="A104" s="8" t="str">
        <f t="shared" si="84"/>
        <v>Total Non-Current Assets</v>
      </c>
      <c r="B104" s="17">
        <f t="shared" si="93"/>
        <v>0.90012980645108909</v>
      </c>
      <c r="C104" s="17">
        <f t="shared" si="93"/>
        <v>0.89957508126383934</v>
      </c>
      <c r="D104" s="17">
        <f t="shared" si="93"/>
        <v>0.90234673421996148</v>
      </c>
      <c r="E104" s="17">
        <f t="shared" si="93"/>
        <v>0.89307086435949801</v>
      </c>
      <c r="F104" s="17">
        <f t="shared" si="93"/>
        <v>0.92535417356907257</v>
      </c>
      <c r="G104" s="17">
        <f t="shared" si="93"/>
        <v>0.91726986148852629</v>
      </c>
      <c r="H104" s="39">
        <f t="shared" ref="H104:M104" si="96">H38/H$39</f>
        <v>0.90888454313474165</v>
      </c>
      <c r="I104" s="39">
        <f t="shared" si="96"/>
        <v>0.92169514416321852</v>
      </c>
      <c r="J104" s="39">
        <f t="shared" si="96"/>
        <v>0.88976701483216791</v>
      </c>
      <c r="K104" s="39">
        <f t="shared" si="96"/>
        <v>0.88440087754978181</v>
      </c>
      <c r="L104" s="39">
        <f t="shared" si="96"/>
        <v>0.87326415693472226</v>
      </c>
      <c r="M104" s="39">
        <f t="shared" si="96"/>
        <v>0.84097687739321003</v>
      </c>
      <c r="N104" s="39">
        <f t="shared" si="86"/>
        <v>0.85494911500669135</v>
      </c>
      <c r="O104" s="39">
        <f t="shared" si="87"/>
        <v>0.88356427048085961</v>
      </c>
      <c r="P104" s="8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hidden="1" thickBot="1" x14ac:dyDescent="0.25">
      <c r="A105" s="8" t="str">
        <f t="shared" si="84"/>
        <v>Total Assets</v>
      </c>
      <c r="B105" s="17">
        <f t="shared" si="93"/>
        <v>1</v>
      </c>
      <c r="C105" s="17">
        <f t="shared" si="93"/>
        <v>1</v>
      </c>
      <c r="D105" s="17">
        <f t="shared" si="93"/>
        <v>1</v>
      </c>
      <c r="E105" s="17">
        <f t="shared" si="93"/>
        <v>1</v>
      </c>
      <c r="F105" s="17">
        <f t="shared" si="93"/>
        <v>1</v>
      </c>
      <c r="G105" s="17">
        <f t="shared" si="93"/>
        <v>1</v>
      </c>
      <c r="H105" s="9">
        <f t="shared" ref="H105:M105" si="97">H39/H$39</f>
        <v>1</v>
      </c>
      <c r="I105" s="9">
        <f t="shared" si="97"/>
        <v>1</v>
      </c>
      <c r="J105" s="9">
        <f t="shared" si="97"/>
        <v>1</v>
      </c>
      <c r="K105" s="9">
        <f t="shared" si="97"/>
        <v>1</v>
      </c>
      <c r="L105" s="9">
        <f t="shared" si="97"/>
        <v>1</v>
      </c>
      <c r="M105" s="9">
        <f t="shared" si="97"/>
        <v>1</v>
      </c>
      <c r="N105" s="9">
        <f t="shared" si="86"/>
        <v>1</v>
      </c>
      <c r="O105" s="9">
        <f t="shared" si="87"/>
        <v>1</v>
      </c>
      <c r="P105" s="8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hidden="1" thickTop="1" x14ac:dyDescent="0.2">
      <c r="A106" s="8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8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" hidden="1" x14ac:dyDescent="0.2">
      <c r="A107" s="8" t="str">
        <f t="shared" si="84"/>
        <v>Current Liabilities: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8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" hidden="1" x14ac:dyDescent="0.2">
      <c r="A108" s="8" t="str">
        <f t="shared" si="84"/>
        <v>Current Portion LTD</v>
      </c>
      <c r="B108" s="9">
        <f t="shared" ref="B108:G112" si="98">B42/B$39</f>
        <v>3.464125235728626E-2</v>
      </c>
      <c r="C108" s="9">
        <f t="shared" si="98"/>
        <v>1.648056176765372E-2</v>
      </c>
      <c r="D108" s="9">
        <f t="shared" si="98"/>
        <v>1.7501964330550963E-2</v>
      </c>
      <c r="E108" s="9">
        <f t="shared" si="98"/>
        <v>2.1178940421857528E-2</v>
      </c>
      <c r="F108" s="9">
        <f t="shared" si="98"/>
        <v>1.6141975430480793E-2</v>
      </c>
      <c r="G108" s="9">
        <f t="shared" si="98"/>
        <v>1.1533079016690699E-2</v>
      </c>
      <c r="H108" s="9">
        <f t="shared" ref="H108:N112" si="99">H42/H$39</f>
        <v>2.6461610975414416E-2</v>
      </c>
      <c r="I108" s="9">
        <f t="shared" si="99"/>
        <v>2.5134663210607134E-2</v>
      </c>
      <c r="J108" s="9">
        <f t="shared" si="99"/>
        <v>2.4245702344087083E-2</v>
      </c>
      <c r="K108" s="9">
        <f t="shared" si="99"/>
        <v>1.6133781573930563E-2</v>
      </c>
      <c r="L108" s="9">
        <f t="shared" si="99"/>
        <v>1.586192161380439E-2</v>
      </c>
      <c r="M108" s="9">
        <f t="shared" si="99"/>
        <v>1.487846756157931E-2</v>
      </c>
      <c r="N108" s="9">
        <f t="shared" si="99"/>
        <v>1.5135278185749305E-2</v>
      </c>
      <c r="O108" s="9">
        <f t="shared" ref="O108:O112" si="100">SUM(H42:M42)/SUM(H$39:M$39)</f>
        <v>1.9866223281088474E-2</v>
      </c>
      <c r="P108" s="8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1"/>
    </row>
    <row r="109" spans="1:29" ht="15" hidden="1" x14ac:dyDescent="0.2">
      <c r="A109" s="8" t="str">
        <f t="shared" si="84"/>
        <v>Accounts Payable</v>
      </c>
      <c r="B109" s="9">
        <f t="shared" si="98"/>
        <v>3.6560723269587182E-2</v>
      </c>
      <c r="C109" s="9">
        <f t="shared" si="98"/>
        <v>3.9741182153744441E-2</v>
      </c>
      <c r="D109" s="9">
        <f t="shared" si="98"/>
        <v>3.4014966547038554E-2</v>
      </c>
      <c r="E109" s="9">
        <f t="shared" si="98"/>
        <v>3.8691503556974191E-2</v>
      </c>
      <c r="F109" s="9">
        <f t="shared" si="98"/>
        <v>4.3979368526122928E-2</v>
      </c>
      <c r="G109" s="9">
        <f t="shared" si="98"/>
        <v>4.5864296491740869E-2</v>
      </c>
      <c r="H109" s="9">
        <f t="shared" ref="H109:M109" si="101">H43/H$39</f>
        <v>4.3939744466814756E-2</v>
      </c>
      <c r="I109" s="9">
        <f t="shared" si="101"/>
        <v>4.5659905485503638E-2</v>
      </c>
      <c r="J109" s="9">
        <f t="shared" si="101"/>
        <v>4.1281671501412168E-2</v>
      </c>
      <c r="K109" s="9">
        <f t="shared" si="101"/>
        <v>4.1240850767729827E-2</v>
      </c>
      <c r="L109" s="9">
        <f t="shared" si="101"/>
        <v>3.9470420332451406E-2</v>
      </c>
      <c r="M109" s="9">
        <f t="shared" si="101"/>
        <v>4.6933041202901718E-2</v>
      </c>
      <c r="N109" s="9">
        <f t="shared" si="99"/>
        <v>4.0048298764254857E-2</v>
      </c>
      <c r="O109" s="9">
        <f t="shared" si="100"/>
        <v>4.3041608355908402E-2</v>
      </c>
      <c r="P109" s="8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" hidden="1" x14ac:dyDescent="0.2">
      <c r="A110" s="8" t="str">
        <f t="shared" si="84"/>
        <v>Customer Deposits</v>
      </c>
      <c r="B110" s="9">
        <f t="shared" si="98"/>
        <v>4.3801465148333493E-3</v>
      </c>
      <c r="C110" s="9">
        <f t="shared" si="98"/>
        <v>4.4274684552137178E-3</v>
      </c>
      <c r="D110" s="9">
        <f t="shared" si="98"/>
        <v>4.5441901392403207E-3</v>
      </c>
      <c r="E110" s="9">
        <f t="shared" si="98"/>
        <v>5.0784779939750191E-3</v>
      </c>
      <c r="F110" s="9">
        <f t="shared" si="98"/>
        <v>5.166469259675263E-3</v>
      </c>
      <c r="G110" s="9">
        <f t="shared" si="98"/>
        <v>5.292673707496939E-3</v>
      </c>
      <c r="H110" s="9">
        <f t="shared" ref="H110:M110" si="102">H44/H$39</f>
        <v>5.4969181950241435E-3</v>
      </c>
      <c r="I110" s="9">
        <f t="shared" si="102"/>
        <v>4.893504422710809E-3</v>
      </c>
      <c r="J110" s="9">
        <f t="shared" si="102"/>
        <v>4.9320382670601359E-3</v>
      </c>
      <c r="K110" s="9">
        <f t="shared" si="102"/>
        <v>5.3941001022518092E-3</v>
      </c>
      <c r="L110" s="9">
        <f t="shared" si="102"/>
        <v>5.3143708591176179E-3</v>
      </c>
      <c r="M110" s="9">
        <f t="shared" si="102"/>
        <v>4.7016921025430586E-3</v>
      </c>
      <c r="N110" s="9">
        <f t="shared" si="99"/>
        <v>4.8692398377972318E-3</v>
      </c>
      <c r="O110" s="9">
        <f t="shared" si="100"/>
        <v>5.1135373187300185E-3</v>
      </c>
      <c r="P110" s="8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" hidden="1" x14ac:dyDescent="0.2">
      <c r="A111" s="8" t="str">
        <f t="shared" si="84"/>
        <v>Other Current and Accrued Liabilities</v>
      </c>
      <c r="B111" s="9">
        <f t="shared" si="98"/>
        <v>2.0089790484563386E-2</v>
      </c>
      <c r="C111" s="9">
        <f t="shared" si="98"/>
        <v>2.106919983255939E-2</v>
      </c>
      <c r="D111" s="9">
        <f t="shared" si="98"/>
        <v>2.1042763235535531E-2</v>
      </c>
      <c r="E111" s="9">
        <f t="shared" si="98"/>
        <v>2.0552637137055272E-2</v>
      </c>
      <c r="F111" s="9">
        <f t="shared" si="98"/>
        <v>1.7526967731774593E-2</v>
      </c>
      <c r="G111" s="9">
        <f t="shared" si="98"/>
        <v>1.9114459299731833E-2</v>
      </c>
      <c r="H111" s="39">
        <f t="shared" ref="H111:M111" si="103">H45/H$39</f>
        <v>1.6997725661010387E-2</v>
      </c>
      <c r="I111" s="39">
        <f t="shared" si="103"/>
        <v>1.8367479642531867E-2</v>
      </c>
      <c r="J111" s="39">
        <f t="shared" si="103"/>
        <v>3.2159207399857025E-2</v>
      </c>
      <c r="K111" s="39">
        <f t="shared" si="103"/>
        <v>1.4990737574635196E-2</v>
      </c>
      <c r="L111" s="39">
        <f t="shared" si="103"/>
        <v>2.2436182693062582E-2</v>
      </c>
      <c r="M111" s="39">
        <f t="shared" si="103"/>
        <v>3.8719316788301261E-2</v>
      </c>
      <c r="N111" s="39">
        <f t="shared" si="99"/>
        <v>2.8909191511173986E-2</v>
      </c>
      <c r="O111" s="39">
        <f t="shared" si="100"/>
        <v>2.4466937226101024E-2</v>
      </c>
      <c r="P111" s="8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" hidden="1" x14ac:dyDescent="0.2">
      <c r="A112" s="8" t="str">
        <f t="shared" si="84"/>
        <v>Total Current Liabilities</v>
      </c>
      <c r="B112" s="17">
        <f t="shared" si="98"/>
        <v>9.5671912626270172E-2</v>
      </c>
      <c r="C112" s="17">
        <f t="shared" si="98"/>
        <v>8.1718412209171254E-2</v>
      </c>
      <c r="D112" s="17">
        <f t="shared" si="98"/>
        <v>7.7103884252365376E-2</v>
      </c>
      <c r="E112" s="17">
        <f t="shared" si="98"/>
        <v>8.5501559109862013E-2</v>
      </c>
      <c r="F112" s="17">
        <f t="shared" si="98"/>
        <v>8.2814780948053585E-2</v>
      </c>
      <c r="G112" s="17">
        <f t="shared" si="98"/>
        <v>8.1804508515660346E-2</v>
      </c>
      <c r="H112" s="9">
        <f t="shared" ref="H112:M112" si="104">H46/H$39</f>
        <v>9.2895999298263712E-2</v>
      </c>
      <c r="I112" s="9">
        <f t="shared" si="104"/>
        <v>9.4055552761353453E-2</v>
      </c>
      <c r="J112" s="9">
        <f t="shared" si="104"/>
        <v>0.10261861951241641</v>
      </c>
      <c r="K112" s="9">
        <f t="shared" si="104"/>
        <v>7.7759470018547397E-2</v>
      </c>
      <c r="L112" s="9">
        <f t="shared" si="104"/>
        <v>8.3082895498435991E-2</v>
      </c>
      <c r="M112" s="9">
        <f t="shared" si="104"/>
        <v>0.10523251765532535</v>
      </c>
      <c r="N112" s="9">
        <f t="shared" si="99"/>
        <v>8.8962008298975381E-2</v>
      </c>
      <c r="O112" s="9">
        <f t="shared" si="100"/>
        <v>9.248830618182792E-2</v>
      </c>
      <c r="P112" s="8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" hidden="1" x14ac:dyDescent="0.2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8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" hidden="1" x14ac:dyDescent="0.2">
      <c r="A114" s="8" t="str">
        <f t="shared" si="84"/>
        <v xml:space="preserve">Long-Term Debt - </v>
      </c>
      <c r="B114" s="9">
        <f>B48/B$39</f>
        <v>0.4589186019066453</v>
      </c>
      <c r="C114" s="9">
        <f>C48/C$39</f>
        <v>0.43583439354299452</v>
      </c>
      <c r="D114" s="9">
        <f>D48/D$39</f>
        <v>0.42246188096455445</v>
      </c>
      <c r="E114" s="9">
        <f>E48/E$39</f>
        <v>0.39686387738652557</v>
      </c>
      <c r="F114" s="9">
        <f>F48/F$39</f>
        <v>0.33978065277794095</v>
      </c>
      <c r="G114" s="9">
        <f t="shared" ref="G114:N123" si="105">G48/G$39</f>
        <v>0.33235698429088051</v>
      </c>
      <c r="H114" s="9">
        <f t="shared" si="105"/>
        <v>0.35413821530841832</v>
      </c>
      <c r="I114" s="9">
        <f t="shared" si="105"/>
        <v>0.33506029592519776</v>
      </c>
      <c r="J114" s="9">
        <f t="shared" si="105"/>
        <v>0.3379721804498218</v>
      </c>
      <c r="K114" s="9">
        <f t="shared" si="105"/>
        <v>0.11190380014747134</v>
      </c>
      <c r="L114" s="9">
        <f t="shared" si="105"/>
        <v>0.10273519156827472</v>
      </c>
      <c r="M114" s="9">
        <f t="shared" si="105"/>
        <v>9.6310048792112982E-2</v>
      </c>
      <c r="N114" s="9">
        <f t="shared" si="105"/>
        <v>6.8122618397126383E-2</v>
      </c>
      <c r="O114" s="9">
        <f t="shared" ref="O114:O119" si="106">SUM(H48:M48)/SUM(H$39:M$39)</f>
        <v>0.20899833520512331</v>
      </c>
      <c r="P114" s="8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" hidden="1" x14ac:dyDescent="0.2">
      <c r="A115" s="8" t="str">
        <f t="shared" si="84"/>
        <v>Long-Term Debt - FFB - RUS Guaranteed</v>
      </c>
      <c r="B115" s="9"/>
      <c r="C115" s="9"/>
      <c r="D115" s="9"/>
      <c r="E115" s="9"/>
      <c r="F115" s="9"/>
      <c r="G115" s="9"/>
      <c r="H115" s="9"/>
      <c r="I115" s="9"/>
      <c r="J115" s="9"/>
      <c r="K115" s="9">
        <f t="shared" ref="K115:M115" si="107">K49/K$39</f>
        <v>0.20742315513198939</v>
      </c>
      <c r="L115" s="9">
        <f t="shared" si="107"/>
        <v>0.23347096920543467</v>
      </c>
      <c r="M115" s="9">
        <f t="shared" si="107"/>
        <v>0.24640452312175262</v>
      </c>
      <c r="N115" s="9">
        <f t="shared" si="105"/>
        <v>0.24826227233256681</v>
      </c>
      <c r="O115" s="9">
        <f t="shared" si="106"/>
        <v>0.12811549606084632</v>
      </c>
      <c r="P115" s="8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" hidden="1" x14ac:dyDescent="0.2">
      <c r="A116" s="8" t="str">
        <f t="shared" si="84"/>
        <v xml:space="preserve">Long-Term Debt - Other </v>
      </c>
      <c r="B116" s="9"/>
      <c r="C116" s="9"/>
      <c r="D116" s="9"/>
      <c r="E116" s="9"/>
      <c r="F116" s="9"/>
      <c r="G116" s="9"/>
      <c r="H116" s="9"/>
      <c r="I116" s="9"/>
      <c r="J116" s="9"/>
      <c r="K116" s="9">
        <f t="shared" ref="K116:M116" si="108">K50/K$39</f>
        <v>5.9558886003041669E-2</v>
      </c>
      <c r="L116" s="9">
        <f t="shared" si="108"/>
        <v>4.7524249847912307E-2</v>
      </c>
      <c r="M116" s="9">
        <f t="shared" si="108"/>
        <v>3.9013321206206236E-2</v>
      </c>
      <c r="N116" s="9">
        <f t="shared" si="105"/>
        <v>3.4835268902495622E-2</v>
      </c>
      <c r="O116" s="9">
        <f t="shared" si="106"/>
        <v>2.6967191603431303E-2</v>
      </c>
      <c r="P116" s="8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" hidden="1" x14ac:dyDescent="0.2">
      <c r="A117" s="8" t="str">
        <f t="shared" si="84"/>
        <v>Payments Unapplied</v>
      </c>
      <c r="B117" s="9"/>
      <c r="C117" s="9"/>
      <c r="D117" s="9"/>
      <c r="E117" s="9"/>
      <c r="F117" s="9"/>
      <c r="G117" s="9"/>
      <c r="H117" s="9"/>
      <c r="I117" s="9"/>
      <c r="J117" s="9"/>
      <c r="K117" s="9">
        <f t="shared" ref="K117:M117" si="109">K51/K$39</f>
        <v>-8.0129575402840061E-3</v>
      </c>
      <c r="L117" s="9">
        <f t="shared" si="109"/>
        <v>-1.0483709956270877E-2</v>
      </c>
      <c r="M117" s="9">
        <f t="shared" si="109"/>
        <v>-2.5453463745014691E-2</v>
      </c>
      <c r="N117" s="9"/>
      <c r="O117" s="9">
        <f t="shared" si="106"/>
        <v>-8.3198969339635994E-3</v>
      </c>
      <c r="P117" s="8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" hidden="1" x14ac:dyDescent="0.2">
      <c r="A118" s="8" t="str">
        <f t="shared" si="84"/>
        <v>Capital Lease Obligations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>
        <f t="shared" ref="L118:M118" si="110">L52/L$39</f>
        <v>1.1830537745534651E-3</v>
      </c>
      <c r="M118" s="9">
        <f t="shared" si="110"/>
        <v>8.623225021584832E-4</v>
      </c>
      <c r="N118" s="9">
        <f t="shared" si="105"/>
        <v>6.2087790244014468E-4</v>
      </c>
      <c r="O118" s="9">
        <f t="shared" si="106"/>
        <v>3.8896481635395774E-4</v>
      </c>
      <c r="P118" s="8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" hidden="1" x14ac:dyDescent="0.2">
      <c r="A119" s="8" t="str">
        <f t="shared" si="84"/>
        <v>Asset Retirement Obligation</v>
      </c>
      <c r="B119" s="9"/>
      <c r="C119" s="9"/>
      <c r="D119" s="9"/>
      <c r="E119" s="9"/>
      <c r="F119" s="9"/>
      <c r="G119" s="9"/>
      <c r="H119" s="9"/>
      <c r="I119" s="9"/>
      <c r="J119" s="9"/>
      <c r="K119" s="9">
        <f t="shared" ref="K119:M119" si="111">K53/K$39</f>
        <v>2.2216395045167099E-2</v>
      </c>
      <c r="L119" s="9">
        <f t="shared" si="111"/>
        <v>9.8531961274804913E-3</v>
      </c>
      <c r="M119" s="9">
        <f t="shared" si="111"/>
        <v>9.8768531896880063E-3</v>
      </c>
      <c r="N119" s="9">
        <f t="shared" si="105"/>
        <v>1.0696451374534528E-2</v>
      </c>
      <c r="O119" s="9">
        <f t="shared" si="106"/>
        <v>7.6770420020114876E-3</v>
      </c>
      <c r="P119" s="8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" hidden="1" x14ac:dyDescent="0.2">
      <c r="A120" s="8" t="str">
        <f t="shared" si="84"/>
        <v>Deferred Income Taxes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8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" hidden="1" x14ac:dyDescent="0.2">
      <c r="A121" s="8" t="str">
        <f t="shared" si="84"/>
        <v>Post Retirement Benefit &amp; Deferred Comp</v>
      </c>
      <c r="B121" s="9">
        <f t="shared" ref="B121:D121" si="112">B55/B$39</f>
        <v>0</v>
      </c>
      <c r="C121" s="9">
        <f t="shared" si="112"/>
        <v>3.4946273027647731E-2</v>
      </c>
      <c r="D121" s="9">
        <f t="shared" si="112"/>
        <v>3.3842083781538905E-2</v>
      </c>
      <c r="E121" s="9">
        <f>E55/E$39</f>
        <v>3.5467554787436538E-2</v>
      </c>
      <c r="F121" s="9">
        <f t="shared" ref="F121:G121" si="113">F55/F$39</f>
        <v>3.6043636729011022E-2</v>
      </c>
      <c r="G121" s="9">
        <f t="shared" si="113"/>
        <v>2.9897368973789515E-2</v>
      </c>
      <c r="H121" s="9"/>
      <c r="I121" s="9"/>
      <c r="J121" s="9"/>
      <c r="K121" s="9"/>
      <c r="L121" s="9"/>
      <c r="M121" s="9"/>
      <c r="N121" s="9"/>
      <c r="O121" s="9"/>
      <c r="P121" s="8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" hidden="1" x14ac:dyDescent="0.2">
      <c r="A122" s="8" t="str">
        <f t="shared" si="84"/>
        <v>Other Deferred Credits</v>
      </c>
      <c r="B122" s="9">
        <f>B56/B$39</f>
        <v>7.826125790460204E-3</v>
      </c>
      <c r="C122" s="9">
        <f>C56/C$39</f>
        <v>8.8258419173479572E-3</v>
      </c>
      <c r="D122" s="9"/>
      <c r="E122" s="9"/>
      <c r="F122" s="9"/>
      <c r="G122" s="9"/>
      <c r="H122" s="39">
        <f t="shared" ref="H122:M122" si="114">H56/H$39</f>
        <v>5.4423329595871539E-3</v>
      </c>
      <c r="I122" s="39">
        <f t="shared" si="114"/>
        <v>5.1463156707866296E-3</v>
      </c>
      <c r="J122" s="39">
        <f t="shared" si="114"/>
        <v>6.1133364365221167E-3</v>
      </c>
      <c r="K122" s="39">
        <f t="shared" si="114"/>
        <v>1.4722401300918781E-2</v>
      </c>
      <c r="L122" s="39">
        <f t="shared" si="114"/>
        <v>2.0206593101796736E-2</v>
      </c>
      <c r="M122" s="39">
        <f t="shared" si="114"/>
        <v>9.0741178933603003E-3</v>
      </c>
      <c r="N122" s="39">
        <f t="shared" si="105"/>
        <v>7.6591332233669571E-3</v>
      </c>
      <c r="O122" s="39">
        <f t="shared" ref="O122:O125" si="115">SUM(H56:M56)/SUM(H$39:M$39)</f>
        <v>1.0608326300185766E-2</v>
      </c>
      <c r="P122" s="8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" hidden="1" x14ac:dyDescent="0.2">
      <c r="A123" s="8" t="str">
        <f t="shared" si="84"/>
        <v>Total LTD &amp; Deferrals</v>
      </c>
      <c r="B123" s="17">
        <f>B57/B$39</f>
        <v>0.46674472769710551</v>
      </c>
      <c r="C123" s="17">
        <f>C57/C$39</f>
        <v>0.47960650848799019</v>
      </c>
      <c r="D123" s="17">
        <f t="shared" ref="D123:E123" si="116">D57/D$39</f>
        <v>0.46471203361005686</v>
      </c>
      <c r="E123" s="17">
        <f t="shared" si="116"/>
        <v>0.44147563873996798</v>
      </c>
      <c r="F123" s="17">
        <f>F57/F$39</f>
        <v>0.38343047480466291</v>
      </c>
      <c r="G123" s="17">
        <f t="shared" ref="G123:M123" si="117">G57/G$39</f>
        <v>0.37025394050918492</v>
      </c>
      <c r="H123" s="9">
        <f t="shared" si="117"/>
        <v>0.35958054826800545</v>
      </c>
      <c r="I123" s="9">
        <f t="shared" si="117"/>
        <v>0.34020661159598442</v>
      </c>
      <c r="J123" s="9">
        <f t="shared" si="117"/>
        <v>0.34408551688634392</v>
      </c>
      <c r="K123" s="9">
        <f t="shared" si="117"/>
        <v>0.40781168008830426</v>
      </c>
      <c r="L123" s="9">
        <f t="shared" si="117"/>
        <v>0.40448954366918149</v>
      </c>
      <c r="M123" s="9">
        <f t="shared" si="117"/>
        <v>0.37608772296026394</v>
      </c>
      <c r="N123" s="9">
        <f t="shared" si="105"/>
        <v>0.37019662213253046</v>
      </c>
      <c r="O123" s="9">
        <f t="shared" si="115"/>
        <v>0.37443545905398851</v>
      </c>
      <c r="P123" s="8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" hidden="1" x14ac:dyDescent="0.2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8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" hidden="1" x14ac:dyDescent="0.2">
      <c r="A125" s="8" t="str">
        <f t="shared" si="84"/>
        <v>Total Liabilities</v>
      </c>
      <c r="B125" s="9">
        <f>B59/B$39</f>
        <v>0.56241664032337568</v>
      </c>
      <c r="C125" s="9">
        <f>C59/C$39</f>
        <v>0.56132492069716144</v>
      </c>
      <c r="D125" s="9">
        <f>D59/D$39</f>
        <v>0.54181591786242222</v>
      </c>
      <c r="E125" s="9">
        <f>E59/E$39</f>
        <v>0.52697719784982999</v>
      </c>
      <c r="F125" s="9">
        <f>F59/F$39</f>
        <v>0.46624525575271647</v>
      </c>
      <c r="G125" s="9">
        <f t="shared" ref="G125:N125" si="118">G59/G$39</f>
        <v>0.45205844902484527</v>
      </c>
      <c r="H125" s="9">
        <f t="shared" si="118"/>
        <v>0.45247654756626915</v>
      </c>
      <c r="I125" s="9">
        <f t="shared" si="118"/>
        <v>0.43426216435733783</v>
      </c>
      <c r="J125" s="9">
        <f t="shared" si="118"/>
        <v>0.44670413639876033</v>
      </c>
      <c r="K125" s="9">
        <f t="shared" si="118"/>
        <v>0.48557115010685165</v>
      </c>
      <c r="L125" s="9">
        <f t="shared" si="118"/>
        <v>0.4875724391676175</v>
      </c>
      <c r="M125" s="9">
        <f t="shared" si="118"/>
        <v>0.48132024061558931</v>
      </c>
      <c r="N125" s="9">
        <f t="shared" si="118"/>
        <v>0.45915863043150584</v>
      </c>
      <c r="O125" s="9">
        <f t="shared" si="115"/>
        <v>0.46692376523581641</v>
      </c>
      <c r="P125" s="8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" hidden="1" x14ac:dyDescent="0.2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8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" hidden="1" x14ac:dyDescent="0.2">
      <c r="A127" s="8" t="str">
        <f t="shared" si="84"/>
        <v>Patrons' Equity: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9"/>
      <c r="P127" s="8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" hidden="1" x14ac:dyDescent="0.2">
      <c r="A128" s="8" t="str">
        <f t="shared" si="84"/>
        <v>Contributed Patrons Capital</v>
      </c>
      <c r="B128" s="9">
        <f>B62/B$39</f>
        <v>0.46871766026547762</v>
      </c>
      <c r="C128" s="9">
        <f>C62/C$39</f>
        <v>0.43516954474197922</v>
      </c>
      <c r="D128" s="9">
        <f>D62/D$39</f>
        <v>0.45400443590584783</v>
      </c>
      <c r="E128" s="9">
        <f>E62/E$39</f>
        <v>0.46824521570705979</v>
      </c>
      <c r="F128" s="9">
        <f>F62/F$39</f>
        <v>0.52715696617031227</v>
      </c>
      <c r="G128" s="9">
        <f t="shared" ref="G128:N132" si="119">G62/G$39</f>
        <v>0.54145479299437782</v>
      </c>
      <c r="H128" s="9">
        <f t="shared" si="119"/>
        <v>0.47208588152628467</v>
      </c>
      <c r="I128" s="9">
        <f t="shared" si="119"/>
        <v>0.50932683599210926</v>
      </c>
      <c r="J128" s="9">
        <f t="shared" si="119"/>
        <v>0.50630868948201191</v>
      </c>
      <c r="K128" s="9">
        <f t="shared" si="119"/>
        <v>0.48188245506086497</v>
      </c>
      <c r="L128" s="9">
        <f t="shared" si="119"/>
        <v>0.47863701075261206</v>
      </c>
      <c r="M128" s="9">
        <f t="shared" si="119"/>
        <v>0.47762558046541431</v>
      </c>
      <c r="N128" s="9">
        <f t="shared" si="119"/>
        <v>0.51810315444423205</v>
      </c>
      <c r="O128" s="9">
        <f t="shared" ref="O128:O132" si="120">SUM(H62:M62)/SUM(H$39:M$39)</f>
        <v>0.48691085000308226</v>
      </c>
      <c r="P128" s="8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" hidden="1" x14ac:dyDescent="0.2">
      <c r="A129" s="8" t="str">
        <f t="shared" si="84"/>
        <v>Retained Earnings</v>
      </c>
      <c r="B129" s="9">
        <f>B63/B$39</f>
        <v>-3.1134300588853289E-2</v>
      </c>
      <c r="C129" s="9">
        <f>C63/C$39</f>
        <v>0</v>
      </c>
      <c r="D129" s="9"/>
      <c r="E129" s="9"/>
      <c r="F129" s="9"/>
      <c r="G129" s="9"/>
      <c r="H129" s="9">
        <f t="shared" ref="H129:M129" si="121">H63/H$39</f>
        <v>7.5437570793748299E-2</v>
      </c>
      <c r="I129" s="9">
        <f t="shared" si="121"/>
        <v>5.6410999650552941E-2</v>
      </c>
      <c r="J129" s="9">
        <f t="shared" si="121"/>
        <v>4.6987174119227808E-2</v>
      </c>
      <c r="K129" s="9">
        <f t="shared" si="121"/>
        <v>3.254639483228338E-2</v>
      </c>
      <c r="L129" s="9">
        <f t="shared" si="121"/>
        <v>3.3790550079770443E-2</v>
      </c>
      <c r="M129" s="9">
        <f t="shared" si="121"/>
        <v>4.1054178918996376E-2</v>
      </c>
      <c r="N129" s="9">
        <f t="shared" si="119"/>
        <v>2.2738215124262138E-2</v>
      </c>
      <c r="O129" s="9">
        <f t="shared" si="120"/>
        <v>4.6165384745216913E-2</v>
      </c>
      <c r="P129" s="8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" hidden="1" x14ac:dyDescent="0.2">
      <c r="A130" s="8" t="str">
        <f t="shared" si="84"/>
        <v>Other Equities</v>
      </c>
      <c r="B130" s="9"/>
      <c r="C130" s="9"/>
      <c r="D130" s="9"/>
      <c r="E130" s="9"/>
      <c r="F130" s="9"/>
      <c r="G130" s="9"/>
      <c r="H130" s="39"/>
      <c r="I130" s="39"/>
      <c r="J130" s="39"/>
      <c r="K130" s="39"/>
      <c r="L130" s="39"/>
      <c r="M130" s="39"/>
      <c r="N130" s="39">
        <f t="shared" si="119"/>
        <v>0</v>
      </c>
      <c r="O130" s="39"/>
      <c r="P130" s="8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" hidden="1" x14ac:dyDescent="0.2">
      <c r="A131" s="8" t="str">
        <f t="shared" si="84"/>
        <v>Total Patronage Equity</v>
      </c>
      <c r="B131" s="17">
        <f t="shared" ref="B131:F132" si="122">B65/B$39</f>
        <v>0.43758335967662432</v>
      </c>
      <c r="C131" s="17">
        <f t="shared" si="122"/>
        <v>0.43867507930283844</v>
      </c>
      <c r="D131" s="17">
        <f t="shared" si="122"/>
        <v>0.45818408213757789</v>
      </c>
      <c r="E131" s="17">
        <f t="shared" si="122"/>
        <v>0.47302280215017012</v>
      </c>
      <c r="F131" s="17">
        <f t="shared" si="122"/>
        <v>0.53375474309428528</v>
      </c>
      <c r="G131" s="17">
        <f t="shared" ref="G131:M131" si="123">G65/G$39</f>
        <v>0.54794154738469192</v>
      </c>
      <c r="H131" s="40">
        <f t="shared" si="123"/>
        <v>0.54752345232003297</v>
      </c>
      <c r="I131" s="40">
        <f t="shared" si="123"/>
        <v>0.56573783564266211</v>
      </c>
      <c r="J131" s="40">
        <f t="shared" si="123"/>
        <v>0.55329586360123972</v>
      </c>
      <c r="K131" s="40">
        <f t="shared" si="123"/>
        <v>0.5144288498931483</v>
      </c>
      <c r="L131" s="40">
        <f t="shared" si="123"/>
        <v>0.5124275608323825</v>
      </c>
      <c r="M131" s="40">
        <f t="shared" si="123"/>
        <v>0.51867975938441069</v>
      </c>
      <c r="N131" s="40">
        <f t="shared" si="119"/>
        <v>0.54084136956849416</v>
      </c>
      <c r="O131" s="40">
        <f t="shared" si="120"/>
        <v>0.53307623474829924</v>
      </c>
      <c r="P131" s="8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hidden="1" thickBot="1" x14ac:dyDescent="0.25">
      <c r="A132" s="8" t="str">
        <f t="shared" si="84"/>
        <v>Total Liabilities &amp; Equity</v>
      </c>
      <c r="B132" s="17">
        <f t="shared" si="122"/>
        <v>1</v>
      </c>
      <c r="C132" s="17">
        <f t="shared" si="122"/>
        <v>0.99999999999999989</v>
      </c>
      <c r="D132" s="17">
        <f t="shared" si="122"/>
        <v>1.0000000000000002</v>
      </c>
      <c r="E132" s="17">
        <f t="shared" si="122"/>
        <v>1.0000000000000002</v>
      </c>
      <c r="F132" s="17">
        <f t="shared" si="122"/>
        <v>0.99999999884700175</v>
      </c>
      <c r="G132" s="17">
        <f t="shared" ref="G132:M132" si="124">G66/G$39</f>
        <v>0.9999999964095373</v>
      </c>
      <c r="H132" s="9">
        <f t="shared" si="124"/>
        <v>0.99999999988630217</v>
      </c>
      <c r="I132" s="9">
        <f t="shared" si="124"/>
        <v>1</v>
      </c>
      <c r="J132" s="9">
        <f t="shared" si="124"/>
        <v>1</v>
      </c>
      <c r="K132" s="9">
        <f t="shared" si="124"/>
        <v>1</v>
      </c>
      <c r="L132" s="9">
        <f t="shared" si="124"/>
        <v>1</v>
      </c>
      <c r="M132" s="9">
        <f t="shared" si="124"/>
        <v>1</v>
      </c>
      <c r="N132" s="9">
        <f t="shared" si="119"/>
        <v>1</v>
      </c>
      <c r="O132" s="9">
        <f t="shared" si="120"/>
        <v>0.9999999999841156</v>
      </c>
      <c r="P132" s="8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hidden="1" thickTop="1" x14ac:dyDescent="0.2">
      <c r="A133" s="8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20"/>
      <c r="P133" s="8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" hidden="1" x14ac:dyDescent="0.2">
      <c r="A134" s="79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9"/>
      <c r="P134" s="8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46" t="s">
        <v>0</v>
      </c>
      <c r="P135" s="8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46" t="s">
        <v>103</v>
      </c>
      <c r="P136" s="8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x14ac:dyDescent="0.25">
      <c r="A137" s="5" t="str">
        <f>A3</f>
        <v>Empire Electric Association, Inc.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7"/>
      <c r="P137" s="8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x14ac:dyDescent="0.25">
      <c r="A138" s="5" t="s">
        <v>34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7"/>
      <c r="P138" s="8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x14ac:dyDescent="0.25">
      <c r="A139" s="6" t="str">
        <f>A5</f>
        <v>Years Ended December 31</v>
      </c>
      <c r="B139" s="6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7"/>
      <c r="P139" s="8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47" t="str">
        <f>O6</f>
        <v>2009 to 2014</v>
      </c>
      <c r="P140" s="8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x14ac:dyDescent="0.25">
      <c r="A141" s="10"/>
      <c r="B141" s="10"/>
      <c r="C141" s="10"/>
      <c r="D141" s="10"/>
      <c r="E141" s="10"/>
      <c r="F141" s="14"/>
      <c r="G141" s="25"/>
      <c r="H141" s="25"/>
      <c r="I141" s="25"/>
      <c r="J141" s="25"/>
      <c r="K141" s="25"/>
      <c r="L141" s="25"/>
      <c r="M141" s="25"/>
      <c r="N141" s="14" t="str">
        <f>+N7</f>
        <v>11 Months</v>
      </c>
      <c r="O141" s="48" t="s">
        <v>3</v>
      </c>
      <c r="P141" s="8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x14ac:dyDescent="0.25">
      <c r="A142" s="73" t="s">
        <v>4</v>
      </c>
      <c r="B142" s="73"/>
      <c r="C142" s="13">
        <f>C8</f>
        <v>2004</v>
      </c>
      <c r="D142" s="13">
        <v>2005</v>
      </c>
      <c r="E142" s="13">
        <v>2006</v>
      </c>
      <c r="F142" s="14">
        <f t="shared" ref="F142:M142" si="125">+F8</f>
        <v>2007</v>
      </c>
      <c r="G142" s="14">
        <f t="shared" si="125"/>
        <v>2008</v>
      </c>
      <c r="H142" s="14">
        <f t="shared" si="125"/>
        <v>2009</v>
      </c>
      <c r="I142" s="14">
        <f t="shared" si="125"/>
        <v>2010</v>
      </c>
      <c r="J142" s="14">
        <f t="shared" si="125"/>
        <v>2011</v>
      </c>
      <c r="K142" s="14">
        <f t="shared" si="125"/>
        <v>2012</v>
      </c>
      <c r="L142" s="14">
        <f t="shared" si="125"/>
        <v>2013</v>
      </c>
      <c r="M142" s="14">
        <f t="shared" si="125"/>
        <v>2014</v>
      </c>
      <c r="N142" s="14" t="str">
        <f>+N8</f>
        <v>YTD 2015</v>
      </c>
      <c r="O142" s="48" t="s">
        <v>5</v>
      </c>
      <c r="P142" s="8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" x14ac:dyDescent="0.2">
      <c r="A143" s="8" t="s">
        <v>35</v>
      </c>
      <c r="B143" s="8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7"/>
      <c r="P143" s="8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" x14ac:dyDescent="0.2">
      <c r="A144" s="8" t="s">
        <v>36</v>
      </c>
      <c r="B144" s="8"/>
      <c r="C144" s="54">
        <v>29113612.140000001</v>
      </c>
      <c r="D144" s="54">
        <v>29825289.399999999</v>
      </c>
      <c r="E144" s="54">
        <v>34583588.460000001</v>
      </c>
      <c r="F144" s="69">
        <v>39347666.369999997</v>
      </c>
      <c r="G144" s="54">
        <v>46878644</v>
      </c>
      <c r="H144" s="54">
        <v>50480888</v>
      </c>
      <c r="I144" s="54">
        <v>51536546</v>
      </c>
      <c r="J144" s="54">
        <v>52064657</v>
      </c>
      <c r="K144" s="54">
        <v>52805229</v>
      </c>
      <c r="L144" s="54">
        <v>60182772</v>
      </c>
      <c r="M144" s="54">
        <v>65802587</v>
      </c>
      <c r="N144" s="54">
        <v>63464181</v>
      </c>
      <c r="O144" s="9">
        <f>RATE(5,,-H144,M144)</f>
        <v>5.4443214548820444E-2</v>
      </c>
      <c r="P144" s="8"/>
      <c r="Q144" s="1"/>
      <c r="R144" s="1"/>
      <c r="S144" s="1"/>
      <c r="T144" s="9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hidden="1" customHeight="1" x14ac:dyDescent="0.2">
      <c r="A145" s="8" t="s">
        <v>95</v>
      </c>
      <c r="B145" s="8"/>
      <c r="C145" s="54">
        <v>327531.3</v>
      </c>
      <c r="D145" s="54">
        <v>312781.81</v>
      </c>
      <c r="E145" s="54">
        <v>320777.49</v>
      </c>
      <c r="F145" s="54">
        <v>337475.94</v>
      </c>
      <c r="G145" s="54"/>
      <c r="H145" s="54"/>
      <c r="I145" s="54"/>
      <c r="J145" s="54"/>
      <c r="K145" s="54"/>
      <c r="L145" s="54"/>
      <c r="M145" s="54"/>
      <c r="N145" s="54"/>
      <c r="O145" s="9"/>
      <c r="P145" s="8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" hidden="1" x14ac:dyDescent="0.2">
      <c r="A146" s="8" t="s">
        <v>37</v>
      </c>
      <c r="B146" s="8"/>
      <c r="C146" s="65">
        <f t="shared" ref="C146:N146" si="126">SUM(C143:C145)</f>
        <v>29441143.440000001</v>
      </c>
      <c r="D146" s="65">
        <f t="shared" si="126"/>
        <v>30138071.209999997</v>
      </c>
      <c r="E146" s="65">
        <f t="shared" si="126"/>
        <v>34904365.950000003</v>
      </c>
      <c r="F146" s="65">
        <f t="shared" si="126"/>
        <v>39685142.309999995</v>
      </c>
      <c r="G146" s="65">
        <f t="shared" si="126"/>
        <v>46878644</v>
      </c>
      <c r="H146" s="65">
        <f t="shared" si="126"/>
        <v>50480888</v>
      </c>
      <c r="I146" s="65">
        <f t="shared" si="126"/>
        <v>51536546</v>
      </c>
      <c r="J146" s="65">
        <f t="shared" si="126"/>
        <v>52064657</v>
      </c>
      <c r="K146" s="65">
        <f t="shared" si="126"/>
        <v>52805229</v>
      </c>
      <c r="L146" s="65">
        <f t="shared" si="126"/>
        <v>60182772</v>
      </c>
      <c r="M146" s="65">
        <f t="shared" si="126"/>
        <v>65802587</v>
      </c>
      <c r="N146" s="65">
        <f t="shared" si="126"/>
        <v>63464181</v>
      </c>
      <c r="O146" s="9">
        <f t="shared" ref="O146" si="127">RATE(5,,-H146,M146)</f>
        <v>5.4443214548820444E-2</v>
      </c>
      <c r="P146" s="8"/>
      <c r="Q146" s="61">
        <f>SUM(D146:H146)/5</f>
        <v>40417422.294</v>
      </c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" x14ac:dyDescent="0.2">
      <c r="A147" s="8"/>
      <c r="B147" s="8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9"/>
      <c r="P147" s="8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" x14ac:dyDescent="0.2">
      <c r="A148" s="8" t="s">
        <v>38</v>
      </c>
      <c r="B148" s="8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9"/>
      <c r="P148" s="8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" x14ac:dyDescent="0.2">
      <c r="A149" s="15" t="s">
        <v>78</v>
      </c>
      <c r="B149" s="15"/>
      <c r="C149" s="54">
        <v>19528013.469999999</v>
      </c>
      <c r="D149" s="54">
        <v>20248942.829999998</v>
      </c>
      <c r="E149" s="54">
        <v>24442449.280000001</v>
      </c>
      <c r="F149" s="69">
        <v>28145119.219999999</v>
      </c>
      <c r="G149" s="54">
        <v>34557882</v>
      </c>
      <c r="H149" s="54">
        <v>37752672</v>
      </c>
      <c r="I149" s="54">
        <v>38427268</v>
      </c>
      <c r="J149" s="54">
        <v>39324116</v>
      </c>
      <c r="K149" s="54">
        <v>40611916</v>
      </c>
      <c r="L149" s="54">
        <v>46929630</v>
      </c>
      <c r="M149" s="54">
        <v>51550087</v>
      </c>
      <c r="N149" s="54">
        <v>50281231</v>
      </c>
      <c r="O149" s="9">
        <f t="shared" ref="O149:O157" si="128">RATE(5,,-H149,M149)</f>
        <v>6.4281079717969328E-2</v>
      </c>
      <c r="P149" s="92">
        <f>SUM(H149:M149)/SUM(H160:M160)</f>
        <v>0.80736832218864474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" x14ac:dyDescent="0.2">
      <c r="A150" s="15" t="s">
        <v>164</v>
      </c>
      <c r="B150" s="15"/>
      <c r="C150" s="54"/>
      <c r="D150" s="54"/>
      <c r="E150" s="54"/>
      <c r="F150" s="69"/>
      <c r="G150" s="54">
        <v>646058</v>
      </c>
      <c r="H150" s="54">
        <v>565405</v>
      </c>
      <c r="I150" s="54">
        <v>405817</v>
      </c>
      <c r="J150" s="54">
        <v>362114</v>
      </c>
      <c r="K150" s="54">
        <v>296041</v>
      </c>
      <c r="L150" s="54">
        <v>336759</v>
      </c>
      <c r="M150" s="54">
        <v>481709</v>
      </c>
      <c r="N150" s="54">
        <v>259475</v>
      </c>
      <c r="O150" s="9">
        <f t="shared" si="128"/>
        <v>-3.1532562466470564E-2</v>
      </c>
      <c r="P150" s="8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" x14ac:dyDescent="0.2">
      <c r="A151" s="15" t="s">
        <v>165</v>
      </c>
      <c r="B151" s="15"/>
      <c r="C151" s="54"/>
      <c r="D151" s="54"/>
      <c r="E151" s="54"/>
      <c r="F151" s="69"/>
      <c r="G151" s="54">
        <v>2081894</v>
      </c>
      <c r="H151" s="54">
        <v>2149307</v>
      </c>
      <c r="I151" s="54">
        <v>2603089</v>
      </c>
      <c r="J151" s="54">
        <v>2470576</v>
      </c>
      <c r="K151" s="54">
        <v>2256739</v>
      </c>
      <c r="L151" s="54">
        <v>2289488</v>
      </c>
      <c r="M151" s="54">
        <v>2298128</v>
      </c>
      <c r="N151" s="54">
        <v>2211354</v>
      </c>
      <c r="O151" s="9">
        <f t="shared" si="128"/>
        <v>1.3479928709923823E-2</v>
      </c>
      <c r="P151" s="8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" x14ac:dyDescent="0.2">
      <c r="A152" s="15" t="s">
        <v>166</v>
      </c>
      <c r="B152" s="15"/>
      <c r="C152" s="54"/>
      <c r="D152" s="54"/>
      <c r="E152" s="54"/>
      <c r="F152" s="69"/>
      <c r="G152" s="54">
        <v>1382334</v>
      </c>
      <c r="H152" s="54">
        <v>1322033</v>
      </c>
      <c r="I152" s="54">
        <v>1497894</v>
      </c>
      <c r="J152" s="54">
        <v>1522781</v>
      </c>
      <c r="K152" s="54">
        <v>1419476</v>
      </c>
      <c r="L152" s="54">
        <v>1574197</v>
      </c>
      <c r="M152" s="54">
        <v>1305593</v>
      </c>
      <c r="N152" s="54">
        <v>1136872</v>
      </c>
      <c r="O152" s="9">
        <f t="shared" si="128"/>
        <v>-2.4995428480678091E-3</v>
      </c>
      <c r="P152" s="8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" x14ac:dyDescent="0.2">
      <c r="A153" s="15" t="s">
        <v>167</v>
      </c>
      <c r="B153" s="15"/>
      <c r="C153" s="54"/>
      <c r="D153" s="54"/>
      <c r="E153" s="54"/>
      <c r="F153" s="69"/>
      <c r="G153" s="54">
        <v>1087857</v>
      </c>
      <c r="H153" s="54">
        <v>1176409</v>
      </c>
      <c r="I153" s="54">
        <v>1192528</v>
      </c>
      <c r="J153" s="54">
        <v>1151109</v>
      </c>
      <c r="K153" s="54">
        <v>1122317</v>
      </c>
      <c r="L153" s="54">
        <v>1154922</v>
      </c>
      <c r="M153" s="54">
        <v>1138977</v>
      </c>
      <c r="N153" s="54">
        <v>1031500</v>
      </c>
      <c r="O153" s="9">
        <f t="shared" si="128"/>
        <v>-6.4463499621587915E-3</v>
      </c>
      <c r="P153" s="8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" x14ac:dyDescent="0.2">
      <c r="A154" s="15" t="s">
        <v>168</v>
      </c>
      <c r="B154" s="15"/>
      <c r="C154" s="54"/>
      <c r="D154" s="54"/>
      <c r="E154" s="54"/>
      <c r="F154" s="69"/>
      <c r="G154" s="54">
        <v>389772</v>
      </c>
      <c r="H154" s="54">
        <v>470092</v>
      </c>
      <c r="I154" s="54">
        <v>572571</v>
      </c>
      <c r="J154" s="54">
        <v>511437</v>
      </c>
      <c r="K154" s="54">
        <v>482046</v>
      </c>
      <c r="L154" s="54">
        <v>513639</v>
      </c>
      <c r="M154" s="54">
        <v>476912</v>
      </c>
      <c r="N154" s="54">
        <v>427480</v>
      </c>
      <c r="O154" s="9">
        <f t="shared" si="128"/>
        <v>2.8848666953437165E-3</v>
      </c>
      <c r="P154" s="8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" x14ac:dyDescent="0.2">
      <c r="A155" s="15" t="s">
        <v>79</v>
      </c>
      <c r="B155" s="15"/>
      <c r="C155" s="54">
        <v>1723355.08</v>
      </c>
      <c r="D155" s="54">
        <v>1912596.59</v>
      </c>
      <c r="E155" s="54">
        <v>1883240.33</v>
      </c>
      <c r="F155" s="69">
        <v>2112793.44</v>
      </c>
      <c r="G155" s="54">
        <v>2284712</v>
      </c>
      <c r="H155" s="54">
        <v>2198753</v>
      </c>
      <c r="I155" s="54">
        <v>2241681</v>
      </c>
      <c r="J155" s="54">
        <v>2230858</v>
      </c>
      <c r="K155" s="54">
        <v>2111444</v>
      </c>
      <c r="L155" s="54">
        <v>2028289</v>
      </c>
      <c r="M155" s="54">
        <v>2463114</v>
      </c>
      <c r="N155" s="54">
        <v>1802930</v>
      </c>
      <c r="O155" s="9">
        <f t="shared" si="128"/>
        <v>2.2966975383711324E-2</v>
      </c>
      <c r="P155" s="8"/>
      <c r="Q155" s="2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" hidden="1" x14ac:dyDescent="0.2">
      <c r="A156" s="15" t="s">
        <v>39</v>
      </c>
      <c r="B156" s="15"/>
      <c r="C156" s="54">
        <f>279481.45+1632401.08+922523.65</f>
        <v>2834406.18</v>
      </c>
      <c r="D156" s="54">
        <f>290682.36+1674640.49+1001302.28</f>
        <v>2966625.13</v>
      </c>
      <c r="E156" s="54">
        <f>268305.83+1641658.84+1096046.75</f>
        <v>3006011.42</v>
      </c>
      <c r="F156" s="54">
        <f>405386.61+2053708.97+1101684.78</f>
        <v>3560780.3600000003</v>
      </c>
      <c r="G156" s="54"/>
      <c r="H156" s="54"/>
      <c r="I156" s="54"/>
      <c r="J156" s="54"/>
      <c r="K156" s="54"/>
      <c r="L156" s="54"/>
      <c r="M156" s="54"/>
      <c r="N156" s="54"/>
      <c r="O156" s="9"/>
      <c r="P156" s="8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" x14ac:dyDescent="0.2">
      <c r="A157" s="15" t="s">
        <v>40</v>
      </c>
      <c r="B157" s="15"/>
      <c r="C157" s="54">
        <v>1376866.34</v>
      </c>
      <c r="D157" s="54">
        <v>1425909.04</v>
      </c>
      <c r="E157" s="54">
        <v>1477367.8</v>
      </c>
      <c r="F157" s="54">
        <v>1568808.51</v>
      </c>
      <c r="G157" s="54">
        <v>1645359</v>
      </c>
      <c r="H157" s="54">
        <v>1719016</v>
      </c>
      <c r="I157" s="54">
        <v>1848120</v>
      </c>
      <c r="J157" s="54">
        <v>2060924</v>
      </c>
      <c r="K157" s="54">
        <v>2164436</v>
      </c>
      <c r="L157" s="54">
        <v>2248601</v>
      </c>
      <c r="M157" s="54">
        <v>2309171</v>
      </c>
      <c r="N157" s="54">
        <v>2552875</v>
      </c>
      <c r="O157" s="9">
        <f t="shared" si="128"/>
        <v>6.0804211240562352E-2</v>
      </c>
      <c r="P157" s="8"/>
      <c r="Q157" s="2">
        <f t="shared" ref="Q157:V157" si="129">C157/((B21+C21)*0.5)</f>
        <v>2.9606666559992761E-2</v>
      </c>
      <c r="R157" s="2">
        <f t="shared" si="129"/>
        <v>2.9766765203846395E-2</v>
      </c>
      <c r="S157" s="2">
        <f t="shared" si="129"/>
        <v>2.957166605344172E-2</v>
      </c>
      <c r="T157" s="2">
        <f t="shared" si="129"/>
        <v>2.9802438943847952E-2</v>
      </c>
      <c r="U157" s="2">
        <f t="shared" si="129"/>
        <v>2.9266113223880449E-2</v>
      </c>
      <c r="V157" s="2">
        <f t="shared" si="129"/>
        <v>2.913835412357034E-2</v>
      </c>
      <c r="W157" s="2"/>
      <c r="X157" s="2"/>
      <c r="Y157" s="2"/>
      <c r="Z157" s="2"/>
      <c r="AA157" s="2"/>
      <c r="AB157" s="2">
        <f>O157/((H21+O21)*0.5)</f>
        <v>2.0186021276536842E-9</v>
      </c>
      <c r="AC157" s="2">
        <f>AVERAGE(Q157:V157)</f>
        <v>2.9525334018096604E-2</v>
      </c>
    </row>
    <row r="158" spans="1:29" ht="15" hidden="1" x14ac:dyDescent="0.2">
      <c r="A158" s="15" t="s">
        <v>41</v>
      </c>
      <c r="B158" s="15"/>
      <c r="C158" s="54">
        <f>1007310.57+229971.82</f>
        <v>1237282.3899999999</v>
      </c>
      <c r="D158" s="54">
        <f>883555.78+244699.87</f>
        <v>1128255.6499999999</v>
      </c>
      <c r="E158" s="54">
        <f>971392.21+275892.49</f>
        <v>1247284.7</v>
      </c>
      <c r="F158" s="54">
        <f>1069351.59+368812.34</f>
        <v>1438163.9300000002</v>
      </c>
      <c r="G158" s="54"/>
      <c r="H158" s="54"/>
      <c r="I158" s="54"/>
      <c r="J158" s="54"/>
      <c r="K158" s="54"/>
      <c r="L158" s="54"/>
      <c r="M158" s="54"/>
      <c r="N158" s="54"/>
      <c r="O158" s="9"/>
      <c r="P158" s="8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" x14ac:dyDescent="0.2">
      <c r="A159" s="15" t="s">
        <v>42</v>
      </c>
      <c r="B159" s="15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39"/>
      <c r="P159" s="8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" x14ac:dyDescent="0.2">
      <c r="A160" s="8" t="s">
        <v>43</v>
      </c>
      <c r="B160" s="8"/>
      <c r="C160" s="65">
        <f t="shared" ref="C160:H160" si="130">SUM(C148:C159)</f>
        <v>26699923.459999997</v>
      </c>
      <c r="D160" s="65">
        <f t="shared" si="130"/>
        <v>27682329.239999995</v>
      </c>
      <c r="E160" s="65">
        <f t="shared" si="130"/>
        <v>32056353.530000001</v>
      </c>
      <c r="F160" s="65">
        <f t="shared" si="130"/>
        <v>36825665.460000001</v>
      </c>
      <c r="G160" s="65">
        <f t="shared" si="130"/>
        <v>44075868</v>
      </c>
      <c r="H160" s="65">
        <f t="shared" si="130"/>
        <v>47353687</v>
      </c>
      <c r="I160" s="65">
        <f t="shared" ref="I160:M160" si="131">SUM(I148:I159)</f>
        <v>48788968</v>
      </c>
      <c r="J160" s="65">
        <f t="shared" si="131"/>
        <v>49633915</v>
      </c>
      <c r="K160" s="65">
        <f t="shared" si="131"/>
        <v>50464415</v>
      </c>
      <c r="L160" s="65">
        <f t="shared" si="131"/>
        <v>57075525</v>
      </c>
      <c r="M160" s="65">
        <f t="shared" si="131"/>
        <v>62023691</v>
      </c>
      <c r="N160" s="65">
        <f t="shared" ref="N160" si="132">SUM(N148:N159)</f>
        <v>59703717</v>
      </c>
      <c r="O160" s="40">
        <f t="shared" ref="O160:O163" si="133">RATE(5,,-H160,M160)</f>
        <v>5.5457527509582029E-2</v>
      </c>
      <c r="P160" s="8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" x14ac:dyDescent="0.2">
      <c r="A161" s="8" t="s">
        <v>44</v>
      </c>
      <c r="B161" s="8"/>
      <c r="C161" s="65">
        <f t="shared" ref="C161:H161" si="134">C146-C160</f>
        <v>2741219.9800000042</v>
      </c>
      <c r="D161" s="65">
        <f t="shared" si="134"/>
        <v>2455741.9700000025</v>
      </c>
      <c r="E161" s="65">
        <f t="shared" si="134"/>
        <v>2848012.4200000018</v>
      </c>
      <c r="F161" s="65">
        <f t="shared" si="134"/>
        <v>2859476.849999994</v>
      </c>
      <c r="G161" s="65">
        <f t="shared" si="134"/>
        <v>2802776</v>
      </c>
      <c r="H161" s="65">
        <f t="shared" si="134"/>
        <v>3127201</v>
      </c>
      <c r="I161" s="65">
        <f t="shared" ref="I161:M161" si="135">I146-I160</f>
        <v>2747578</v>
      </c>
      <c r="J161" s="65">
        <f t="shared" si="135"/>
        <v>2430742</v>
      </c>
      <c r="K161" s="65">
        <f t="shared" si="135"/>
        <v>2340814</v>
      </c>
      <c r="L161" s="65">
        <f t="shared" si="135"/>
        <v>3107247</v>
      </c>
      <c r="M161" s="65">
        <f t="shared" si="135"/>
        <v>3778896</v>
      </c>
      <c r="N161" s="65">
        <f t="shared" ref="N161" si="136">N146-N160</f>
        <v>3760464</v>
      </c>
      <c r="O161" s="9">
        <f t="shared" si="133"/>
        <v>3.8584480538151375E-2</v>
      </c>
      <c r="P161" s="8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" x14ac:dyDescent="0.2">
      <c r="A162" s="8"/>
      <c r="B162" s="8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9"/>
      <c r="P162" s="8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" x14ac:dyDescent="0.2">
      <c r="A163" s="15" t="s">
        <v>45</v>
      </c>
      <c r="B163" s="15"/>
      <c r="C163" s="54">
        <f>-1210501.14</f>
        <v>-1210501.1399999999</v>
      </c>
      <c r="D163" s="54">
        <v>-1289233.27</v>
      </c>
      <c r="E163" s="54">
        <v>-1540980.11</v>
      </c>
      <c r="F163" s="54">
        <v>-1481905.72</v>
      </c>
      <c r="G163" s="54">
        <f>1530883+10855</f>
        <v>1541738</v>
      </c>
      <c r="H163" s="54">
        <f>1599792+6138</f>
        <v>1605930</v>
      </c>
      <c r="I163" s="54">
        <f>9429+1605426</f>
        <v>1614855</v>
      </c>
      <c r="J163" s="54">
        <f>5207+1682143</f>
        <v>1687350</v>
      </c>
      <c r="K163" s="54">
        <f>1784971+8771</f>
        <v>1793742</v>
      </c>
      <c r="L163" s="54">
        <f>1946486+4153</f>
        <v>1950639</v>
      </c>
      <c r="M163" s="54">
        <f>1942409+3009</f>
        <v>1945418</v>
      </c>
      <c r="N163" s="54">
        <f>1729061+3024</f>
        <v>1732085</v>
      </c>
      <c r="O163" s="9">
        <f t="shared" si="133"/>
        <v>3.909980602077448E-2</v>
      </c>
      <c r="P163" s="8"/>
      <c r="Q163" s="2">
        <f t="shared" ref="Q163:V163" si="137">+C163/(C48+C42)</f>
        <v>-4.8800461555741713E-2</v>
      </c>
      <c r="R163" s="2">
        <f t="shared" si="137"/>
        <v>-5.0743339328481331E-2</v>
      </c>
      <c r="S163" s="2">
        <f t="shared" si="137"/>
        <v>-6.1680759862845588E-2</v>
      </c>
      <c r="T163" s="2">
        <f t="shared" si="137"/>
        <v>-6.0007237495230584E-2</v>
      </c>
      <c r="U163" s="2">
        <f t="shared" si="137"/>
        <v>5.7488811991633304E-2</v>
      </c>
      <c r="V163" s="2">
        <f t="shared" si="137"/>
        <v>4.7974510622978563E-2</v>
      </c>
      <c r="W163" s="2"/>
      <c r="X163" s="2"/>
      <c r="Y163" s="2"/>
      <c r="Z163" s="2"/>
      <c r="AA163" s="2"/>
      <c r="AB163" s="2"/>
      <c r="AC163" s="2">
        <f>AVERAGE(Q163:V163)</f>
        <v>-1.9294745937947892E-2</v>
      </c>
    </row>
    <row r="164" spans="1:29" ht="15" hidden="1" x14ac:dyDescent="0.2">
      <c r="A164" s="15" t="s">
        <v>46</v>
      </c>
      <c r="B164" s="15"/>
      <c r="C164" s="54">
        <f>114772.75-49113.14</f>
        <v>65659.61</v>
      </c>
      <c r="D164" s="54">
        <f>174932.68-81651.93</f>
        <v>93280.75</v>
      </c>
      <c r="E164" s="54">
        <f>296621.19</f>
        <v>296621.19</v>
      </c>
      <c r="F164" s="54"/>
      <c r="G164" s="54"/>
      <c r="H164" s="54"/>
      <c r="I164" s="54"/>
      <c r="J164" s="54"/>
      <c r="K164" s="54"/>
      <c r="L164" s="54"/>
      <c r="M164" s="54"/>
      <c r="N164" s="54"/>
      <c r="O164" s="9"/>
      <c r="P164" s="8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" hidden="1" x14ac:dyDescent="0.2">
      <c r="A165" s="15" t="s">
        <v>47</v>
      </c>
      <c r="B165" s="15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9"/>
      <c r="P165" s="8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" hidden="1" x14ac:dyDescent="0.2">
      <c r="A166" s="8" t="s">
        <v>48</v>
      </c>
      <c r="B166" s="8"/>
      <c r="C166" s="54">
        <v>0</v>
      </c>
      <c r="D166" s="54">
        <v>0</v>
      </c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39"/>
      <c r="P166" s="8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" hidden="1" x14ac:dyDescent="0.2">
      <c r="A167" s="8" t="s">
        <v>49</v>
      </c>
      <c r="B167" s="8"/>
      <c r="C167" s="65">
        <f>SUM(C163:C166)</f>
        <v>-1144841.5299999998</v>
      </c>
      <c r="D167" s="65">
        <f>SUM(D163:D166)</f>
        <v>-1195952.52</v>
      </c>
      <c r="E167" s="65">
        <f>SUM(E163:E166)</f>
        <v>-1244358.9200000002</v>
      </c>
      <c r="F167" s="65">
        <f>SUM(F163:F166)</f>
        <v>-1481905.72</v>
      </c>
      <c r="G167" s="65">
        <f t="shared" ref="G167:H167" si="138">SUM(G163:G166)</f>
        <v>1541738</v>
      </c>
      <c r="H167" s="65">
        <f t="shared" si="138"/>
        <v>1605930</v>
      </c>
      <c r="I167" s="65">
        <f t="shared" ref="I167:M167" si="139">SUM(I163:I166)</f>
        <v>1614855</v>
      </c>
      <c r="J167" s="65">
        <f t="shared" si="139"/>
        <v>1687350</v>
      </c>
      <c r="K167" s="65">
        <f t="shared" si="139"/>
        <v>1793742</v>
      </c>
      <c r="L167" s="65">
        <f t="shared" si="139"/>
        <v>1950639</v>
      </c>
      <c r="M167" s="65">
        <f t="shared" si="139"/>
        <v>1945418</v>
      </c>
      <c r="N167" s="65">
        <f t="shared" ref="N167" si="140">SUM(N163:N166)</f>
        <v>1732085</v>
      </c>
      <c r="O167" s="9">
        <f>RATE(5,,-H167,M167)</f>
        <v>3.909980602077448E-2</v>
      </c>
      <c r="P167" s="8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" x14ac:dyDescent="0.2">
      <c r="A168" s="8"/>
      <c r="B168" s="8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9"/>
      <c r="P168" s="8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" x14ac:dyDescent="0.2">
      <c r="A169" s="8" t="s">
        <v>89</v>
      </c>
      <c r="B169" s="8"/>
      <c r="C169" s="54">
        <f>C161+C167</f>
        <v>1596378.4500000044</v>
      </c>
      <c r="D169" s="54">
        <f>D161+D167</f>
        <v>1259789.4500000025</v>
      </c>
      <c r="E169" s="54">
        <f>E161+E167</f>
        <v>1603653.5000000016</v>
      </c>
      <c r="F169" s="54">
        <f>F161+F167</f>
        <v>1377571.1299999941</v>
      </c>
      <c r="G169" s="54">
        <f t="shared" ref="G169:K169" si="141">G161-G167</f>
        <v>1261038</v>
      </c>
      <c r="H169" s="54">
        <f t="shared" si="141"/>
        <v>1521271</v>
      </c>
      <c r="I169" s="54">
        <f t="shared" si="141"/>
        <v>1132723</v>
      </c>
      <c r="J169" s="54">
        <f t="shared" si="141"/>
        <v>743392</v>
      </c>
      <c r="K169" s="54">
        <f t="shared" si="141"/>
        <v>547072</v>
      </c>
      <c r="L169" s="54">
        <f>L161-L167</f>
        <v>1156608</v>
      </c>
      <c r="M169" s="54">
        <f>M161-M167</f>
        <v>1833478</v>
      </c>
      <c r="N169" s="54">
        <f>N161-N167</f>
        <v>2028379</v>
      </c>
      <c r="O169" s="9">
        <f>RATE(5,,-H169,M169)</f>
        <v>3.8039365062922652E-2</v>
      </c>
      <c r="P169" s="8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" x14ac:dyDescent="0.2">
      <c r="A170" s="8"/>
      <c r="B170" s="8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9"/>
      <c r="P170" s="8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" x14ac:dyDescent="0.2">
      <c r="A171" s="8" t="s">
        <v>88</v>
      </c>
      <c r="B171" s="8"/>
      <c r="C171" s="70">
        <v>1618544.51</v>
      </c>
      <c r="D171" s="70">
        <v>2169128.73</v>
      </c>
      <c r="E171" s="70">
        <v>2471100</v>
      </c>
      <c r="F171" s="70">
        <v>5112982.2300000004</v>
      </c>
      <c r="G171" s="70">
        <f>4228465+97544</f>
        <v>4326009</v>
      </c>
      <c r="H171" s="70">
        <f>4273700+236153</f>
        <v>4509853</v>
      </c>
      <c r="I171" s="70">
        <f>178011+3034244</f>
        <v>3212255</v>
      </c>
      <c r="J171" s="70">
        <f>94168+2714133</f>
        <v>2808301</v>
      </c>
      <c r="K171" s="70">
        <f>2002889+93726</f>
        <v>2096615</v>
      </c>
      <c r="L171" s="70">
        <f>109950+3128505</f>
        <v>3238455</v>
      </c>
      <c r="M171" s="70">
        <f>138093+2720357</f>
        <v>2858450</v>
      </c>
      <c r="N171" s="70">
        <f>159687+204223</f>
        <v>363910</v>
      </c>
      <c r="O171" s="39">
        <f t="shared" ref="O171:O172" si="142">RATE(5,,-H171,M171)</f>
        <v>-8.7162142970856407E-2</v>
      </c>
      <c r="P171" s="8"/>
      <c r="Q171" s="6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" x14ac:dyDescent="0.2">
      <c r="A172" s="8" t="s">
        <v>90</v>
      </c>
      <c r="B172" s="8"/>
      <c r="C172" s="54">
        <f t="shared" ref="C172:E172" si="143">+C171+C169</f>
        <v>3214922.9600000046</v>
      </c>
      <c r="D172" s="54">
        <f t="shared" si="143"/>
        <v>3428918.1800000025</v>
      </c>
      <c r="E172" s="54">
        <f t="shared" si="143"/>
        <v>4074753.5000000019</v>
      </c>
      <c r="F172" s="54">
        <f>+F171+F169</f>
        <v>6490553.3599999947</v>
      </c>
      <c r="G172" s="54">
        <f t="shared" ref="G172:N172" si="144">+G171+G169</f>
        <v>5587047</v>
      </c>
      <c r="H172" s="54">
        <f t="shared" si="144"/>
        <v>6031124</v>
      </c>
      <c r="I172" s="54">
        <f t="shared" ref="I172:M172" si="145">+I171+I169</f>
        <v>4344978</v>
      </c>
      <c r="J172" s="54">
        <f t="shared" si="145"/>
        <v>3551693</v>
      </c>
      <c r="K172" s="54">
        <f t="shared" si="145"/>
        <v>2643687</v>
      </c>
      <c r="L172" s="54">
        <f t="shared" si="145"/>
        <v>4395063</v>
      </c>
      <c r="M172" s="54">
        <f t="shared" si="145"/>
        <v>4691928</v>
      </c>
      <c r="N172" s="54">
        <f t="shared" si="144"/>
        <v>2392289</v>
      </c>
      <c r="O172" s="9">
        <f t="shared" si="142"/>
        <v>-4.8977884638524018E-2</v>
      </c>
      <c r="P172" s="8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" x14ac:dyDescent="0.2">
      <c r="A173" s="8" t="s">
        <v>50</v>
      </c>
      <c r="B173" s="8"/>
      <c r="C173" s="54"/>
      <c r="D173" s="54"/>
      <c r="E173" s="54">
        <v>-1249603</v>
      </c>
      <c r="F173" s="54"/>
      <c r="G173" s="54"/>
      <c r="H173" s="54"/>
      <c r="I173" s="54"/>
      <c r="J173" s="54"/>
      <c r="K173" s="54"/>
      <c r="L173" s="54"/>
      <c r="M173" s="54"/>
      <c r="N173" s="54"/>
      <c r="O173" s="9"/>
      <c r="P173" s="8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" x14ac:dyDescent="0.2">
      <c r="A174" s="8" t="s">
        <v>91</v>
      </c>
      <c r="B174" s="8"/>
      <c r="C174" s="54"/>
      <c r="D174" s="54"/>
      <c r="E174" s="54"/>
      <c r="F174" s="54">
        <f>298241.26-28129.46</f>
        <v>270111.8</v>
      </c>
      <c r="G174" s="54">
        <f>221160-24157</f>
        <v>197003</v>
      </c>
      <c r="H174" s="54">
        <f>163018-32806</f>
        <v>130212</v>
      </c>
      <c r="I174" s="54">
        <f>98459-14862</f>
        <v>83597</v>
      </c>
      <c r="J174" s="54">
        <f>174625+122502</f>
        <v>297127</v>
      </c>
      <c r="K174" s="54">
        <f>184108+89698</f>
        <v>273806</v>
      </c>
      <c r="L174" s="54">
        <f>58991+204523</f>
        <v>263514</v>
      </c>
      <c r="M174" s="54">
        <f>147091+210886</f>
        <v>357977</v>
      </c>
      <c r="N174" s="54">
        <f>166616+9658</f>
        <v>176274</v>
      </c>
      <c r="O174" s="9">
        <f>RATE(5,,-H174,M174)</f>
        <v>0.224167436695098</v>
      </c>
      <c r="P174" s="8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" x14ac:dyDescent="0.2">
      <c r="A175" s="8"/>
      <c r="B175" s="8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39"/>
      <c r="P175" s="8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thickBot="1" x14ac:dyDescent="0.25">
      <c r="A176" s="8" t="s">
        <v>92</v>
      </c>
      <c r="B176" s="8"/>
      <c r="C176" s="71">
        <f t="shared" ref="C176:E176" si="146">+C174+C172+C173</f>
        <v>3214922.9600000046</v>
      </c>
      <c r="D176" s="71">
        <f t="shared" si="146"/>
        <v>3428918.1800000025</v>
      </c>
      <c r="E176" s="71">
        <f t="shared" si="146"/>
        <v>2825150.5000000019</v>
      </c>
      <c r="F176" s="71">
        <f>+F174+F172+F173</f>
        <v>6760665.1599999946</v>
      </c>
      <c r="G176" s="71">
        <f t="shared" ref="G176:N176" si="147">+G174+G172</f>
        <v>5784050</v>
      </c>
      <c r="H176" s="71">
        <f t="shared" si="147"/>
        <v>6161336</v>
      </c>
      <c r="I176" s="71">
        <f t="shared" ref="I176:M176" si="148">+I174+I172</f>
        <v>4428575</v>
      </c>
      <c r="J176" s="71">
        <f t="shared" si="148"/>
        <v>3848820</v>
      </c>
      <c r="K176" s="71">
        <f t="shared" si="148"/>
        <v>2917493</v>
      </c>
      <c r="L176" s="71">
        <f t="shared" si="148"/>
        <v>4658577</v>
      </c>
      <c r="M176" s="71">
        <f t="shared" si="148"/>
        <v>5049905</v>
      </c>
      <c r="N176" s="71">
        <f t="shared" si="147"/>
        <v>2568563</v>
      </c>
      <c r="O176" s="42">
        <f>RATE(5,,-H176,M176)</f>
        <v>-3.9003816288370609E-2</v>
      </c>
      <c r="P176" s="8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thickTop="1" x14ac:dyDescent="0.2">
      <c r="A177" s="8"/>
      <c r="B177" s="8"/>
      <c r="C177" s="68"/>
      <c r="D177" s="68"/>
      <c r="E177" s="68"/>
      <c r="F177" s="68"/>
      <c r="G177" s="68"/>
      <c r="H177" s="68"/>
      <c r="I177" s="54"/>
      <c r="J177" s="54"/>
      <c r="K177" s="54"/>
      <c r="L177" s="54"/>
      <c r="M177" s="54"/>
      <c r="N177" s="54"/>
      <c r="O177" s="9"/>
      <c r="P177" s="8"/>
      <c r="Q177" s="2"/>
      <c r="R177" s="2"/>
      <c r="S177" s="2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" x14ac:dyDescent="0.2">
      <c r="A178" s="28" t="s">
        <v>93</v>
      </c>
      <c r="B178" s="8"/>
      <c r="C178" s="54">
        <v>-267521.84000000003</v>
      </c>
      <c r="D178" s="54">
        <v>-1029510.38</v>
      </c>
      <c r="E178" s="54">
        <v>-1017625.35</v>
      </c>
      <c r="F178" s="54">
        <v>-994350.96</v>
      </c>
      <c r="G178" s="54">
        <v>-82926.55</v>
      </c>
      <c r="H178" s="54">
        <v>-735502.27</v>
      </c>
      <c r="I178" s="55">
        <v>-809587.48</v>
      </c>
      <c r="J178" s="55">
        <v>-837578.48</v>
      </c>
      <c r="K178" s="55">
        <v>-504813.13</v>
      </c>
      <c r="L178" s="55">
        <v>-1022435</v>
      </c>
      <c r="M178" s="55">
        <v>-2011814</v>
      </c>
      <c r="N178" s="54"/>
      <c r="O178" s="9"/>
      <c r="P178" s="8"/>
      <c r="Q178" s="6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" x14ac:dyDescent="0.2">
      <c r="A179" s="8"/>
      <c r="B179" s="8"/>
      <c r="C179" s="8"/>
      <c r="D179" s="8"/>
      <c r="E179" s="8"/>
      <c r="F179" s="8"/>
      <c r="G179" s="8"/>
      <c r="H179" s="8"/>
      <c r="I179" s="50"/>
      <c r="J179" s="50"/>
      <c r="K179" s="50"/>
      <c r="L179" s="50"/>
      <c r="M179" s="50"/>
      <c r="N179" s="8"/>
      <c r="O179" s="9"/>
      <c r="P179" s="8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" hidden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46" t="s">
        <v>0</v>
      </c>
      <c r="P180" s="8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" hidden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6"/>
      <c r="N181" s="87" t="str">
        <f>+N69</f>
        <v>DON’T INCLUDE</v>
      </c>
      <c r="O181" s="83" t="s">
        <v>102</v>
      </c>
      <c r="P181" s="8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hidden="1" x14ac:dyDescent="0.25">
      <c r="A182" s="5" t="str">
        <f>A3</f>
        <v>Empire Electric Association, Inc.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7"/>
      <c r="P182" s="8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hidden="1" x14ac:dyDescent="0.25">
      <c r="A183" s="5" t="str">
        <f>A71</f>
        <v>Common Size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7"/>
      <c r="P183" s="8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hidden="1" x14ac:dyDescent="0.25">
      <c r="A184" s="5" t="s">
        <v>34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7"/>
      <c r="P184" s="8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hidden="1" x14ac:dyDescent="0.25">
      <c r="A185" s="10"/>
      <c r="B185" s="10"/>
      <c r="C185" s="10"/>
      <c r="D185" s="10"/>
      <c r="E185" s="10"/>
      <c r="F185" s="29"/>
      <c r="G185" s="29"/>
      <c r="H185" s="29"/>
      <c r="I185" s="29"/>
      <c r="J185" s="29"/>
      <c r="K185" s="29"/>
      <c r="L185" s="29"/>
      <c r="M185" s="29"/>
      <c r="N185" s="29" t="str">
        <f t="shared" ref="N185" si="149">N141</f>
        <v>11 Months</v>
      </c>
      <c r="O185" s="48" t="str">
        <f>O6</f>
        <v>2009 to 2014</v>
      </c>
      <c r="P185" s="8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hidden="1" x14ac:dyDescent="0.25">
      <c r="A186" s="73" t="s">
        <v>4</v>
      </c>
      <c r="B186" s="73"/>
      <c r="C186" s="13">
        <f t="shared" ref="C186:M186" si="150">C142</f>
        <v>2004</v>
      </c>
      <c r="D186" s="13">
        <f t="shared" si="150"/>
        <v>2005</v>
      </c>
      <c r="E186" s="13">
        <f t="shared" si="150"/>
        <v>2006</v>
      </c>
      <c r="F186" s="29">
        <f t="shared" si="150"/>
        <v>2007</v>
      </c>
      <c r="G186" s="29">
        <f t="shared" si="150"/>
        <v>2008</v>
      </c>
      <c r="H186" s="29">
        <f t="shared" si="150"/>
        <v>2009</v>
      </c>
      <c r="I186" s="29">
        <f t="shared" si="150"/>
        <v>2010</v>
      </c>
      <c r="J186" s="29">
        <f t="shared" si="150"/>
        <v>2011</v>
      </c>
      <c r="K186" s="29">
        <f t="shared" si="150"/>
        <v>2012</v>
      </c>
      <c r="L186" s="29">
        <f t="shared" si="150"/>
        <v>2013</v>
      </c>
      <c r="M186" s="29">
        <f t="shared" si="150"/>
        <v>2014</v>
      </c>
      <c r="N186" s="29" t="str">
        <f t="shared" ref="N186" si="151">N142</f>
        <v>YTD 2015</v>
      </c>
      <c r="O186" s="48" t="s">
        <v>51</v>
      </c>
      <c r="P186" s="8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" hidden="1" x14ac:dyDescent="0.2">
      <c r="A187" s="8" t="s">
        <v>96</v>
      </c>
      <c r="B187" s="8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8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" hidden="1" x14ac:dyDescent="0.2">
      <c r="A188" s="8" t="str">
        <f>A144</f>
        <v>Operating Revenues</v>
      </c>
      <c r="B188" s="8"/>
      <c r="C188" s="9">
        <f t="shared" ref="C188:G190" si="152">C144/C$146</f>
        <v>0.98887504825797623</v>
      </c>
      <c r="D188" s="9">
        <f t="shared" si="152"/>
        <v>0.98962170446076136</v>
      </c>
      <c r="E188" s="9">
        <f t="shared" si="152"/>
        <v>0.99080981758959574</v>
      </c>
      <c r="F188" s="9">
        <f t="shared" si="152"/>
        <v>0.99149616404638774</v>
      </c>
      <c r="G188" s="9">
        <f t="shared" si="152"/>
        <v>1</v>
      </c>
      <c r="H188" s="9">
        <f t="shared" ref="H188:N188" si="153">H144/H$146</f>
        <v>1</v>
      </c>
      <c r="I188" s="9">
        <f t="shared" ref="I188:M188" si="154">I144/I$146</f>
        <v>1</v>
      </c>
      <c r="J188" s="9">
        <f t="shared" si="154"/>
        <v>1</v>
      </c>
      <c r="K188" s="9">
        <f t="shared" si="154"/>
        <v>1</v>
      </c>
      <c r="L188" s="9">
        <f t="shared" si="154"/>
        <v>1</v>
      </c>
      <c r="M188" s="9">
        <f t="shared" si="154"/>
        <v>1</v>
      </c>
      <c r="N188" s="9">
        <f t="shared" si="153"/>
        <v>1</v>
      </c>
      <c r="O188" s="30">
        <f>SUM(H144:M144)/SUM(H$146:M$146)</f>
        <v>1</v>
      </c>
      <c r="P188" s="8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" hidden="1" x14ac:dyDescent="0.2">
      <c r="A189" s="8" t="str">
        <f>+A145</f>
        <v>Misc Electric Revenue</v>
      </c>
      <c r="B189" s="8"/>
      <c r="C189" s="9">
        <f t="shared" si="152"/>
        <v>1.112495174202378E-2</v>
      </c>
      <c r="D189" s="9">
        <f t="shared" si="152"/>
        <v>1.0378295539238658E-2</v>
      </c>
      <c r="E189" s="9">
        <f t="shared" si="152"/>
        <v>9.1901824104041619E-3</v>
      </c>
      <c r="F189" s="9">
        <f t="shared" si="152"/>
        <v>8.5038359536123345E-3</v>
      </c>
      <c r="G189" s="9">
        <f t="shared" si="152"/>
        <v>0</v>
      </c>
      <c r="H189" s="9">
        <f t="shared" ref="H189:N189" si="155">H145/H$146</f>
        <v>0</v>
      </c>
      <c r="I189" s="9">
        <f t="shared" ref="I189:M189" si="156">I145/I$146</f>
        <v>0</v>
      </c>
      <c r="J189" s="9">
        <f t="shared" si="156"/>
        <v>0</v>
      </c>
      <c r="K189" s="9">
        <f t="shared" si="156"/>
        <v>0</v>
      </c>
      <c r="L189" s="9">
        <f t="shared" si="156"/>
        <v>0</v>
      </c>
      <c r="M189" s="9">
        <f t="shared" si="156"/>
        <v>0</v>
      </c>
      <c r="N189" s="9">
        <f t="shared" si="155"/>
        <v>0</v>
      </c>
      <c r="O189" s="30">
        <f t="shared" ref="O189:O190" si="157">SUM(H145:M145)/SUM(H$146:M$146)</f>
        <v>0</v>
      </c>
      <c r="P189" s="8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" hidden="1" x14ac:dyDescent="0.2">
      <c r="A190" s="8" t="str">
        <f>A146</f>
        <v>Total Revenues</v>
      </c>
      <c r="B190" s="8"/>
      <c r="C190" s="17">
        <f t="shared" si="152"/>
        <v>1</v>
      </c>
      <c r="D190" s="17">
        <f t="shared" si="152"/>
        <v>1</v>
      </c>
      <c r="E190" s="17">
        <f t="shared" si="152"/>
        <v>1</v>
      </c>
      <c r="F190" s="17">
        <f t="shared" si="152"/>
        <v>1</v>
      </c>
      <c r="G190" s="17">
        <f t="shared" si="152"/>
        <v>1</v>
      </c>
      <c r="H190" s="17">
        <f t="shared" ref="H190:N190" si="158">H146/H$146</f>
        <v>1</v>
      </c>
      <c r="I190" s="17">
        <f t="shared" ref="I190:M190" si="159">I146/I$146</f>
        <v>1</v>
      </c>
      <c r="J190" s="17">
        <f t="shared" si="159"/>
        <v>1</v>
      </c>
      <c r="K190" s="17">
        <f t="shared" si="159"/>
        <v>1</v>
      </c>
      <c r="L190" s="17">
        <f t="shared" si="159"/>
        <v>1</v>
      </c>
      <c r="M190" s="17">
        <f t="shared" si="159"/>
        <v>1</v>
      </c>
      <c r="N190" s="17">
        <f t="shared" si="158"/>
        <v>1</v>
      </c>
      <c r="O190" s="30">
        <f t="shared" si="157"/>
        <v>1</v>
      </c>
      <c r="P190" s="8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" hidden="1" x14ac:dyDescent="0.2">
      <c r="A191" s="8"/>
      <c r="B191" s="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30"/>
      <c r="P191" s="8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" hidden="1" x14ac:dyDescent="0.2">
      <c r="A192" s="8" t="s">
        <v>38</v>
      </c>
      <c r="B192" s="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30"/>
      <c r="P192" s="8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" hidden="1" x14ac:dyDescent="0.2">
      <c r="A193" s="15" t="str">
        <f>A149</f>
        <v>Cost of Purchased Power</v>
      </c>
      <c r="B193" s="15"/>
      <c r="C193" s="9">
        <f>C149/C$146</f>
        <v>0.66328991296813566</v>
      </c>
      <c r="D193" s="9">
        <f>D149/D$146</f>
        <v>0.67187255245721478</v>
      </c>
      <c r="E193" s="9">
        <f>E149/E$146</f>
        <v>0.70026911003091863</v>
      </c>
      <c r="F193" s="9">
        <f>F149/F$146</f>
        <v>0.7092104899144559</v>
      </c>
      <c r="G193" s="9">
        <f>G149/G$146</f>
        <v>0.73717750880336896</v>
      </c>
      <c r="H193" s="9">
        <f t="shared" ref="H193:N193" si="160">H149/H$146</f>
        <v>0.7478606953189888</v>
      </c>
      <c r="I193" s="9">
        <f t="shared" ref="I193:M193" si="161">I149/I$146</f>
        <v>0.74563142046810815</v>
      </c>
      <c r="J193" s="9">
        <f t="shared" si="161"/>
        <v>0.75529386470365112</v>
      </c>
      <c r="K193" s="9">
        <f t="shared" si="161"/>
        <v>0.76908890973657174</v>
      </c>
      <c r="L193" s="9">
        <f t="shared" si="161"/>
        <v>0.77978511857180655</v>
      </c>
      <c r="M193" s="9">
        <f t="shared" si="161"/>
        <v>0.78340517220090455</v>
      </c>
      <c r="N193" s="9">
        <f t="shared" si="160"/>
        <v>0.79227731623921849</v>
      </c>
      <c r="O193" s="30">
        <f>SUM(H149:M149)/SUM(H$146:M$146)</f>
        <v>0.76484405318226789</v>
      </c>
      <c r="P193" s="41">
        <f>(AVERAGE(K193:M193))</f>
        <v>0.77742640016976094</v>
      </c>
      <c r="Q193" s="2">
        <f>AVERAGE(G193:N193)</f>
        <v>0.76381500075532727</v>
      </c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" hidden="1" x14ac:dyDescent="0.2">
      <c r="A194" s="15" t="str">
        <f t="shared" ref="A194:A222" si="162">A150</f>
        <v>Transmission Expense</v>
      </c>
      <c r="B194" s="15"/>
      <c r="C194" s="9"/>
      <c r="D194" s="9"/>
      <c r="E194" s="9"/>
      <c r="F194" s="9"/>
      <c r="G194" s="9"/>
      <c r="H194" s="9">
        <f t="shared" ref="H194:N194" si="163">H150/H$146</f>
        <v>1.1200377457702408E-2</v>
      </c>
      <c r="I194" s="9">
        <f t="shared" si="163"/>
        <v>7.8743538614326238E-3</v>
      </c>
      <c r="J194" s="9">
        <f t="shared" si="163"/>
        <v>6.9550827925362116E-3</v>
      </c>
      <c r="K194" s="9">
        <f t="shared" si="163"/>
        <v>5.6062819081799647E-3</v>
      </c>
      <c r="L194" s="9">
        <f t="shared" si="163"/>
        <v>5.5956046690571184E-3</v>
      </c>
      <c r="M194" s="9">
        <f t="shared" si="163"/>
        <v>7.3205176568513939E-3</v>
      </c>
      <c r="N194" s="9">
        <f t="shared" si="163"/>
        <v>4.0885267234442059E-3</v>
      </c>
      <c r="O194" s="30">
        <f>SUM(H150:M150)/SUM(H$146:M$146)</f>
        <v>7.3536975379105834E-3</v>
      </c>
      <c r="P194" s="41">
        <f>(AVERAGE(K194:M194))</f>
        <v>6.1741347446961593E-3</v>
      </c>
      <c r="Q194" s="2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" hidden="1" x14ac:dyDescent="0.2">
      <c r="A195" s="15" t="str">
        <f t="shared" si="162"/>
        <v>Distribution Exp - Operation</v>
      </c>
      <c r="B195" s="15"/>
      <c r="C195" s="9"/>
      <c r="D195" s="9"/>
      <c r="E195" s="9"/>
      <c r="F195" s="9"/>
      <c r="G195" s="9"/>
      <c r="H195" s="9">
        <f t="shared" ref="H195:N195" si="164">H151/H$146</f>
        <v>4.2576648017760704E-2</v>
      </c>
      <c r="I195" s="9">
        <f t="shared" si="164"/>
        <v>5.0509574312566467E-2</v>
      </c>
      <c r="J195" s="9">
        <f t="shared" si="164"/>
        <v>4.7452074830724424E-2</v>
      </c>
      <c r="K195" s="9">
        <f t="shared" si="164"/>
        <v>4.2737036515834444E-2</v>
      </c>
      <c r="L195" s="9">
        <f t="shared" si="164"/>
        <v>3.8042249034324974E-2</v>
      </c>
      <c r="M195" s="9">
        <f t="shared" si="164"/>
        <v>3.4924584348028746E-2</v>
      </c>
      <c r="N195" s="9">
        <f t="shared" si="164"/>
        <v>3.4844127272358562E-2</v>
      </c>
      <c r="O195" s="30">
        <f t="shared" ref="O195:O205" si="165">SUM(H151:M151)/SUM(H$146:M$146)</f>
        <v>4.2260383286067162E-2</v>
      </c>
      <c r="P195" s="41">
        <f t="shared" ref="P195:P196" si="166">(AVERAGE(K195:M195))</f>
        <v>3.856795663272939E-2</v>
      </c>
      <c r="Q195" s="2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" hidden="1" x14ac:dyDescent="0.2">
      <c r="A196" s="15" t="str">
        <f t="shared" si="162"/>
        <v>Distribution Exp - Maintenance</v>
      </c>
      <c r="B196" s="15"/>
      <c r="C196" s="9"/>
      <c r="D196" s="9"/>
      <c r="E196" s="9"/>
      <c r="F196" s="9"/>
      <c r="G196" s="9"/>
      <c r="H196" s="9">
        <f t="shared" ref="H196:N196" si="167">H152/H$146</f>
        <v>2.6188782574506218E-2</v>
      </c>
      <c r="I196" s="9">
        <f t="shared" si="167"/>
        <v>2.9064695177670619E-2</v>
      </c>
      <c r="J196" s="9">
        <f t="shared" si="167"/>
        <v>2.9247883069699276E-2</v>
      </c>
      <c r="K196" s="9">
        <f t="shared" si="167"/>
        <v>2.6881352981160254E-2</v>
      </c>
      <c r="L196" s="9">
        <f t="shared" si="167"/>
        <v>2.6156937403946763E-2</v>
      </c>
      <c r="M196" s="9">
        <f t="shared" si="167"/>
        <v>1.9841058832534959E-2</v>
      </c>
      <c r="N196" s="9">
        <f t="shared" si="167"/>
        <v>1.7913600744331674E-2</v>
      </c>
      <c r="O196" s="30">
        <f t="shared" si="165"/>
        <v>2.5961800247355237E-2</v>
      </c>
      <c r="P196" s="41">
        <f t="shared" si="166"/>
        <v>2.4293116405880655E-2</v>
      </c>
      <c r="Q196" s="2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" hidden="1" x14ac:dyDescent="0.2">
      <c r="A197" s="15" t="str">
        <f t="shared" si="162"/>
        <v>Customer Account Expense</v>
      </c>
      <c r="B197" s="15"/>
      <c r="C197" s="9"/>
      <c r="D197" s="9"/>
      <c r="E197" s="9"/>
      <c r="F197" s="9"/>
      <c r="G197" s="9"/>
      <c r="H197" s="9">
        <f t="shared" ref="H197:N197" si="168">H153/H$146</f>
        <v>2.330404726636346E-2</v>
      </c>
      <c r="I197" s="9">
        <f t="shared" si="168"/>
        <v>2.3139463013295457E-2</v>
      </c>
      <c r="J197" s="9">
        <f t="shared" si="168"/>
        <v>2.2109220848223393E-2</v>
      </c>
      <c r="K197" s="9">
        <f t="shared" si="168"/>
        <v>2.1253898927320249E-2</v>
      </c>
      <c r="L197" s="9">
        <f t="shared" si="168"/>
        <v>1.9190242682739837E-2</v>
      </c>
      <c r="M197" s="9">
        <f t="shared" si="168"/>
        <v>1.730900032851292E-2</v>
      </c>
      <c r="N197" s="9">
        <f t="shared" si="168"/>
        <v>1.6253262608084393E-2</v>
      </c>
      <c r="O197" s="30">
        <f t="shared" si="165"/>
        <v>2.0837582768395362E-2</v>
      </c>
      <c r="P197" s="8"/>
      <c r="Q197" s="2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" hidden="1" x14ac:dyDescent="0.2">
      <c r="A198" s="15" t="str">
        <f t="shared" si="162"/>
        <v>Customer Service and Information Exp</v>
      </c>
      <c r="B198" s="15"/>
      <c r="C198" s="9"/>
      <c r="D198" s="9"/>
      <c r="E198" s="9"/>
      <c r="F198" s="9"/>
      <c r="G198" s="9"/>
      <c r="H198" s="9">
        <f t="shared" ref="H198:N198" si="169">H154/H$146</f>
        <v>9.3122767570966661E-3</v>
      </c>
      <c r="I198" s="9">
        <f t="shared" si="169"/>
        <v>1.1109999494339415E-2</v>
      </c>
      <c r="J198" s="9">
        <f t="shared" si="169"/>
        <v>9.8231128268068679E-3</v>
      </c>
      <c r="K198" s="9">
        <f t="shared" si="169"/>
        <v>9.1287550329532709E-3</v>
      </c>
      <c r="L198" s="9">
        <f t="shared" si="169"/>
        <v>8.5346517438578597E-3</v>
      </c>
      <c r="M198" s="9">
        <f t="shared" si="169"/>
        <v>7.247617787428327E-3</v>
      </c>
      <c r="N198" s="9">
        <f t="shared" si="169"/>
        <v>6.7357680074686538E-3</v>
      </c>
      <c r="O198" s="30">
        <f t="shared" si="165"/>
        <v>9.0926567151520411E-3</v>
      </c>
      <c r="P198" s="8"/>
      <c r="Q198" s="2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" hidden="1" x14ac:dyDescent="0.2">
      <c r="A199" s="15" t="str">
        <f t="shared" si="162"/>
        <v>Administrative and General Expense</v>
      </c>
      <c r="B199" s="15"/>
      <c r="C199" s="9">
        <f t="shared" ref="C199:N199" si="170">C155/C$146</f>
        <v>5.8535602854968463E-2</v>
      </c>
      <c r="D199" s="9">
        <f t="shared" si="170"/>
        <v>6.3461147751399188E-2</v>
      </c>
      <c r="E199" s="9">
        <f t="shared" si="170"/>
        <v>5.3954291354202349E-2</v>
      </c>
      <c r="F199" s="9">
        <f t="shared" si="170"/>
        <v>5.323890295002448E-2</v>
      </c>
      <c r="G199" s="9">
        <f t="shared" si="170"/>
        <v>4.8736733937952643E-2</v>
      </c>
      <c r="H199" s="9">
        <f t="shared" si="170"/>
        <v>4.3556147427517518E-2</v>
      </c>
      <c r="I199" s="9">
        <f t="shared" si="170"/>
        <v>4.3496919642228252E-2</v>
      </c>
      <c r="J199" s="9">
        <f t="shared" si="170"/>
        <v>4.2847838217776026E-2</v>
      </c>
      <c r="K199" s="9">
        <f t="shared" si="170"/>
        <v>3.9985509768360253E-2</v>
      </c>
      <c r="L199" s="9">
        <f t="shared" si="170"/>
        <v>3.3702153167687258E-2</v>
      </c>
      <c r="M199" s="9">
        <f t="shared" si="170"/>
        <v>3.7431871789478426E-2</v>
      </c>
      <c r="N199" s="9">
        <f t="shared" si="170"/>
        <v>2.8408623125539115E-2</v>
      </c>
      <c r="O199" s="30">
        <f t="shared" si="165"/>
        <v>3.9877526265830909E-2</v>
      </c>
      <c r="P199" s="8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" hidden="1" x14ac:dyDescent="0.2">
      <c r="A200" s="15" t="str">
        <f t="shared" si="162"/>
        <v xml:space="preserve">   Operating and Maintenance</v>
      </c>
      <c r="B200" s="15"/>
      <c r="C200" s="9">
        <f t="shared" ref="C200:G202" si="171">C156/C$146</f>
        <v>9.6273644594559268E-2</v>
      </c>
      <c r="D200" s="9">
        <f t="shared" si="171"/>
        <v>9.8434472110997456E-2</v>
      </c>
      <c r="E200" s="9">
        <f t="shared" si="171"/>
        <v>8.612135869495717E-2</v>
      </c>
      <c r="F200" s="9">
        <f t="shared" si="171"/>
        <v>8.972578029795153E-2</v>
      </c>
      <c r="G200" s="9">
        <f t="shared" si="171"/>
        <v>0</v>
      </c>
      <c r="H200" s="9">
        <f t="shared" ref="H200:N200" si="172">H156/H$146</f>
        <v>0</v>
      </c>
      <c r="I200" s="9">
        <f t="shared" si="172"/>
        <v>0</v>
      </c>
      <c r="J200" s="9">
        <f t="shared" si="172"/>
        <v>0</v>
      </c>
      <c r="K200" s="9">
        <f t="shared" si="172"/>
        <v>0</v>
      </c>
      <c r="L200" s="9">
        <f t="shared" si="172"/>
        <v>0</v>
      </c>
      <c r="M200" s="9">
        <f t="shared" si="172"/>
        <v>0</v>
      </c>
      <c r="N200" s="9">
        <f t="shared" si="172"/>
        <v>0</v>
      </c>
      <c r="O200" s="30">
        <f t="shared" si="165"/>
        <v>0</v>
      </c>
      <c r="P200" s="8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" hidden="1" x14ac:dyDescent="0.2">
      <c r="A201" s="15" t="str">
        <f t="shared" si="162"/>
        <v xml:space="preserve">   Depreciation and amortization</v>
      </c>
      <c r="B201" s="15"/>
      <c r="C201" s="9">
        <f t="shared" si="171"/>
        <v>4.6766741339581613E-2</v>
      </c>
      <c r="D201" s="9">
        <f t="shared" si="171"/>
        <v>4.7312551293158887E-2</v>
      </c>
      <c r="E201" s="9">
        <f t="shared" si="171"/>
        <v>4.2326160633208695E-2</v>
      </c>
      <c r="F201" s="9">
        <f t="shared" si="171"/>
        <v>3.9531381738416659E-2</v>
      </c>
      <c r="G201" s="9">
        <f t="shared" si="171"/>
        <v>3.509826350779259E-2</v>
      </c>
      <c r="H201" s="9">
        <f t="shared" ref="H201:N201" si="173">H157/H$146</f>
        <v>3.4052808262802353E-2</v>
      </c>
      <c r="I201" s="9">
        <f t="shared" si="173"/>
        <v>3.5860377604661361E-2</v>
      </c>
      <c r="J201" s="9">
        <f t="shared" si="173"/>
        <v>3.9583935029092771E-2</v>
      </c>
      <c r="K201" s="9">
        <f t="shared" si="173"/>
        <v>4.0989046747624179E-2</v>
      </c>
      <c r="L201" s="9">
        <f t="shared" si="173"/>
        <v>3.7362868563116367E-2</v>
      </c>
      <c r="M201" s="9">
        <f t="shared" si="173"/>
        <v>3.5092404497713746E-2</v>
      </c>
      <c r="N201" s="9">
        <f t="shared" si="173"/>
        <v>4.0225446224540419E-2</v>
      </c>
      <c r="O201" s="30">
        <f t="shared" si="165"/>
        <v>3.7102077698602597E-2</v>
      </c>
      <c r="P201" s="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" hidden="1" x14ac:dyDescent="0.2">
      <c r="A202" s="15" t="str">
        <f t="shared" si="162"/>
        <v xml:space="preserve">   Other</v>
      </c>
      <c r="B202" s="15"/>
      <c r="C202" s="9">
        <f t="shared" si="171"/>
        <v>4.2025622833621837E-2</v>
      </c>
      <c r="D202" s="9">
        <f t="shared" si="171"/>
        <v>3.7436226165184647E-2</v>
      </c>
      <c r="E202" s="9">
        <f t="shared" si="171"/>
        <v>3.5734346293146167E-2</v>
      </c>
      <c r="F202" s="9">
        <f t="shared" si="171"/>
        <v>3.623935423403047E-2</v>
      </c>
      <c r="G202" s="9">
        <f t="shared" si="171"/>
        <v>0</v>
      </c>
      <c r="H202" s="9">
        <f t="shared" ref="H202:N202" si="174">H158/H$146</f>
        <v>0</v>
      </c>
      <c r="I202" s="9">
        <f t="shared" si="174"/>
        <v>0</v>
      </c>
      <c r="J202" s="9">
        <f t="shared" si="174"/>
        <v>0</v>
      </c>
      <c r="K202" s="9">
        <f t="shared" si="174"/>
        <v>0</v>
      </c>
      <c r="L202" s="9">
        <f t="shared" si="174"/>
        <v>0</v>
      </c>
      <c r="M202" s="9">
        <f t="shared" si="174"/>
        <v>0</v>
      </c>
      <c r="N202" s="9">
        <f t="shared" si="174"/>
        <v>0</v>
      </c>
      <c r="O202" s="30">
        <f t="shared" si="165"/>
        <v>0</v>
      </c>
      <c r="P202" s="8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" hidden="1" x14ac:dyDescent="0.2">
      <c r="A203" s="15" t="str">
        <f t="shared" si="162"/>
        <v xml:space="preserve">   Taxes, other than income taxes</v>
      </c>
      <c r="B203" s="15"/>
      <c r="C203" s="9">
        <f>C159/C$146</f>
        <v>0</v>
      </c>
      <c r="D203" s="9"/>
      <c r="E203" s="9"/>
      <c r="F203" s="9"/>
      <c r="G203" s="9"/>
      <c r="H203" s="9">
        <f t="shared" ref="H203:N203" si="175">H159/H$146</f>
        <v>0</v>
      </c>
      <c r="I203" s="9">
        <f t="shared" si="175"/>
        <v>0</v>
      </c>
      <c r="J203" s="9">
        <f t="shared" si="175"/>
        <v>0</v>
      </c>
      <c r="K203" s="9">
        <f t="shared" si="175"/>
        <v>0</v>
      </c>
      <c r="L203" s="9">
        <f t="shared" si="175"/>
        <v>0</v>
      </c>
      <c r="M203" s="9">
        <f t="shared" si="175"/>
        <v>0</v>
      </c>
      <c r="N203" s="9">
        <f t="shared" si="175"/>
        <v>0</v>
      </c>
      <c r="O203" s="30">
        <f t="shared" si="165"/>
        <v>0</v>
      </c>
      <c r="P203" s="8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" hidden="1" x14ac:dyDescent="0.2">
      <c r="A204" s="15" t="str">
        <f t="shared" si="162"/>
        <v>Total Operating Expenses</v>
      </c>
      <c r="B204" s="8"/>
      <c r="C204" s="17">
        <f>C160/C$146</f>
        <v>0.90689152459086675</v>
      </c>
      <c r="D204" s="17">
        <f t="shared" ref="D204:G205" si="176">D160/D$146</f>
        <v>0.91851694977795484</v>
      </c>
      <c r="E204" s="17">
        <f t="shared" si="176"/>
        <v>0.91840526700643299</v>
      </c>
      <c r="F204" s="17">
        <f t="shared" si="176"/>
        <v>0.92794590913487907</v>
      </c>
      <c r="G204" s="17">
        <f t="shared" si="176"/>
        <v>0.94021209316549348</v>
      </c>
      <c r="H204" s="9">
        <f t="shared" ref="H204:N204" si="177">H160/H$146</f>
        <v>0.93805178308273818</v>
      </c>
      <c r="I204" s="9">
        <f t="shared" si="177"/>
        <v>0.94668680357430235</v>
      </c>
      <c r="J204" s="9">
        <f t="shared" si="177"/>
        <v>0.95331301231851007</v>
      </c>
      <c r="K204" s="9">
        <f t="shared" si="177"/>
        <v>0.95567079161800439</v>
      </c>
      <c r="L204" s="9">
        <f t="shared" si="177"/>
        <v>0.94836982583653673</v>
      </c>
      <c r="M204" s="9">
        <f t="shared" si="177"/>
        <v>0.94257222744145297</v>
      </c>
      <c r="N204" s="9">
        <f t="shared" si="177"/>
        <v>0.94074667094498554</v>
      </c>
      <c r="O204" s="30">
        <f t="shared" si="165"/>
        <v>0.94732977770158178</v>
      </c>
      <c r="P204" s="8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" hidden="1" x14ac:dyDescent="0.2">
      <c r="A205" s="15" t="str">
        <f t="shared" si="162"/>
        <v>Earnings From Operations</v>
      </c>
      <c r="B205" s="8"/>
      <c r="C205" s="17">
        <f>C161/C$146</f>
        <v>9.3108475409133223E-2</v>
      </c>
      <c r="D205" s="17">
        <f t="shared" si="176"/>
        <v>8.1483050222045147E-2</v>
      </c>
      <c r="E205" s="17">
        <f t="shared" si="176"/>
        <v>8.1594732993566996E-2</v>
      </c>
      <c r="F205" s="17">
        <f t="shared" si="176"/>
        <v>7.2054090865120907E-2</v>
      </c>
      <c r="G205" s="17">
        <f t="shared" si="176"/>
        <v>5.9787906834506563E-2</v>
      </c>
      <c r="H205" s="9">
        <f t="shared" ref="H205:N205" si="178">H161/H$146</f>
        <v>6.1948216917261836E-2</v>
      </c>
      <c r="I205" s="9">
        <f t="shared" si="178"/>
        <v>5.3313196425697602E-2</v>
      </c>
      <c r="J205" s="9">
        <f t="shared" si="178"/>
        <v>4.6686987681489961E-2</v>
      </c>
      <c r="K205" s="9">
        <f t="shared" si="178"/>
        <v>4.4329208381995652E-2</v>
      </c>
      <c r="L205" s="9">
        <f t="shared" si="178"/>
        <v>5.1630174163463258E-2</v>
      </c>
      <c r="M205" s="9">
        <f t="shared" si="178"/>
        <v>5.7427772558546974E-2</v>
      </c>
      <c r="N205" s="9">
        <f t="shared" si="178"/>
        <v>5.9253329055014514E-2</v>
      </c>
      <c r="O205" s="30">
        <f t="shared" si="165"/>
        <v>5.2670222298418189E-2</v>
      </c>
      <c r="P205" s="8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" hidden="1" x14ac:dyDescent="0.2">
      <c r="A206" s="15"/>
      <c r="B206" s="8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30"/>
      <c r="P206" s="8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" hidden="1" x14ac:dyDescent="0.2">
      <c r="A207" s="15" t="str">
        <f t="shared" si="162"/>
        <v xml:space="preserve">   Interest expense (net)</v>
      </c>
      <c r="B207" s="15"/>
      <c r="C207" s="9">
        <f t="shared" ref="C207:G208" si="179">C163/C$146</f>
        <v>-4.1115968965911867E-2</v>
      </c>
      <c r="D207" s="9">
        <f t="shared" si="179"/>
        <v>-4.2777563999259E-2</v>
      </c>
      <c r="E207" s="9">
        <f t="shared" si="179"/>
        <v>-4.4148634936025818E-2</v>
      </c>
      <c r="F207" s="9">
        <f t="shared" si="179"/>
        <v>-3.7341575051542258E-2</v>
      </c>
      <c r="G207" s="9">
        <f t="shared" si="179"/>
        <v>3.2887854008746498E-2</v>
      </c>
      <c r="H207" s="9">
        <f t="shared" ref="H207:N207" si="180">H163/H$146</f>
        <v>3.1812633723875855E-2</v>
      </c>
      <c r="I207" s="9">
        <f t="shared" si="180"/>
        <v>3.1334172065004121E-2</v>
      </c>
      <c r="J207" s="9">
        <f t="shared" si="180"/>
        <v>3.2408741307947152E-2</v>
      </c>
      <c r="K207" s="9">
        <f t="shared" si="180"/>
        <v>3.3969022272396544E-2</v>
      </c>
      <c r="L207" s="9">
        <f t="shared" si="180"/>
        <v>3.2411916818986003E-2</v>
      </c>
      <c r="M207" s="9">
        <f t="shared" si="180"/>
        <v>2.9564460740730453E-2</v>
      </c>
      <c r="N207" s="9">
        <f t="shared" si="180"/>
        <v>2.7292324153682847E-2</v>
      </c>
      <c r="O207" s="30">
        <f t="shared" ref="O207:O211" si="181">SUM(H163:M163)/SUM(H$146:M$146)</f>
        <v>3.1837800662516971E-2</v>
      </c>
      <c r="P207" s="8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" hidden="1" x14ac:dyDescent="0.2">
      <c r="A208" s="15" t="str">
        <f t="shared" si="162"/>
        <v xml:space="preserve">   Interest and Other Income</v>
      </c>
      <c r="B208" s="15"/>
      <c r="C208" s="9">
        <f t="shared" si="179"/>
        <v>2.2301990455571787E-3</v>
      </c>
      <c r="D208" s="9">
        <f t="shared" si="179"/>
        <v>3.0951134646283827E-3</v>
      </c>
      <c r="E208" s="9">
        <f t="shared" si="179"/>
        <v>8.4981113945718292E-3</v>
      </c>
      <c r="F208" s="9">
        <f t="shared" si="179"/>
        <v>0</v>
      </c>
      <c r="G208" s="9">
        <f t="shared" si="179"/>
        <v>0</v>
      </c>
      <c r="H208" s="9">
        <f>H164/H$146</f>
        <v>0</v>
      </c>
      <c r="I208" s="9">
        <f t="shared" ref="I208:N208" si="182">I164/I$146</f>
        <v>0</v>
      </c>
      <c r="J208" s="9">
        <f t="shared" si="182"/>
        <v>0</v>
      </c>
      <c r="K208" s="9">
        <f t="shared" si="182"/>
        <v>0</v>
      </c>
      <c r="L208" s="9">
        <f t="shared" si="182"/>
        <v>0</v>
      </c>
      <c r="M208" s="9">
        <f t="shared" si="182"/>
        <v>0</v>
      </c>
      <c r="N208" s="9">
        <f t="shared" si="182"/>
        <v>0</v>
      </c>
      <c r="O208" s="30">
        <f t="shared" si="181"/>
        <v>0</v>
      </c>
      <c r="P208" s="8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" hidden="1" x14ac:dyDescent="0.2">
      <c r="A209" s="15" t="str">
        <f t="shared" si="162"/>
        <v xml:space="preserve">   Loss (Gain) on Sale of Assets</v>
      </c>
      <c r="B209" s="15"/>
      <c r="C209" s="9">
        <f>C165/C$146</f>
        <v>0</v>
      </c>
      <c r="D209" s="9"/>
      <c r="E209" s="9"/>
      <c r="F209" s="9"/>
      <c r="G209" s="9"/>
      <c r="H209" s="9">
        <f t="shared" ref="H209:N209" si="183">H165/H$146</f>
        <v>0</v>
      </c>
      <c r="I209" s="9">
        <f t="shared" si="183"/>
        <v>0</v>
      </c>
      <c r="J209" s="9">
        <f t="shared" si="183"/>
        <v>0</v>
      </c>
      <c r="K209" s="9">
        <f t="shared" si="183"/>
        <v>0</v>
      </c>
      <c r="L209" s="9">
        <f t="shared" si="183"/>
        <v>0</v>
      </c>
      <c r="M209" s="9">
        <f t="shared" si="183"/>
        <v>0</v>
      </c>
      <c r="N209" s="9">
        <f t="shared" si="183"/>
        <v>0</v>
      </c>
      <c r="O209" s="30">
        <f t="shared" si="181"/>
        <v>0</v>
      </c>
      <c r="P209" s="8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" hidden="1" x14ac:dyDescent="0.2">
      <c r="A210" s="15" t="str">
        <f t="shared" si="162"/>
        <v xml:space="preserve">   Other (Income) Expense</v>
      </c>
      <c r="B210" s="15"/>
      <c r="C210" s="9">
        <f>C166/C$146</f>
        <v>0</v>
      </c>
      <c r="D210" s="9"/>
      <c r="E210" s="9"/>
      <c r="F210" s="9"/>
      <c r="G210" s="9"/>
      <c r="H210" s="9">
        <f t="shared" ref="H210:N210" si="184">H166/H$146</f>
        <v>0</v>
      </c>
      <c r="I210" s="9">
        <f t="shared" si="184"/>
        <v>0</v>
      </c>
      <c r="J210" s="9">
        <f t="shared" si="184"/>
        <v>0</v>
      </c>
      <c r="K210" s="9">
        <f t="shared" si="184"/>
        <v>0</v>
      </c>
      <c r="L210" s="9">
        <f t="shared" si="184"/>
        <v>0</v>
      </c>
      <c r="M210" s="9">
        <f t="shared" si="184"/>
        <v>0</v>
      </c>
      <c r="N210" s="9">
        <f t="shared" si="184"/>
        <v>0</v>
      </c>
      <c r="O210" s="30">
        <f t="shared" si="181"/>
        <v>0</v>
      </c>
      <c r="P210" s="8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" hidden="1" x14ac:dyDescent="0.2">
      <c r="A211" s="15" t="str">
        <f t="shared" si="162"/>
        <v>Total Other Income/Expense</v>
      </c>
      <c r="B211" s="15"/>
      <c r="C211" s="17">
        <f>C167/C$146</f>
        <v>-3.8885769920354689E-2</v>
      </c>
      <c r="D211" s="17">
        <f>D167/D$146</f>
        <v>-3.9682450534630619E-2</v>
      </c>
      <c r="E211" s="17">
        <f>E167/E$146</f>
        <v>-3.5650523541453989E-2</v>
      </c>
      <c r="F211" s="17">
        <f>F167/F$146</f>
        <v>-3.7341575051542258E-2</v>
      </c>
      <c r="G211" s="17">
        <f>G167/G$146</f>
        <v>3.2887854008746498E-2</v>
      </c>
      <c r="H211" s="9">
        <f t="shared" ref="H211:N211" si="185">H167/H$146</f>
        <v>3.1812633723875855E-2</v>
      </c>
      <c r="I211" s="9">
        <f t="shared" si="185"/>
        <v>3.1334172065004121E-2</v>
      </c>
      <c r="J211" s="9">
        <f t="shared" si="185"/>
        <v>3.2408741307947152E-2</v>
      </c>
      <c r="K211" s="9">
        <f t="shared" si="185"/>
        <v>3.3969022272396544E-2</v>
      </c>
      <c r="L211" s="9">
        <f t="shared" si="185"/>
        <v>3.2411916818986003E-2</v>
      </c>
      <c r="M211" s="9">
        <f t="shared" si="185"/>
        <v>2.9564460740730453E-2</v>
      </c>
      <c r="N211" s="9">
        <f t="shared" si="185"/>
        <v>2.7292324153682847E-2</v>
      </c>
      <c r="O211" s="30">
        <f t="shared" si="181"/>
        <v>3.1837800662516971E-2</v>
      </c>
      <c r="P211" s="8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" hidden="1" x14ac:dyDescent="0.2">
      <c r="A212" s="15"/>
      <c r="B212" s="15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30"/>
      <c r="P212" s="8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" hidden="1" x14ac:dyDescent="0.2">
      <c r="A213" s="15" t="str">
        <f t="shared" si="162"/>
        <v>Operating Margin Before Capital Credits</v>
      </c>
      <c r="B213" s="15"/>
      <c r="C213" s="9">
        <f t="shared" ref="C213:N213" si="186">C169/C$146</f>
        <v>5.4222705488778541E-2</v>
      </c>
      <c r="D213" s="9">
        <f t="shared" si="186"/>
        <v>4.1800599687414522E-2</v>
      </c>
      <c r="E213" s="9">
        <f t="shared" si="186"/>
        <v>4.5944209452113006E-2</v>
      </c>
      <c r="F213" s="9">
        <f t="shared" si="186"/>
        <v>3.4712515813578655E-2</v>
      </c>
      <c r="G213" s="9">
        <f t="shared" si="186"/>
        <v>2.6900052825760062E-2</v>
      </c>
      <c r="H213" s="9">
        <f t="shared" si="186"/>
        <v>3.0135583193385981E-2</v>
      </c>
      <c r="I213" s="9">
        <f t="shared" si="186"/>
        <v>2.1979024360693478E-2</v>
      </c>
      <c r="J213" s="9">
        <f t="shared" si="186"/>
        <v>1.4278246373542804E-2</v>
      </c>
      <c r="K213" s="9">
        <f t="shared" si="186"/>
        <v>1.0360186109599108E-2</v>
      </c>
      <c r="L213" s="9">
        <f t="shared" si="186"/>
        <v>1.9218257344477255E-2</v>
      </c>
      <c r="M213" s="9">
        <f t="shared" si="186"/>
        <v>2.7863311817816525E-2</v>
      </c>
      <c r="N213" s="9">
        <f t="shared" si="186"/>
        <v>3.1961004901331663E-2</v>
      </c>
      <c r="O213" s="30">
        <f t="shared" ref="O213" si="187">SUM(H169:M169)/SUM(H$146:M$146)</f>
        <v>2.0832421635901214E-2</v>
      </c>
      <c r="P213" s="8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" hidden="1" x14ac:dyDescent="0.2">
      <c r="A214" s="15"/>
      <c r="B214" s="15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30"/>
      <c r="P214" s="8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" hidden="1" x14ac:dyDescent="0.2">
      <c r="A215" s="15" t="str">
        <f t="shared" si="162"/>
        <v>G &amp; T and Other Capital Credits</v>
      </c>
      <c r="B215" s="15"/>
      <c r="C215" s="9">
        <f>C171/C$146</f>
        <v>5.4975599480316918E-2</v>
      </c>
      <c r="D215" s="9">
        <f t="shared" ref="D215:N215" si="188">D171/D$146</f>
        <v>7.197304415686262E-2</v>
      </c>
      <c r="E215" s="9">
        <f t="shared" si="188"/>
        <v>7.0796301057002867E-2</v>
      </c>
      <c r="F215" s="9">
        <f t="shared" si="188"/>
        <v>0.12883870215356677</v>
      </c>
      <c r="G215" s="9">
        <f t="shared" si="188"/>
        <v>9.2281018196686743E-2</v>
      </c>
      <c r="H215" s="9">
        <f t="shared" si="188"/>
        <v>8.9337830190308859E-2</v>
      </c>
      <c r="I215" s="9">
        <f t="shared" si="188"/>
        <v>6.2329652437320887E-2</v>
      </c>
      <c r="J215" s="9">
        <f t="shared" si="188"/>
        <v>5.3938720848578717E-2</v>
      </c>
      <c r="K215" s="9">
        <f t="shared" si="188"/>
        <v>3.9704685306828233E-2</v>
      </c>
      <c r="L215" s="9">
        <f t="shared" si="188"/>
        <v>5.38103329637259E-2</v>
      </c>
      <c r="M215" s="9">
        <f t="shared" si="188"/>
        <v>4.3439781478500229E-2</v>
      </c>
      <c r="N215" s="9">
        <f t="shared" si="188"/>
        <v>5.7341006259893279E-3</v>
      </c>
      <c r="O215" s="30">
        <f t="shared" ref="O215:O218" si="189">SUM(H171:M171)/SUM(H$146:M$146)</f>
        <v>5.6249521757837026E-2</v>
      </c>
      <c r="P215" s="8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 t="s">
        <v>52</v>
      </c>
      <c r="AC215" s="1"/>
    </row>
    <row r="216" spans="1:29" ht="15" hidden="1" x14ac:dyDescent="0.2">
      <c r="A216" s="15" t="str">
        <f t="shared" si="162"/>
        <v>Operating Margin</v>
      </c>
      <c r="B216" s="15"/>
      <c r="C216" s="39">
        <f>C172/C$146</f>
        <v>0.10919830496909547</v>
      </c>
      <c r="D216" s="39">
        <f t="shared" ref="D216:N216" si="190">D172/D$146</f>
        <v>0.11377364384427714</v>
      </c>
      <c r="E216" s="39">
        <f t="shared" si="190"/>
        <v>0.11674051050911588</v>
      </c>
      <c r="F216" s="39">
        <f t="shared" si="190"/>
        <v>0.16355121796714545</v>
      </c>
      <c r="G216" s="39">
        <f t="shared" si="190"/>
        <v>0.11918107102244681</v>
      </c>
      <c r="H216" s="9">
        <f t="shared" si="190"/>
        <v>0.11947341338369484</v>
      </c>
      <c r="I216" s="9">
        <f t="shared" si="190"/>
        <v>8.4308676798014362E-2</v>
      </c>
      <c r="J216" s="9">
        <f t="shared" si="190"/>
        <v>6.8216967222121519E-2</v>
      </c>
      <c r="K216" s="9">
        <f t="shared" si="190"/>
        <v>5.0064871416427341E-2</v>
      </c>
      <c r="L216" s="9">
        <f t="shared" si="190"/>
        <v>7.3028590308203148E-2</v>
      </c>
      <c r="M216" s="9">
        <f t="shared" si="190"/>
        <v>7.1303093296316761E-2</v>
      </c>
      <c r="N216" s="9">
        <f t="shared" si="190"/>
        <v>3.7695105527320992E-2</v>
      </c>
      <c r="O216" s="30">
        <f t="shared" si="189"/>
        <v>7.7081943393738236E-2</v>
      </c>
      <c r="P216" s="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 t="e">
        <f>AVERAGE(Q216:V216)</f>
        <v>#DIV/0!</v>
      </c>
      <c r="AC216" s="1"/>
    </row>
    <row r="217" spans="1:29" ht="15" hidden="1" x14ac:dyDescent="0.2">
      <c r="A217" s="15" t="str">
        <f t="shared" si="162"/>
        <v>Extraordinary Items</v>
      </c>
      <c r="B217" s="15"/>
      <c r="C217" s="9"/>
      <c r="D217" s="9"/>
      <c r="E217" s="9"/>
      <c r="F217" s="9"/>
      <c r="G217" s="9"/>
      <c r="H217" s="9">
        <f t="shared" ref="H217:N217" si="191">H173/H$146</f>
        <v>0</v>
      </c>
      <c r="I217" s="9">
        <f t="shared" si="191"/>
        <v>0</v>
      </c>
      <c r="J217" s="9">
        <f t="shared" si="191"/>
        <v>0</v>
      </c>
      <c r="K217" s="9">
        <f t="shared" si="191"/>
        <v>0</v>
      </c>
      <c r="L217" s="9">
        <f t="shared" si="191"/>
        <v>0</v>
      </c>
      <c r="M217" s="9">
        <f t="shared" si="191"/>
        <v>0</v>
      </c>
      <c r="N217" s="9">
        <f t="shared" si="191"/>
        <v>0</v>
      </c>
      <c r="O217" s="30">
        <f t="shared" si="189"/>
        <v>0</v>
      </c>
      <c r="P217" s="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1"/>
    </row>
    <row r="218" spans="1:29" ht="15" hidden="1" x14ac:dyDescent="0.2">
      <c r="A218" s="15" t="str">
        <f t="shared" si="162"/>
        <v>Interest &amp; Other Revenue</v>
      </c>
      <c r="B218" s="15"/>
      <c r="C218" s="9"/>
      <c r="D218" s="9"/>
      <c r="E218" s="9"/>
      <c r="F218" s="9"/>
      <c r="G218" s="9"/>
      <c r="H218" s="9">
        <f t="shared" ref="H218:N218" si="192">H174/H$146</f>
        <v>2.5794316454972026E-3</v>
      </c>
      <c r="I218" s="9">
        <f t="shared" si="192"/>
        <v>1.6220916318295758E-3</v>
      </c>
      <c r="J218" s="9">
        <f t="shared" si="192"/>
        <v>5.7068848067125463E-3</v>
      </c>
      <c r="K218" s="9">
        <f t="shared" si="192"/>
        <v>5.18520618478901E-3</v>
      </c>
      <c r="L218" s="9">
        <f t="shared" si="192"/>
        <v>4.3785620243613904E-3</v>
      </c>
      <c r="M218" s="9">
        <f t="shared" si="192"/>
        <v>5.4401660530459086E-3</v>
      </c>
      <c r="N218" s="9">
        <f t="shared" si="192"/>
        <v>2.7775352525229941E-3</v>
      </c>
      <c r="O218" s="30">
        <f t="shared" si="189"/>
        <v>4.2245371540390068E-3</v>
      </c>
      <c r="P218" s="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1"/>
    </row>
    <row r="219" spans="1:29" ht="15" hidden="1" x14ac:dyDescent="0.2">
      <c r="A219" s="15"/>
      <c r="B219" s="15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30"/>
      <c r="P219" s="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1"/>
    </row>
    <row r="220" spans="1:29" ht="15.75" hidden="1" thickBot="1" x14ac:dyDescent="0.25">
      <c r="A220" s="15" t="str">
        <f t="shared" si="162"/>
        <v>Net Margin</v>
      </c>
      <c r="B220" s="15"/>
      <c r="C220" s="9">
        <f>C176/C$146</f>
        <v>0.10919830496909547</v>
      </c>
      <c r="D220" s="9">
        <f t="shared" ref="D220:N220" si="193">D176/D$146</f>
        <v>0.11377364384427714</v>
      </c>
      <c r="E220" s="9">
        <f t="shared" si="193"/>
        <v>8.0939745590766179E-2</v>
      </c>
      <c r="F220" s="9">
        <f t="shared" si="193"/>
        <v>0.17035758892305697</v>
      </c>
      <c r="G220" s="9">
        <f t="shared" si="193"/>
        <v>0.12338347499983147</v>
      </c>
      <c r="H220" s="9">
        <f t="shared" si="193"/>
        <v>0.12205284502919204</v>
      </c>
      <c r="I220" s="9">
        <f t="shared" si="193"/>
        <v>8.5930768429843943E-2</v>
      </c>
      <c r="J220" s="9">
        <f t="shared" si="193"/>
        <v>7.3923852028834072E-2</v>
      </c>
      <c r="K220" s="9">
        <f t="shared" si="193"/>
        <v>5.5250077601216349E-2</v>
      </c>
      <c r="L220" s="9">
        <f t="shared" si="193"/>
        <v>7.7407152332564538E-2</v>
      </c>
      <c r="M220" s="9">
        <f t="shared" si="193"/>
        <v>7.6743259349362658E-2</v>
      </c>
      <c r="N220" s="9">
        <f t="shared" si="193"/>
        <v>4.0472640779843985E-2</v>
      </c>
      <c r="O220" s="30">
        <f t="shared" ref="O220" si="194">SUM(H176:M176)/SUM(H$146:M$146)</f>
        <v>8.1306480547777255E-2</v>
      </c>
      <c r="P220" s="8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hidden="1" thickTop="1" x14ac:dyDescent="0.2">
      <c r="A221" s="15"/>
      <c r="B221" s="15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8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" hidden="1" x14ac:dyDescent="0.2">
      <c r="A222" s="15" t="str">
        <f t="shared" si="162"/>
        <v>Retirement of Capital Credits</v>
      </c>
      <c r="B222" s="15"/>
      <c r="C222" s="9">
        <f>C178/C$146</f>
        <v>-9.0866660985909047E-3</v>
      </c>
      <c r="D222" s="9">
        <f>D178/D$146</f>
        <v>-3.4159796518710268E-2</v>
      </c>
      <c r="E222" s="9">
        <f t="shared" ref="E222:G222" si="195">E178/E$146</f>
        <v>-2.9154672268155036E-2</v>
      </c>
      <c r="F222" s="9">
        <f t="shared" si="195"/>
        <v>-2.5056000863815476E-2</v>
      </c>
      <c r="G222" s="9">
        <f t="shared" si="195"/>
        <v>-1.7689622165692337E-3</v>
      </c>
      <c r="H222" s="9"/>
      <c r="I222" s="9"/>
      <c r="J222" s="9"/>
      <c r="K222" s="9"/>
      <c r="L222" s="9"/>
      <c r="M222" s="9"/>
      <c r="N222" s="9"/>
      <c r="O222" s="30"/>
      <c r="P222" s="8"/>
      <c r="Q222" s="2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" hidden="1" x14ac:dyDescent="0.2">
      <c r="A223" s="8"/>
      <c r="B223" s="8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9"/>
      <c r="P223" s="8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46" t="s">
        <v>0</v>
      </c>
      <c r="P224" s="8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46" t="s">
        <v>178</v>
      </c>
      <c r="P225" s="8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x14ac:dyDescent="0.25">
      <c r="A226" s="5" t="str">
        <f>A3</f>
        <v>Empire Electric Association, Inc.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8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x14ac:dyDescent="0.25">
      <c r="A227" s="5" t="s">
        <v>53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7"/>
      <c r="P227" s="8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x14ac:dyDescent="0.25">
      <c r="A228" s="6" t="str">
        <f>A5</f>
        <v>Years Ended December 31</v>
      </c>
      <c r="B228" s="6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7"/>
      <c r="P228" s="8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x14ac:dyDescent="0.25">
      <c r="A229" s="10"/>
      <c r="B229" s="10"/>
      <c r="C229" s="10"/>
      <c r="D229" s="10"/>
      <c r="E229" s="10"/>
      <c r="F229" s="29"/>
      <c r="G229" s="29"/>
      <c r="H229" s="29"/>
      <c r="I229" s="29"/>
      <c r="J229" s="29"/>
      <c r="K229" s="29"/>
      <c r="L229" s="29"/>
      <c r="M229" s="29"/>
      <c r="N229" s="29" t="str">
        <f t="shared" ref="N229" si="196">N185</f>
        <v>11 Months</v>
      </c>
      <c r="O229" s="93" t="s">
        <v>188</v>
      </c>
      <c r="P229" s="8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x14ac:dyDescent="0.25">
      <c r="A230" s="73" t="s">
        <v>54</v>
      </c>
      <c r="B230" s="23">
        <v>2003</v>
      </c>
      <c r="C230" s="13">
        <f t="shared" ref="C230:M230" si="197">C186</f>
        <v>2004</v>
      </c>
      <c r="D230" s="13">
        <f t="shared" si="197"/>
        <v>2005</v>
      </c>
      <c r="E230" s="13">
        <f t="shared" si="197"/>
        <v>2006</v>
      </c>
      <c r="F230" s="29">
        <f t="shared" si="197"/>
        <v>2007</v>
      </c>
      <c r="G230" s="29">
        <f t="shared" si="197"/>
        <v>2008</v>
      </c>
      <c r="H230" s="29">
        <f t="shared" si="197"/>
        <v>2009</v>
      </c>
      <c r="I230" s="29">
        <f t="shared" si="197"/>
        <v>2010</v>
      </c>
      <c r="J230" s="29">
        <f t="shared" si="197"/>
        <v>2011</v>
      </c>
      <c r="K230" s="29">
        <f t="shared" si="197"/>
        <v>2012</v>
      </c>
      <c r="L230" s="29">
        <f t="shared" si="197"/>
        <v>2013</v>
      </c>
      <c r="M230" s="29">
        <f t="shared" si="197"/>
        <v>2014</v>
      </c>
      <c r="N230" s="29" t="str">
        <f t="shared" ref="N230" si="198">N186</f>
        <v>YTD 2015</v>
      </c>
      <c r="O230" s="93" t="s">
        <v>51</v>
      </c>
      <c r="P230" s="8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" x14ac:dyDescent="0.2">
      <c r="A231" s="8"/>
      <c r="B231" s="16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17"/>
      <c r="P231" s="8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x14ac:dyDescent="0.25">
      <c r="A232" s="10" t="s">
        <v>55</v>
      </c>
      <c r="B232" s="8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0"/>
      <c r="P232" s="8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" x14ac:dyDescent="0.2">
      <c r="A233" s="8" t="s">
        <v>56</v>
      </c>
      <c r="B233" s="31">
        <f t="shared" ref="B233:N233" si="199">B18/B46</f>
        <v>1.0438820632659538</v>
      </c>
      <c r="C233" s="31">
        <f t="shared" si="199"/>
        <v>1.2289142192228</v>
      </c>
      <c r="D233" s="31">
        <f t="shared" si="199"/>
        <v>1.2665155163962163</v>
      </c>
      <c r="E233" s="31">
        <f t="shared" si="199"/>
        <v>1.2506103602521148</v>
      </c>
      <c r="F233" s="31">
        <f t="shared" si="199"/>
        <v>0.90135873785320653</v>
      </c>
      <c r="G233" s="31">
        <f t="shared" si="199"/>
        <v>1.0113151464706394</v>
      </c>
      <c r="H233" s="31">
        <f t="shared" si="199"/>
        <v>0.98083294817370448</v>
      </c>
      <c r="I233" s="31">
        <f t="shared" ref="I233:L233" si="200">I18/I46</f>
        <v>0.83253836204082365</v>
      </c>
      <c r="J233" s="31">
        <f t="shared" si="200"/>
        <v>1.074200624522087</v>
      </c>
      <c r="K233" s="31">
        <f t="shared" si="200"/>
        <v>1.4866243612854508</v>
      </c>
      <c r="L233" s="31">
        <f t="shared" si="200"/>
        <v>1.5254143744624733</v>
      </c>
      <c r="M233" s="31">
        <f>M18/M46</f>
        <v>1.5111595365193904</v>
      </c>
      <c r="N233" s="31">
        <f t="shared" si="199"/>
        <v>1.63048123313308</v>
      </c>
      <c r="O233" s="31">
        <f>AVERAGE(I233:M233)</f>
        <v>1.285987451766045</v>
      </c>
      <c r="P233" s="8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" x14ac:dyDescent="0.2">
      <c r="A234" s="8" t="s">
        <v>57</v>
      </c>
      <c r="B234" s="31">
        <f t="shared" ref="B234:G234" si="201">(B11+B14)/B46</f>
        <v>0.99027661374089682</v>
      </c>
      <c r="C234" s="31">
        <f t="shared" si="201"/>
        <v>1.1364878130186751</v>
      </c>
      <c r="D234" s="31">
        <f t="shared" si="201"/>
        <v>1.168976385616719</v>
      </c>
      <c r="E234" s="31">
        <f t="shared" si="201"/>
        <v>1.1565866746275868</v>
      </c>
      <c r="F234" s="31">
        <f t="shared" si="201"/>
        <v>0.7950293785607041</v>
      </c>
      <c r="G234" s="31">
        <f t="shared" si="201"/>
        <v>0.91503434603044742</v>
      </c>
      <c r="H234" s="31">
        <f t="shared" ref="H234:L234" si="202">(H11+H12+H14)/H46</f>
        <v>0.70976555078508241</v>
      </c>
      <c r="I234" s="31">
        <f t="shared" si="202"/>
        <v>0.4921069794599307</v>
      </c>
      <c r="J234" s="31">
        <f t="shared" si="202"/>
        <v>0.46205177057817992</v>
      </c>
      <c r="K234" s="31">
        <f t="shared" si="202"/>
        <v>0.62590118091893265</v>
      </c>
      <c r="L234" s="31">
        <f t="shared" si="202"/>
        <v>1.3959315627501179</v>
      </c>
      <c r="M234" s="31">
        <f>(M11+M12+M14)/M46</f>
        <v>0.78350266907197075</v>
      </c>
      <c r="N234" s="31">
        <f>(N11+N14)/N46</f>
        <v>0.66397016037834533</v>
      </c>
      <c r="O234" s="31">
        <f>AVERAGE(I234:M234)</f>
        <v>0.75189883255582635</v>
      </c>
      <c r="P234" s="8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" x14ac:dyDescent="0.2">
      <c r="A235" s="8" t="s">
        <v>58</v>
      </c>
      <c r="B235" s="31"/>
      <c r="C235" s="31">
        <f>365*(((C14))/(C146))</f>
        <v>26.873664844655909</v>
      </c>
      <c r="D235" s="49">
        <f t="shared" ref="D235:H235" si="203">365*(((C14+D14)/2)/((C146+D146)/2))</f>
        <v>26.069711007008046</v>
      </c>
      <c r="E235" s="49">
        <f t="shared" si="203"/>
        <v>25.775058394198709</v>
      </c>
      <c r="F235" s="49">
        <f t="shared" si="203"/>
        <v>25.5065838558459</v>
      </c>
      <c r="G235" s="49">
        <f t="shared" si="203"/>
        <v>25.905751441130555</v>
      </c>
      <c r="H235" s="49">
        <f t="shared" si="203"/>
        <v>29.001120343820059</v>
      </c>
      <c r="I235" s="49">
        <f t="shared" ref="I235" si="204">365*(((H14+I14)/2)/((H146+I146)/2))</f>
        <v>29.309399999219739</v>
      </c>
      <c r="J235" s="49">
        <f t="shared" ref="J235" si="205">365*(((I14+J14)/2)/((I146+J146)/2))</f>
        <v>27.537404705619103</v>
      </c>
      <c r="K235" s="49">
        <f t="shared" ref="K235" si="206">365*(((J14+K14)/2)/((J146+K146)/2))</f>
        <v>26.881202006837313</v>
      </c>
      <c r="L235" s="49">
        <f t="shared" ref="L235" si="207">365*(((K14+L14)/2)/((K146+L146)/2))</f>
        <v>33.005218713445508</v>
      </c>
      <c r="M235" s="49">
        <f>365*(((L14+M14)/2)/((L146+M146)/2))</f>
        <v>39.487611731137747</v>
      </c>
      <c r="N235" s="49">
        <f>365*(((H14+N14)/2)/((H146+N146)/2))</f>
        <v>34.00374394437376</v>
      </c>
      <c r="O235" s="49">
        <f>AVERAGE(I235:M235)</f>
        <v>31.244167431251885</v>
      </c>
      <c r="P235" s="8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" x14ac:dyDescent="0.2">
      <c r="A236" s="8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8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x14ac:dyDescent="0.25">
      <c r="A237" s="10" t="s">
        <v>59</v>
      </c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8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" x14ac:dyDescent="0.2">
      <c r="A238" s="8" t="s">
        <v>60</v>
      </c>
      <c r="B238" s="31">
        <f t="shared" ref="B238:G238" si="208">B65/B59</f>
        <v>0.7780412745700851</v>
      </c>
      <c r="C238" s="31">
        <f t="shared" si="208"/>
        <v>0.78149938320573276</v>
      </c>
      <c r="D238" s="31">
        <f t="shared" si="208"/>
        <v>0.84564529581414005</v>
      </c>
      <c r="E238" s="31">
        <f t="shared" si="208"/>
        <v>0.89761531254140725</v>
      </c>
      <c r="F238" s="31">
        <f t="shared" si="208"/>
        <v>1.1447939394741509</v>
      </c>
      <c r="G238" s="31">
        <f t="shared" si="208"/>
        <v>1.2121033210786796</v>
      </c>
      <c r="H238" s="31">
        <f t="shared" ref="H238:L238" si="209">H65/(H48+H49+H50+H51+H52+H42)</f>
        <v>1.4385804052146802</v>
      </c>
      <c r="I238" s="31">
        <f t="shared" si="209"/>
        <v>1.5706434010070671</v>
      </c>
      <c r="J238" s="31">
        <f t="shared" si="209"/>
        <v>1.5275222176593872</v>
      </c>
      <c r="K238" s="31">
        <f t="shared" si="209"/>
        <v>1.3292506202003191</v>
      </c>
      <c r="L238" s="31">
        <f t="shared" si="209"/>
        <v>1.3129348952906352</v>
      </c>
      <c r="M238" s="31">
        <f>M65/(M48+M49+M50+M51+M52+M42)</f>
        <v>1.3942433865121624</v>
      </c>
      <c r="N238" s="31">
        <f t="shared" ref="N238" si="210">N65/N59</f>
        <v>1.1778965562734276</v>
      </c>
      <c r="O238" s="31">
        <f t="shared" ref="O238:O242" si="211">AVERAGE(I238:M238)</f>
        <v>1.4269189041339143</v>
      </c>
      <c r="P238" s="8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" x14ac:dyDescent="0.2">
      <c r="A239" s="8" t="s">
        <v>61</v>
      </c>
      <c r="B239" s="31">
        <f t="shared" ref="B239:G239" si="212">B65/B57</f>
        <v>0.93752180519668249</v>
      </c>
      <c r="C239" s="31">
        <f t="shared" si="212"/>
        <v>0.91465622659251988</v>
      </c>
      <c r="D239" s="31">
        <f t="shared" si="212"/>
        <v>0.98595269543212083</v>
      </c>
      <c r="E239" s="31">
        <f t="shared" si="212"/>
        <v>1.0714584467225465</v>
      </c>
      <c r="F239" s="31">
        <f t="shared" si="212"/>
        <v>1.3920509144877034</v>
      </c>
      <c r="G239" s="31">
        <f t="shared" si="212"/>
        <v>1.4799074025549745</v>
      </c>
      <c r="H239" s="31">
        <f>H65/(H48+H49+H50+H51+H52)</f>
        <v>1.546072772302181</v>
      </c>
      <c r="I239" s="31">
        <f t="shared" ref="I239:L239" si="213">I65/(I48+I49+I50+I51+I52)</f>
        <v>1.6884657553366549</v>
      </c>
      <c r="J239" s="31">
        <f t="shared" si="213"/>
        <v>1.6371047547902737</v>
      </c>
      <c r="K239" s="31">
        <f t="shared" si="213"/>
        <v>1.387075929365359</v>
      </c>
      <c r="L239" s="31">
        <f t="shared" si="213"/>
        <v>1.3685545947033617</v>
      </c>
      <c r="M239" s="31">
        <f>M65/(M48+M49+M50+M51+M52)</f>
        <v>1.4523281534540413</v>
      </c>
      <c r="N239" s="31">
        <f t="shared" ref="N239" si="214">N65/N57</f>
        <v>1.4609570623658281</v>
      </c>
      <c r="O239" s="31">
        <f t="shared" si="211"/>
        <v>1.506705837529938</v>
      </c>
      <c r="P239" s="8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" x14ac:dyDescent="0.2">
      <c r="A240" s="8" t="s">
        <v>62</v>
      </c>
      <c r="B240" s="31">
        <f t="shared" ref="B240:N240" si="215">B65/B27</f>
        <v>0.78453423367993846</v>
      </c>
      <c r="C240" s="31">
        <f t="shared" si="215"/>
        <v>0.78465445481956275</v>
      </c>
      <c r="D240" s="31">
        <f t="shared" si="215"/>
        <v>0.83692176426281495</v>
      </c>
      <c r="E240" s="31">
        <f t="shared" si="215"/>
        <v>0.87892618032710079</v>
      </c>
      <c r="F240" s="31">
        <f t="shared" si="215"/>
        <v>1.0242294175709814</v>
      </c>
      <c r="G240" s="31">
        <f t="shared" si="215"/>
        <v>1.0668158476713969</v>
      </c>
      <c r="H240" s="31">
        <f t="shared" si="215"/>
        <v>1.0858155946652688</v>
      </c>
      <c r="I240" s="31">
        <f t="shared" ref="I240:L240" si="216">I65/I27</f>
        <v>1.1122853881649337</v>
      </c>
      <c r="J240" s="31">
        <f t="shared" si="216"/>
        <v>1.1287335978497681</v>
      </c>
      <c r="K240" s="31">
        <f t="shared" si="216"/>
        <v>1.0225477563875485</v>
      </c>
      <c r="L240" s="31">
        <f t="shared" si="216"/>
        <v>1.001781498758286</v>
      </c>
      <c r="M240" s="31">
        <f>M65/M27</f>
        <v>1.0735208843396551</v>
      </c>
      <c r="N240" s="31">
        <f t="shared" si="215"/>
        <v>1.1089564817187127</v>
      </c>
      <c r="O240" s="31">
        <f t="shared" si="211"/>
        <v>1.0677738251000384</v>
      </c>
      <c r="P240" s="8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" x14ac:dyDescent="0.2">
      <c r="A241" s="8" t="s">
        <v>101</v>
      </c>
      <c r="B241" s="31"/>
      <c r="C241" s="31">
        <f>(C169-C163)/-C163</f>
        <v>2.3187748422938328</v>
      </c>
      <c r="D241" s="31">
        <f>(D169-D163)/-D163</f>
        <v>1.9771617590973296</v>
      </c>
      <c r="E241" s="31">
        <f>(E169-E163)/-E163</f>
        <v>2.0406711219653584</v>
      </c>
      <c r="F241" s="31">
        <f>(F169-F163)/-F163</f>
        <v>1.9295943131928759</v>
      </c>
      <c r="G241" s="31">
        <f t="shared" ref="G241" si="217">(G169-G163)/-G163</f>
        <v>0.18206725137474719</v>
      </c>
      <c r="H241" s="31">
        <f>+H161/H163</f>
        <v>1.947283505507712</v>
      </c>
      <c r="I241" s="31">
        <f t="shared" ref="I241:L241" si="218">+I161/I163</f>
        <v>1.7014394481238253</v>
      </c>
      <c r="J241" s="31">
        <f t="shared" si="218"/>
        <v>1.4405677541707411</v>
      </c>
      <c r="K241" s="31">
        <f t="shared" si="218"/>
        <v>1.3049892347951935</v>
      </c>
      <c r="L241" s="31">
        <f t="shared" si="218"/>
        <v>1.5929380064686496</v>
      </c>
      <c r="M241" s="31">
        <f>+M161/M163</f>
        <v>1.9424596667657028</v>
      </c>
      <c r="N241" s="31">
        <f t="shared" ref="N241" si="219">(N169-N163)/-N163</f>
        <v>-0.17106204372187278</v>
      </c>
      <c r="O241" s="31">
        <f t="shared" si="211"/>
        <v>1.5964788220648225</v>
      </c>
      <c r="P241" s="8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" x14ac:dyDescent="0.2">
      <c r="A242" s="8" t="s">
        <v>177</v>
      </c>
      <c r="B242" s="31"/>
      <c r="C242" s="31"/>
      <c r="D242" s="31">
        <f>(D176-D163)/-D163</f>
        <v>3.6596569137561916</v>
      </c>
      <c r="E242" s="31">
        <f t="shared" ref="E242:G242" si="220">(E176-E163)/-E163</f>
        <v>2.8333465056859182</v>
      </c>
      <c r="F242" s="31">
        <f t="shared" si="220"/>
        <v>5.5621425632934294</v>
      </c>
      <c r="G242" s="31">
        <f t="shared" si="220"/>
        <v>-2.7516426266979215</v>
      </c>
      <c r="H242" s="31">
        <f t="shared" ref="H242:L242" si="221">(H42+H48+H49+H50+H51+H52)/H39</f>
        <v>0.38059982628383271</v>
      </c>
      <c r="I242" s="31">
        <f t="shared" si="221"/>
        <v>0.3601949591358049</v>
      </c>
      <c r="J242" s="31">
        <f t="shared" si="221"/>
        <v>0.36221788279390887</v>
      </c>
      <c r="K242" s="31">
        <f t="shared" si="221"/>
        <v>0.38700666531614897</v>
      </c>
      <c r="L242" s="31">
        <f t="shared" si="221"/>
        <v>0.39029167605370868</v>
      </c>
      <c r="M242" s="31">
        <f>(M42+M48+M49+M50+M51+M52)/M39</f>
        <v>0.37201521943879495</v>
      </c>
      <c r="N242" s="31">
        <f t="shared" ref="N242" si="222">(N176-N163)/-N163</f>
        <v>-0.48293126492060146</v>
      </c>
      <c r="O242" s="31">
        <f t="shared" si="211"/>
        <v>0.3743452805476733</v>
      </c>
      <c r="P242" s="8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" x14ac:dyDescent="0.2">
      <c r="A243" s="8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8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x14ac:dyDescent="0.25">
      <c r="A244" s="10" t="s">
        <v>63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8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" x14ac:dyDescent="0.2">
      <c r="A245" s="8" t="s">
        <v>97</v>
      </c>
      <c r="B245" s="41"/>
      <c r="C245" s="41">
        <f t="shared" ref="C245" si="223">(+C144-C149)/C144</f>
        <v>0.32924800343925997</v>
      </c>
      <c r="D245" s="41">
        <f>(+D144-D149)/D144</f>
        <v>0.32108142997599887</v>
      </c>
      <c r="E245" s="41">
        <f t="shared" ref="E245:G245" si="224">(+E144-E149)/E144</f>
        <v>0.29323559617676526</v>
      </c>
      <c r="F245" s="41">
        <f t="shared" si="224"/>
        <v>0.28470677383147691</v>
      </c>
      <c r="G245" s="41">
        <f t="shared" si="224"/>
        <v>0.26282249119663104</v>
      </c>
      <c r="H245" s="45">
        <f>(+H144-H149)/H144</f>
        <v>0.25213930468101114</v>
      </c>
      <c r="I245" s="45">
        <f t="shared" ref="I245:L245" si="225">(+I144-I149)/I144</f>
        <v>0.25436857953189179</v>
      </c>
      <c r="J245" s="45">
        <f t="shared" si="225"/>
        <v>0.24470613529634891</v>
      </c>
      <c r="K245" s="45">
        <f t="shared" si="225"/>
        <v>0.23091109026342826</v>
      </c>
      <c r="L245" s="45">
        <f t="shared" si="225"/>
        <v>0.22021488142819343</v>
      </c>
      <c r="M245" s="45">
        <f>(+M144-M149)/M144</f>
        <v>0.2165948277990955</v>
      </c>
      <c r="N245" s="45">
        <f t="shared" ref="N245" si="226">(+N144-N149)/N144</f>
        <v>0.20772268376078154</v>
      </c>
      <c r="O245" s="45">
        <f>AVERAGE(I245:M245)</f>
        <v>0.23335910286379158</v>
      </c>
      <c r="P245" s="8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" x14ac:dyDescent="0.2">
      <c r="A246" s="8" t="s">
        <v>98</v>
      </c>
      <c r="B246" s="41"/>
      <c r="C246" s="41">
        <f t="shared" ref="C246" si="227">+C169/C146</f>
        <v>5.4222705488778541E-2</v>
      </c>
      <c r="D246" s="41">
        <f>+D169/D146</f>
        <v>4.1800599687414522E-2</v>
      </c>
      <c r="E246" s="41">
        <f t="shared" ref="E246:G246" si="228">+E169/E146</f>
        <v>4.5944209452113006E-2</v>
      </c>
      <c r="F246" s="41">
        <f t="shared" si="228"/>
        <v>3.4712515813578655E-2</v>
      </c>
      <c r="G246" s="41">
        <f t="shared" si="228"/>
        <v>2.6900052825760062E-2</v>
      </c>
      <c r="H246" s="45">
        <f>+H169/H146</f>
        <v>3.0135583193385981E-2</v>
      </c>
      <c r="I246" s="45">
        <f t="shared" ref="I246:M246" si="229">+I169/I146</f>
        <v>2.1979024360693478E-2</v>
      </c>
      <c r="J246" s="45">
        <f t="shared" si="229"/>
        <v>1.4278246373542804E-2</v>
      </c>
      <c r="K246" s="45">
        <f t="shared" si="229"/>
        <v>1.0360186109599108E-2</v>
      </c>
      <c r="L246" s="45">
        <f t="shared" si="229"/>
        <v>1.9218257344477255E-2</v>
      </c>
      <c r="M246" s="45">
        <f t="shared" si="229"/>
        <v>2.7863311817816525E-2</v>
      </c>
      <c r="N246" s="45">
        <f t="shared" ref="N246" si="230">+N169/N146</f>
        <v>3.1961004901331663E-2</v>
      </c>
      <c r="O246" s="45">
        <f t="shared" ref="O246:O250" si="231">AVERAGE(I246:M246)</f>
        <v>1.8739805201225833E-2</v>
      </c>
      <c r="P246" s="8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" x14ac:dyDescent="0.2">
      <c r="A247" s="8" t="s">
        <v>92</v>
      </c>
      <c r="B247" s="41"/>
      <c r="C247" s="41">
        <f t="shared" ref="C247" si="232">+C176/C146</f>
        <v>0.10919830496909547</v>
      </c>
      <c r="D247" s="41">
        <f>+D176/D146</f>
        <v>0.11377364384427714</v>
      </c>
      <c r="E247" s="41">
        <f t="shared" ref="E247:G247" si="233">+E176/E146</f>
        <v>8.0939745590766179E-2</v>
      </c>
      <c r="F247" s="41">
        <f t="shared" si="233"/>
        <v>0.17035758892305697</v>
      </c>
      <c r="G247" s="41">
        <f t="shared" si="233"/>
        <v>0.12338347499983147</v>
      </c>
      <c r="H247" s="45">
        <f>+H176/H146</f>
        <v>0.12205284502919204</v>
      </c>
      <c r="I247" s="45">
        <f t="shared" ref="I247:M247" si="234">+I176/I146</f>
        <v>8.5930768429843943E-2</v>
      </c>
      <c r="J247" s="45">
        <f t="shared" si="234"/>
        <v>7.3923852028834072E-2</v>
      </c>
      <c r="K247" s="45">
        <f t="shared" si="234"/>
        <v>5.5250077601216349E-2</v>
      </c>
      <c r="L247" s="45">
        <f t="shared" si="234"/>
        <v>7.7407152332564538E-2</v>
      </c>
      <c r="M247" s="45">
        <f t="shared" si="234"/>
        <v>7.6743259349362658E-2</v>
      </c>
      <c r="N247" s="45">
        <f t="shared" ref="N247" si="235">+N176/N146</f>
        <v>4.0472640779843985E-2</v>
      </c>
      <c r="O247" s="45">
        <f t="shared" si="231"/>
        <v>7.3851021948364307E-2</v>
      </c>
      <c r="P247" s="8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" x14ac:dyDescent="0.2">
      <c r="A248" s="8" t="s">
        <v>64</v>
      </c>
      <c r="B248" s="9"/>
      <c r="C248" s="41">
        <f t="shared" ref="C248:H248" si="236">+C176/((C39+B39)/2)</f>
        <v>5.8973865938955851E-2</v>
      </c>
      <c r="D248" s="41">
        <f t="shared" si="236"/>
        <v>6.0910809058076859E-2</v>
      </c>
      <c r="E248" s="41">
        <f t="shared" si="236"/>
        <v>4.80835757799545E-2</v>
      </c>
      <c r="F248" s="41">
        <f t="shared" si="236"/>
        <v>0.10469759935432534</v>
      </c>
      <c r="G248" s="41">
        <f t="shared" si="236"/>
        <v>7.8497673237860402E-2</v>
      </c>
      <c r="H248" s="45">
        <f t="shared" si="236"/>
        <v>7.4261266582229299E-2</v>
      </c>
      <c r="I248" s="45">
        <f t="shared" ref="I248" si="237">+I176/((I39+H39)/2)</f>
        <v>4.9351365128812476E-2</v>
      </c>
      <c r="J248" s="45">
        <f t="shared" ref="J248" si="238">+J176/((J39+I39)/2)</f>
        <v>4.0399162179388486E-2</v>
      </c>
      <c r="K248" s="45">
        <f t="shared" ref="K248" si="239">+K176/((K39+J39)/2)</f>
        <v>2.7795397053102546E-2</v>
      </c>
      <c r="L248" s="45">
        <f t="shared" ref="L248" si="240">+L176/((L39+K39)/2)</f>
        <v>4.0737086594159262E-2</v>
      </c>
      <c r="M248" s="45">
        <f>+M176/((M39+L39)/2)</f>
        <v>4.2056190659472463E-2</v>
      </c>
      <c r="N248" s="45">
        <f>+N176/((N39+H39)/2)</f>
        <v>2.4802184387981915E-2</v>
      </c>
      <c r="O248" s="45">
        <f t="shared" si="231"/>
        <v>4.0067840322987047E-2</v>
      </c>
      <c r="P248" s="8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" x14ac:dyDescent="0.2">
      <c r="A249" s="8" t="s">
        <v>65</v>
      </c>
      <c r="B249" s="9"/>
      <c r="C249" s="72">
        <f t="shared" ref="C249:G249" si="241">+C176/((C48+B48+B65+C65+B42+C42)/2)</f>
        <v>6.4739105611597722E-2</v>
      </c>
      <c r="D249" s="72">
        <f t="shared" si="241"/>
        <v>6.8082526957552014E-2</v>
      </c>
      <c r="E249" s="72">
        <f t="shared" si="241"/>
        <v>5.375192780449195E-2</v>
      </c>
      <c r="F249" s="72">
        <f t="shared" si="241"/>
        <v>0.11759549968228344</v>
      </c>
      <c r="G249" s="72">
        <f t="shared" si="241"/>
        <v>8.8118707310966368E-2</v>
      </c>
      <c r="H249" s="78">
        <f t="shared" ref="H249:L249" si="242">+H176/((H48+G48+G65+H65+G42+H42+G49+H49+G50+H50+G51+H51+G52+H52)/2)</f>
        <v>8.1510171360931777E-2</v>
      </c>
      <c r="I249" s="78">
        <f t="shared" si="242"/>
        <v>5.3237358406171768E-2</v>
      </c>
      <c r="J249" s="78">
        <f t="shared" si="242"/>
        <v>4.3887414497497133E-2</v>
      </c>
      <c r="K249" s="78">
        <f t="shared" si="242"/>
        <v>3.0609104918590181E-2</v>
      </c>
      <c r="L249" s="78">
        <f t="shared" si="242"/>
        <v>4.5158223497193256E-2</v>
      </c>
      <c r="M249" s="78">
        <f>+M176/((M48+L48+L65+M65+L42+M42+L49+M49+L50+M50+L51+M51+L52+M52)/2)</f>
        <v>4.690663587006963E-2</v>
      </c>
      <c r="N249" s="78">
        <f>+N176/((N48+H48+H65+N65+H42+N42)/2)</f>
        <v>3.2929129053975867E-2</v>
      </c>
      <c r="O249" s="45">
        <f t="shared" si="231"/>
        <v>4.3959747437904394E-2</v>
      </c>
      <c r="P249" s="8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" x14ac:dyDescent="0.2">
      <c r="A250" s="8" t="s">
        <v>189</v>
      </c>
      <c r="B250" s="9"/>
      <c r="C250" s="9">
        <f t="shared" ref="C250:H250" si="243">(+C176)/((B65+C65)/2)</f>
        <v>0.1346028156494784</v>
      </c>
      <c r="D250" s="9">
        <f t="shared" si="243"/>
        <v>0.13575512267570608</v>
      </c>
      <c r="E250" s="9">
        <f t="shared" si="243"/>
        <v>0.10324331916474547</v>
      </c>
      <c r="F250" s="9">
        <f t="shared" si="243"/>
        <v>0.20705497884270607</v>
      </c>
      <c r="G250" s="9">
        <f t="shared" si="243"/>
        <v>0.14502710154422135</v>
      </c>
      <c r="H250" s="82">
        <f t="shared" si="243"/>
        <v>0.1355825502501698</v>
      </c>
      <c r="I250" s="82">
        <f t="shared" ref="I250" si="244">(+I176)/((H65+I65)/2)</f>
        <v>8.8632066722795028E-2</v>
      </c>
      <c r="J250" s="82">
        <f t="shared" ref="J250" si="245">(+J176)/((I65+J65)/2)</f>
        <v>7.2235277303581924E-2</v>
      </c>
      <c r="K250" s="82">
        <f t="shared" ref="K250" si="246">(+K176)/((J65+K65)/2)</f>
        <v>5.2172245611320077E-2</v>
      </c>
      <c r="L250" s="82">
        <f t="shared" ref="L250" si="247">(+L176)/((K65+L65)/2)</f>
        <v>7.9347964514357688E-2</v>
      </c>
      <c r="M250" s="82">
        <f>(+M176)/((L65+M65)/2)</f>
        <v>8.1565472107895609E-2</v>
      </c>
      <c r="N250" s="82">
        <f>(+N176)/((H65+N65)/2)</f>
        <v>4.5619184068555432E-2</v>
      </c>
      <c r="O250" s="45">
        <f t="shared" si="231"/>
        <v>7.4790605251990078E-2</v>
      </c>
      <c r="P250" s="8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" x14ac:dyDescent="0.2">
      <c r="A251" s="8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8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x14ac:dyDescent="0.25">
      <c r="A252" s="10" t="s">
        <v>66</v>
      </c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8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" x14ac:dyDescent="0.2">
      <c r="A253" s="8" t="s">
        <v>67</v>
      </c>
      <c r="B253" s="31"/>
      <c r="C253" s="31">
        <f>C146/((C11))</f>
        <v>10.063678130131841</v>
      </c>
      <c r="D253" s="31">
        <f>D146/((C11+D11)/2)</f>
        <v>9.9750080962763867</v>
      </c>
      <c r="E253" s="31">
        <f>E146/((D11+E11)/2)</f>
        <v>10.703960407267809</v>
      </c>
      <c r="F253" s="31">
        <f>F146/((E11+F11)/2)</f>
        <v>15.072888839214558</v>
      </c>
      <c r="G253" s="31">
        <f>G146/((F11+G11)/2)</f>
        <v>21.999051779654167</v>
      </c>
      <c r="H253" s="31">
        <f t="shared" ref="H253:L253" si="248">H146/((G11+H11+G12+H12)/2)</f>
        <v>25.882273325693053</v>
      </c>
      <c r="I253" s="31">
        <f t="shared" si="248"/>
        <v>55.923795737505145</v>
      </c>
      <c r="J253" s="31">
        <f>J146/((I11+J11+I12+J12)/2)</f>
        <v>93.399655029828352</v>
      </c>
      <c r="K253" s="31">
        <f t="shared" si="248"/>
        <v>44.571511411245005</v>
      </c>
      <c r="L253" s="31">
        <f t="shared" si="248"/>
        <v>13.609856537733274</v>
      </c>
      <c r="M253" s="31">
        <f>M146/((L11+M11+L12+M12)/2)</f>
        <v>13.00378152094984</v>
      </c>
      <c r="N253" s="31">
        <f>N146/((H11+N11)/2)</f>
        <v>57.213724619618255</v>
      </c>
      <c r="O253" s="31">
        <f t="shared" ref="O253:O257" si="249">AVERAGE(I253:M253)</f>
        <v>44.101720047452325</v>
      </c>
      <c r="P253" s="8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" x14ac:dyDescent="0.2">
      <c r="A254" s="8" t="s">
        <v>68</v>
      </c>
      <c r="B254" s="31"/>
      <c r="C254" s="31">
        <f>C146/((C14))</f>
        <v>13.582070108781007</v>
      </c>
      <c r="D254" s="31">
        <f t="shared" ref="D254:H254" si="250">D146/((C14+D14)/2)</f>
        <v>14.164698136804457</v>
      </c>
      <c r="E254" s="31">
        <f t="shared" si="250"/>
        <v>15.198689738108952</v>
      </c>
      <c r="F254" s="31">
        <f t="shared" si="250"/>
        <v>15.227224876630949</v>
      </c>
      <c r="G254" s="31">
        <f t="shared" si="250"/>
        <v>15.260384017154575</v>
      </c>
      <c r="H254" s="31">
        <f t="shared" si="250"/>
        <v>13.051384757102134</v>
      </c>
      <c r="I254" s="31">
        <f t="shared" ref="I254" si="251">I146/((H14+I14)/2)</f>
        <v>12.582207556373485</v>
      </c>
      <c r="J254" s="31">
        <f t="shared" ref="J254" si="252">J146/((I14+J14)/2)</f>
        <v>13.322264935575364</v>
      </c>
      <c r="K254" s="31">
        <f t="shared" ref="K254" si="253">K146/((J14+K14)/2)</f>
        <v>13.674149069201174</v>
      </c>
      <c r="L254" s="31">
        <f t="shared" ref="L254" si="254">L146/((K14+L14)/2)</f>
        <v>11.780944426864759</v>
      </c>
      <c r="M254" s="31">
        <f>M146/((L14+M14)/2)</f>
        <v>9.6557248713770072</v>
      </c>
      <c r="N254" s="31">
        <f>N146/((H14+N14)/2)</f>
        <v>11.95719376782227</v>
      </c>
      <c r="O254" s="31">
        <f t="shared" si="249"/>
        <v>12.203058171878357</v>
      </c>
      <c r="P254" s="8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" x14ac:dyDescent="0.2">
      <c r="A255" s="8" t="s">
        <v>69</v>
      </c>
      <c r="B255" s="32"/>
      <c r="C255" s="32">
        <f>C146/((C18-C46))</f>
        <v>28.698662548048652</v>
      </c>
      <c r="D255" s="32">
        <f t="shared" ref="D255:L255" si="255">D146/((C18+D18-C46-D46)/2)</f>
        <v>27.242798280739251</v>
      </c>
      <c r="E255" s="32">
        <f t="shared" si="255"/>
        <v>28.294252840001604</v>
      </c>
      <c r="F255" s="31">
        <f t="shared" si="255"/>
        <v>111.19998011100851</v>
      </c>
      <c r="G255" s="31">
        <f t="shared" si="255"/>
        <v>-189.55698426493979</v>
      </c>
      <c r="H255" s="31"/>
      <c r="I255" s="31">
        <f t="shared" si="255"/>
        <v>-64.497720996622888</v>
      </c>
      <c r="J255" s="31">
        <f>J146/((I18+J18-I46-J46)/2)</f>
        <v>-151.45949853528552</v>
      </c>
      <c r="K255" s="31">
        <f t="shared" si="255"/>
        <v>21.332817167985361</v>
      </c>
      <c r="L255" s="31">
        <f t="shared" si="255"/>
        <v>12.888033247795398</v>
      </c>
      <c r="M255" s="31">
        <f>M146/((L18+M18-L46-M46)/2)</f>
        <v>11.225729281197728</v>
      </c>
      <c r="N255" s="31">
        <f>N146/((H18+N18-H46-N46)/2)</f>
        <v>19.444883018285545</v>
      </c>
      <c r="O255" s="31">
        <f t="shared" si="249"/>
        <v>-34.102127966985989</v>
      </c>
      <c r="P255" s="8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" x14ac:dyDescent="0.2">
      <c r="A256" s="8" t="s">
        <v>70</v>
      </c>
      <c r="B256" s="31"/>
      <c r="C256" s="31">
        <f>C146/((C27))</f>
        <v>0.96026218992947043</v>
      </c>
      <c r="D256" s="31">
        <f>D146/((C27+D27)/2)</f>
        <v>0.96791366398547896</v>
      </c>
      <c r="E256" s="31">
        <f>E146/((C27+E27)/2)</f>
        <v>1.1112065914709881</v>
      </c>
      <c r="F256" s="31">
        <f>E146/((D27+F27)/2)</f>
        <v>1.0300385350155494</v>
      </c>
      <c r="G256" s="31">
        <f>F146/((E27+G27)/2)</f>
        <v>1.0990438893869756</v>
      </c>
      <c r="H256" s="31">
        <f t="shared" ref="H256:L256" si="256">H146/((G27+H27)/2)</f>
        <v>1.1961636700853395</v>
      </c>
      <c r="I256" s="31">
        <f t="shared" si="256"/>
        <v>1.1339301900819014</v>
      </c>
      <c r="J256" s="31">
        <f t="shared" si="256"/>
        <v>1.095082923289751</v>
      </c>
      <c r="K256" s="31">
        <f t="shared" si="256"/>
        <v>1.0122330240986517</v>
      </c>
      <c r="L256" s="31">
        <f t="shared" si="256"/>
        <v>1.0371328234446708</v>
      </c>
      <c r="M256" s="31">
        <f>M146/((L27+M27)/2)</f>
        <v>1.1024851702725589</v>
      </c>
      <c r="N256" s="31">
        <f>H146/((G27+N27)/2)</f>
        <v>1.0283865124348948</v>
      </c>
      <c r="O256" s="31">
        <f t="shared" si="249"/>
        <v>1.076172826237507</v>
      </c>
      <c r="P256" s="8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" x14ac:dyDescent="0.2">
      <c r="A257" s="8" t="s">
        <v>71</v>
      </c>
      <c r="B257" s="31"/>
      <c r="C257" s="31">
        <f>C146/((C39))</f>
        <v>0.53685171827093725</v>
      </c>
      <c r="D257" s="31">
        <f t="shared" ref="D257:H257" si="257">D146/((C39+D39)/2)</f>
        <v>0.53536835948970696</v>
      </c>
      <c r="E257" s="31">
        <f t="shared" si="257"/>
        <v>0.5940663073376401</v>
      </c>
      <c r="F257" s="31">
        <f t="shared" si="257"/>
        <v>0.61457549391364441</v>
      </c>
      <c r="G257" s="31">
        <f t="shared" si="257"/>
        <v>0.63620896751341804</v>
      </c>
      <c r="H257" s="31">
        <f t="shared" si="257"/>
        <v>0.60843535899935663</v>
      </c>
      <c r="I257" s="31">
        <f t="shared" ref="I257" si="258">I146/((H39+I39)/2)</f>
        <v>0.57431541728972413</v>
      </c>
      <c r="J257" s="31">
        <f t="shared" ref="J257" si="259">J146/((I39+J39)/2)</f>
        <v>0.54649698399957236</v>
      </c>
      <c r="K257" s="31">
        <f t="shared" ref="K257" si="260">K146/((J39+K39)/2)</f>
        <v>0.50308340295418197</v>
      </c>
      <c r="L257" s="31">
        <f t="shared" ref="L257" si="261">L146/((K39+L39)/2)</f>
        <v>0.52627031697459192</v>
      </c>
      <c r="M257" s="31">
        <f>M146/((L39+M39)/2)</f>
        <v>0.54801152591158131</v>
      </c>
      <c r="N257" s="31">
        <f>N146/((H39+N39)/2)</f>
        <v>0.61281359234492538</v>
      </c>
      <c r="O257" s="31">
        <f t="shared" si="249"/>
        <v>0.53963552942593029</v>
      </c>
      <c r="P257" s="8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31"/>
      <c r="P258" s="8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x14ac:dyDescent="0.25">
      <c r="A259" s="10" t="s">
        <v>72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31"/>
      <c r="P259" s="8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" x14ac:dyDescent="0.2">
      <c r="A260" s="8" t="s">
        <v>25</v>
      </c>
      <c r="B260" s="9">
        <f>(B$42+B$48)/(B$42+B$48+B$65)</f>
        <v>0.53005794046998267</v>
      </c>
      <c r="C260" s="9">
        <f t="shared" ref="C260:N260" si="262">(C42+C48)/(C42+C$48+C$65)</f>
        <v>0.5076543370172073</v>
      </c>
      <c r="D260" s="9">
        <f t="shared" si="262"/>
        <v>0.48985677287339835</v>
      </c>
      <c r="E260" s="9">
        <f t="shared" si="262"/>
        <v>0.46914930667825322</v>
      </c>
      <c r="F260" s="9">
        <f t="shared" si="262"/>
        <v>0.40005808812161114</v>
      </c>
      <c r="G260" s="9">
        <f t="shared" si="262"/>
        <v>0.38559976926657114</v>
      </c>
      <c r="H260" s="82">
        <f t="shared" ref="H260:L260" si="263">(H42+H48+H49+H50+H51+H52)/(H42+H49+H50+H51+H52+H$48+H$65)</f>
        <v>0.41007464747177985</v>
      </c>
      <c r="I260" s="82">
        <f t="shared" si="263"/>
        <v>0.38900767006744036</v>
      </c>
      <c r="J260" s="82">
        <f t="shared" si="263"/>
        <v>0.39564439553217867</v>
      </c>
      <c r="K260" s="82">
        <f t="shared" si="263"/>
        <v>0.42932262905826701</v>
      </c>
      <c r="L260" s="82">
        <f t="shared" si="263"/>
        <v>0.43235112325733821</v>
      </c>
      <c r="M260" s="82">
        <f>(M42+M48+M49+M50+M51+M52)/(M42+M49+M50+M51+M52+M$48+M$65)</f>
        <v>0.41766848167293458</v>
      </c>
      <c r="N260" s="82">
        <f t="shared" si="262"/>
        <v>0.13340489421867419</v>
      </c>
      <c r="O260" s="45">
        <f t="shared" ref="O260:O261" si="264">AVERAGE(I260:M260)</f>
        <v>0.41279885991763177</v>
      </c>
      <c r="P260" s="8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" x14ac:dyDescent="0.2">
      <c r="A261" s="8" t="s">
        <v>73</v>
      </c>
      <c r="B261" s="9">
        <f>B$65/(B$42+B$48+B$65)</f>
        <v>0.46994205953001728</v>
      </c>
      <c r="C261" s="9">
        <f t="shared" ref="C261:N261" si="265">C65/(C42+C$48+C$65)</f>
        <v>0.49234566298279259</v>
      </c>
      <c r="D261" s="9">
        <f t="shared" si="265"/>
        <v>0.51014322712660165</v>
      </c>
      <c r="E261" s="9">
        <f t="shared" si="265"/>
        <v>0.53085069332174684</v>
      </c>
      <c r="F261" s="9">
        <f t="shared" si="265"/>
        <v>0.59994191187838886</v>
      </c>
      <c r="G261" s="9">
        <f t="shared" si="265"/>
        <v>0.61440023073342875</v>
      </c>
      <c r="H261" s="82">
        <f t="shared" ref="H261:L261" si="266">H65/(H42+H$48+H49+H50+H51+H52+H$65)</f>
        <v>0.5899253525282202</v>
      </c>
      <c r="I261" s="82">
        <f t="shared" si="266"/>
        <v>0.61099232993255959</v>
      </c>
      <c r="J261" s="82">
        <f t="shared" si="266"/>
        <v>0.60435560446782133</v>
      </c>
      <c r="K261" s="82">
        <f t="shared" si="266"/>
        <v>0.57067737094173299</v>
      </c>
      <c r="L261" s="82">
        <f t="shared" si="266"/>
        <v>0.56764887674266185</v>
      </c>
      <c r="M261" s="82">
        <f>M65/(M42+M$48+M49+M50+M51+M52+M$65)</f>
        <v>0.58233151832706542</v>
      </c>
      <c r="N261" s="82">
        <f t="shared" si="265"/>
        <v>0.86659510578132581</v>
      </c>
      <c r="O261" s="45">
        <f t="shared" si="264"/>
        <v>0.58720114008236823</v>
      </c>
      <c r="P261" s="8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" x14ac:dyDescent="0.2">
      <c r="A262" s="8"/>
      <c r="B262" s="8"/>
      <c r="C262" s="8"/>
      <c r="D262" s="8"/>
      <c r="E262" s="8"/>
      <c r="F262" s="8"/>
      <c r="G262" s="8"/>
      <c r="H262" s="82"/>
      <c r="I262" s="82"/>
      <c r="J262" s="82"/>
      <c r="K262" s="82"/>
      <c r="L262" s="82"/>
      <c r="M262" s="82"/>
      <c r="N262" s="82"/>
      <c r="O262" s="45"/>
      <c r="P262" s="8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x14ac:dyDescent="0.25">
      <c r="A263" s="10" t="s">
        <v>74</v>
      </c>
      <c r="B263" s="8"/>
      <c r="C263" s="8"/>
      <c r="D263" s="8"/>
      <c r="E263" s="8"/>
      <c r="F263" s="8"/>
      <c r="G263" s="8"/>
      <c r="H263" s="82"/>
      <c r="I263" s="82"/>
      <c r="J263" s="82"/>
      <c r="K263" s="82"/>
      <c r="L263" s="82"/>
      <c r="M263" s="82"/>
      <c r="N263" s="82"/>
      <c r="O263" s="45"/>
      <c r="P263" s="8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" x14ac:dyDescent="0.2">
      <c r="A264" s="8" t="s">
        <v>75</v>
      </c>
      <c r="B264" s="9"/>
      <c r="C264" s="9"/>
      <c r="D264" s="9"/>
      <c r="E264" s="9"/>
      <c r="F264" s="9"/>
      <c r="G264" s="9"/>
      <c r="H264" s="82"/>
      <c r="I264" s="82"/>
      <c r="J264" s="82"/>
      <c r="K264" s="82"/>
      <c r="L264" s="82"/>
      <c r="M264" s="82"/>
      <c r="N264" s="82"/>
      <c r="O264" s="45"/>
      <c r="P264" s="8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" x14ac:dyDescent="0.2">
      <c r="A265" s="8" t="s">
        <v>25</v>
      </c>
      <c r="B265" s="9">
        <f t="shared" ref="B265:N265" si="267">(B$42+B$48)/(B$42+B$48+B$65)</f>
        <v>0.53005794046998267</v>
      </c>
      <c r="C265" s="9">
        <f t="shared" si="267"/>
        <v>0.5076543370172073</v>
      </c>
      <c r="D265" s="9">
        <f t="shared" si="267"/>
        <v>0.48985677287339835</v>
      </c>
      <c r="E265" s="9">
        <f t="shared" si="267"/>
        <v>0.46914930667825322</v>
      </c>
      <c r="F265" s="9">
        <f t="shared" si="267"/>
        <v>0.40005808812161114</v>
      </c>
      <c r="G265" s="9">
        <f t="shared" si="267"/>
        <v>0.38559976926657114</v>
      </c>
      <c r="H265" s="82">
        <f t="shared" ref="H265:L265" si="268">(H$42+H$48+H49+H50+H51+H52)/(H$42+H$48+H49+H50+H51+H52+H$65)</f>
        <v>0.41007464747177985</v>
      </c>
      <c r="I265" s="82">
        <f t="shared" si="268"/>
        <v>0.38900767006744036</v>
      </c>
      <c r="J265" s="82">
        <f t="shared" si="268"/>
        <v>0.39564439553217867</v>
      </c>
      <c r="K265" s="82">
        <f t="shared" si="268"/>
        <v>0.42932262905826701</v>
      </c>
      <c r="L265" s="82">
        <f t="shared" si="268"/>
        <v>0.43235112325733821</v>
      </c>
      <c r="M265" s="82">
        <f>(M$42+M$48+M49+M50+M51+M52)/(M$42+M$48+M49+M50+M51+M52+M$65)</f>
        <v>0.41766848167293458</v>
      </c>
      <c r="N265" s="82">
        <f t="shared" si="267"/>
        <v>0.13340489421867419</v>
      </c>
      <c r="O265" s="45">
        <f t="shared" ref="O265:O266" si="269">AVERAGE(I265:M265)</f>
        <v>0.41279885991763177</v>
      </c>
      <c r="P265" s="8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" x14ac:dyDescent="0.2">
      <c r="A266" s="8" t="s">
        <v>73</v>
      </c>
      <c r="B266" s="9">
        <f t="shared" ref="B266:N266" si="270">B$65/(B$42+B$48+B$65)</f>
        <v>0.46994205953001728</v>
      </c>
      <c r="C266" s="9">
        <f t="shared" si="270"/>
        <v>0.49234566298279259</v>
      </c>
      <c r="D266" s="9">
        <f t="shared" si="270"/>
        <v>0.51014322712660165</v>
      </c>
      <c r="E266" s="9">
        <f t="shared" si="270"/>
        <v>0.53085069332174684</v>
      </c>
      <c r="F266" s="9">
        <f t="shared" si="270"/>
        <v>0.59994191187838886</v>
      </c>
      <c r="G266" s="9">
        <f t="shared" si="270"/>
        <v>0.61440023073342875</v>
      </c>
      <c r="H266" s="82">
        <f t="shared" ref="H266:L266" si="271">H$65/(H$42+H$48+H49+H50+H51+H52+H$65)</f>
        <v>0.5899253525282202</v>
      </c>
      <c r="I266" s="82">
        <f t="shared" si="271"/>
        <v>0.61099232993255959</v>
      </c>
      <c r="J266" s="82">
        <f t="shared" si="271"/>
        <v>0.60435560446782133</v>
      </c>
      <c r="K266" s="82">
        <f t="shared" si="271"/>
        <v>0.57067737094173299</v>
      </c>
      <c r="L266" s="82">
        <f t="shared" si="271"/>
        <v>0.56764887674266185</v>
      </c>
      <c r="M266" s="82">
        <f>M$65/(M$42+M$48+M49+M50+M51+M52+M$65)</f>
        <v>0.58233151832706542</v>
      </c>
      <c r="N266" s="82">
        <f t="shared" si="270"/>
        <v>0.86659510578132581</v>
      </c>
      <c r="O266" s="45">
        <f t="shared" si="269"/>
        <v>0.58720114008236823</v>
      </c>
      <c r="P266" s="8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9"/>
      <c r="P267" s="8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x14ac:dyDescent="0.25">
      <c r="A268" s="10" t="s">
        <v>99</v>
      </c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9"/>
      <c r="P268" s="8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" x14ac:dyDescent="0.2">
      <c r="A269" s="8" t="s">
        <v>143</v>
      </c>
      <c r="B269" s="31"/>
      <c r="C269" s="31">
        <f t="shared" ref="C269:N269" si="272">(C169+C157-C163)/(-C163+C42)</f>
        <v>1.9787843135722876</v>
      </c>
      <c r="D269" s="31">
        <f t="shared" si="272"/>
        <v>1.7282813427017396</v>
      </c>
      <c r="E269" s="31">
        <f t="shared" si="272"/>
        <v>1.6467859637912214</v>
      </c>
      <c r="F269" s="31">
        <f t="shared" si="272"/>
        <v>1.7019392078510802</v>
      </c>
      <c r="G269" s="31">
        <f t="shared" si="272"/>
        <v>-2.1245185556513859</v>
      </c>
      <c r="H269" s="31">
        <f t="shared" ref="H269:L269" si="273">(H169+H157+H163)/(H163+H42)</f>
        <v>1.2321023285589598</v>
      </c>
      <c r="I269" s="31">
        <f t="shared" si="273"/>
        <v>1.1738239470201788</v>
      </c>
      <c r="J269" s="31">
        <f t="shared" si="273"/>
        <v>1.0986965583926527</v>
      </c>
      <c r="K269" s="31">
        <f t="shared" si="273"/>
        <v>1.2573718228702824</v>
      </c>
      <c r="L269" s="31">
        <f t="shared" si="273"/>
        <v>1.4023073795247363</v>
      </c>
      <c r="M269" s="31">
        <f>(M169+M157+M163)/(M163+M42)</f>
        <v>1.6167266160781268</v>
      </c>
      <c r="N269" s="31">
        <f t="shared" si="272"/>
        <v>39.78730624214495</v>
      </c>
      <c r="O269" s="31">
        <f t="shared" ref="O269:O270" si="274">AVERAGE(I269:M269)</f>
        <v>1.3097852647771955</v>
      </c>
      <c r="P269" s="8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" x14ac:dyDescent="0.2">
      <c r="A270" s="8" t="s">
        <v>144</v>
      </c>
      <c r="B270" s="31"/>
      <c r="C270" s="31"/>
      <c r="D270" s="31"/>
      <c r="E270" s="31">
        <f>(-E163+E169)/-E163</f>
        <v>2.0406711219653584</v>
      </c>
      <c r="F270" s="31">
        <f t="shared" ref="F270:N270" si="275">(-F163+F169)/-F163</f>
        <v>1.9295943131928759</v>
      </c>
      <c r="G270" s="31">
        <f t="shared" si="275"/>
        <v>0.18206725137474719</v>
      </c>
      <c r="H270" s="31">
        <f t="shared" ref="H270:L270" si="276">(H163+H169)/H163</f>
        <v>1.947283505507712</v>
      </c>
      <c r="I270" s="31">
        <f t="shared" si="276"/>
        <v>1.7014394481238253</v>
      </c>
      <c r="J270" s="31">
        <f t="shared" si="276"/>
        <v>1.4405677541707411</v>
      </c>
      <c r="K270" s="31">
        <f t="shared" si="276"/>
        <v>1.3049892347951935</v>
      </c>
      <c r="L270" s="31">
        <f t="shared" si="276"/>
        <v>1.5929380064686496</v>
      </c>
      <c r="M270" s="31">
        <f>(M163+M169)/M163</f>
        <v>1.9424596667657028</v>
      </c>
      <c r="N270" s="31">
        <f t="shared" si="275"/>
        <v>-0.17106204372187278</v>
      </c>
      <c r="O270" s="31">
        <f t="shared" si="274"/>
        <v>1.5964788220648225</v>
      </c>
      <c r="P270" s="8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" x14ac:dyDescent="0.2">
      <c r="A271" s="15" t="s">
        <v>100</v>
      </c>
      <c r="B271" s="45">
        <f t="shared" ref="B271:N271" si="277">+B65/B39</f>
        <v>0.43758335967662432</v>
      </c>
      <c r="C271" s="45">
        <f t="shared" si="277"/>
        <v>0.43867507930283844</v>
      </c>
      <c r="D271" s="45">
        <f t="shared" si="277"/>
        <v>0.45818408213757789</v>
      </c>
      <c r="E271" s="45">
        <f t="shared" si="277"/>
        <v>0.47302280215017012</v>
      </c>
      <c r="F271" s="45">
        <f t="shared" si="277"/>
        <v>0.53375474309428528</v>
      </c>
      <c r="G271" s="45">
        <f t="shared" si="277"/>
        <v>0.54794154738469192</v>
      </c>
      <c r="H271" s="45">
        <f t="shared" si="277"/>
        <v>0.54752345232003297</v>
      </c>
      <c r="I271" s="45">
        <f t="shared" ref="I271:L271" si="278">+I65/I39</f>
        <v>0.56573783564266211</v>
      </c>
      <c r="J271" s="45">
        <f t="shared" si="278"/>
        <v>0.55329586360123972</v>
      </c>
      <c r="K271" s="45">
        <f t="shared" si="278"/>
        <v>0.5144288498931483</v>
      </c>
      <c r="L271" s="45">
        <f t="shared" si="278"/>
        <v>0.5124275608323825</v>
      </c>
      <c r="M271" s="45">
        <f>+M65/M39</f>
        <v>0.51867975938441069</v>
      </c>
      <c r="N271" s="45">
        <f t="shared" si="277"/>
        <v>0.54084136956849416</v>
      </c>
      <c r="O271" s="45">
        <f>AVERAGE(I271:M271)</f>
        <v>0.53291397387076866</v>
      </c>
      <c r="P271" s="15"/>
    </row>
    <row r="272" spans="1:29" ht="15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 spans="1:16" ht="15.75" x14ac:dyDescent="0.25">
      <c r="A273" s="13" t="s">
        <v>146</v>
      </c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 spans="1:16" ht="15" x14ac:dyDescent="0.2">
      <c r="A274" s="15" t="s">
        <v>145</v>
      </c>
      <c r="B274" s="45"/>
      <c r="C274" s="45">
        <f t="shared" ref="C274:K274" si="279">-C178/C176</f>
        <v>8.3212519655525313E-2</v>
      </c>
      <c r="D274" s="45">
        <f t="shared" si="279"/>
        <v>0.30024349545721712</v>
      </c>
      <c r="E274" s="45">
        <f t="shared" si="279"/>
        <v>0.36020217330014781</v>
      </c>
      <c r="F274" s="45">
        <f t="shared" si="279"/>
        <v>0.14707886523994049</v>
      </c>
      <c r="G274" s="45">
        <f t="shared" si="279"/>
        <v>1.4337108081707454E-2</v>
      </c>
      <c r="H274" s="45">
        <f t="shared" si="279"/>
        <v>0.11937382898773903</v>
      </c>
      <c r="I274" s="45">
        <f t="shared" si="279"/>
        <v>0.1828099287016704</v>
      </c>
      <c r="J274" s="45">
        <f t="shared" si="279"/>
        <v>0.21761955092729721</v>
      </c>
      <c r="K274" s="45">
        <f t="shared" si="279"/>
        <v>0.17302976562411632</v>
      </c>
      <c r="L274" s="45">
        <f t="shared" ref="L274:M274" si="280">-L178/L176</f>
        <v>0.21947367189594591</v>
      </c>
      <c r="M274" s="45">
        <f t="shared" si="280"/>
        <v>0.39838650430057593</v>
      </c>
      <c r="N274" s="45"/>
      <c r="O274" s="45">
        <f t="shared" ref="O274:O276" si="281">AVERAGE(I274:M274)</f>
        <v>0.23826388428992112</v>
      </c>
      <c r="P274" s="15"/>
    </row>
    <row r="275" spans="1:16" ht="15" x14ac:dyDescent="0.2">
      <c r="A275" s="15" t="s">
        <v>147</v>
      </c>
      <c r="B275" s="41"/>
      <c r="C275" s="41"/>
      <c r="D275" s="41">
        <f t="shared" ref="D275:K275" si="282">-D178/C169</f>
        <v>0.64490370688729681</v>
      </c>
      <c r="E275" s="41">
        <f t="shared" si="282"/>
        <v>0.80777414829120686</v>
      </c>
      <c r="F275" s="41">
        <f t="shared" si="282"/>
        <v>0.62005349659387077</v>
      </c>
      <c r="G275" s="41">
        <f t="shared" si="282"/>
        <v>6.0197653822783262E-2</v>
      </c>
      <c r="H275" s="45">
        <f t="shared" si="282"/>
        <v>0.58325147219988616</v>
      </c>
      <c r="I275" s="45">
        <f t="shared" si="282"/>
        <v>0.53217834297768118</v>
      </c>
      <c r="J275" s="45">
        <f t="shared" si="282"/>
        <v>0.73943804442922056</v>
      </c>
      <c r="K275" s="45">
        <f t="shared" si="282"/>
        <v>0.67906720814859456</v>
      </c>
      <c r="L275" s="45">
        <f t="shared" ref="L275" si="283">-L178/K169</f>
        <v>1.8689221894010295</v>
      </c>
      <c r="M275" s="45">
        <f t="shared" ref="M275" si="284">-M178/L169</f>
        <v>1.739408684705622</v>
      </c>
      <c r="N275" s="45"/>
      <c r="O275" s="45">
        <f t="shared" si="281"/>
        <v>1.1118028939324296</v>
      </c>
      <c r="P275" s="15"/>
    </row>
    <row r="276" spans="1:16" ht="15" x14ac:dyDescent="0.2">
      <c r="A276" s="15" t="s">
        <v>148</v>
      </c>
      <c r="D276" s="41">
        <f t="shared" ref="D276:K276" si="285">-D178/C176</f>
        <v>0.32022863154394171</v>
      </c>
      <c r="E276" s="41">
        <f t="shared" si="285"/>
        <v>0.29677737892246797</v>
      </c>
      <c r="F276" s="41">
        <f t="shared" si="285"/>
        <v>0.35196389006532547</v>
      </c>
      <c r="G276" s="41">
        <f t="shared" si="285"/>
        <v>1.2266034190044116E-2</v>
      </c>
      <c r="H276" s="45">
        <f t="shared" si="285"/>
        <v>0.1271604273821976</v>
      </c>
      <c r="I276" s="45">
        <f t="shared" si="285"/>
        <v>0.13139804094436661</v>
      </c>
      <c r="J276" s="45">
        <f t="shared" si="285"/>
        <v>0.18913047199155483</v>
      </c>
      <c r="K276" s="45">
        <f t="shared" si="285"/>
        <v>0.13116049334601254</v>
      </c>
      <c r="L276" s="45">
        <f t="shared" ref="L276" si="286">-L178/K176</f>
        <v>0.35044985540667967</v>
      </c>
      <c r="M276" s="45">
        <f t="shared" ref="M276" si="287">-M178/L176</f>
        <v>0.43185161477421108</v>
      </c>
      <c r="N276" s="45"/>
      <c r="O276" s="45">
        <f t="shared" si="281"/>
        <v>0.24679809529256494</v>
      </c>
    </row>
  </sheetData>
  <mergeCells count="2">
    <mergeCell ref="O11:O12"/>
    <mergeCell ref="O48:O52"/>
  </mergeCells>
  <phoneticPr fontId="2" type="noConversion"/>
  <printOptions horizontalCentered="1"/>
  <pageMargins left="0.75" right="0.75" top="1" bottom="1" header="0.5" footer="0.5"/>
  <pageSetup scale="59" fitToHeight="5" orientation="portrait" r:id="rId1"/>
  <headerFooter alignWithMargins="0"/>
  <rowBreaks count="4" manualBreakCount="4">
    <brk id="67" max="14" man="1"/>
    <brk id="134" max="14" man="1"/>
    <brk id="179" max="14" man="1"/>
    <brk id="223" max="14" man="1"/>
  </rowBreaks>
  <ignoredErrors>
    <ignoredError sqref="D146:E1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selection activeCell="A4" sqref="A4:N4"/>
    </sheetView>
  </sheetViews>
  <sheetFormatPr defaultRowHeight="12.75" x14ac:dyDescent="0.2"/>
  <cols>
    <col min="1" max="1" width="38.7109375" customWidth="1"/>
    <col min="2" max="6" width="13.7109375" hidden="1" customWidth="1"/>
    <col min="7" max="7" width="14.85546875" hidden="1" customWidth="1"/>
    <col min="8" max="13" width="14.85546875" customWidth="1"/>
    <col min="14" max="14" width="14.85546875" hidden="1" customWidth="1"/>
  </cols>
  <sheetData>
    <row r="1" spans="1:14" ht="15" x14ac:dyDescent="0.2">
      <c r="A1" s="8"/>
      <c r="B1" s="8"/>
      <c r="C1" s="8"/>
      <c r="D1" s="8"/>
      <c r="E1" s="8"/>
      <c r="F1" s="8"/>
      <c r="G1" s="8"/>
      <c r="M1" s="46" t="s">
        <v>0</v>
      </c>
    </row>
    <row r="2" spans="1:14" ht="15.75" x14ac:dyDescent="0.25">
      <c r="A2" s="10"/>
      <c r="B2" s="10"/>
      <c r="C2" s="8"/>
      <c r="D2" s="8"/>
      <c r="E2" s="8"/>
      <c r="F2" s="8"/>
      <c r="G2" s="8"/>
      <c r="M2" s="46" t="s">
        <v>179</v>
      </c>
    </row>
    <row r="3" spans="1:14" ht="15.75" x14ac:dyDescent="0.25">
      <c r="A3" s="98" t="str">
        <f>+Historical!A3</f>
        <v>Empire Electric Association, Inc.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15.75" x14ac:dyDescent="0.25">
      <c r="A4" s="98" t="s">
        <v>142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ht="15.75" x14ac:dyDescent="0.25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4" ht="15.75" x14ac:dyDescent="0.25">
      <c r="A6" s="8"/>
      <c r="B6" s="8"/>
      <c r="C6" s="10"/>
      <c r="D6" s="10"/>
      <c r="E6" s="13"/>
      <c r="F6" s="14"/>
      <c r="G6" s="13"/>
      <c r="H6" s="13"/>
      <c r="N6" s="80" t="str">
        <f>+Historical!N141</f>
        <v>11 Months</v>
      </c>
    </row>
    <row r="7" spans="1:14" ht="15.75" x14ac:dyDescent="0.25">
      <c r="A7" s="57" t="s">
        <v>105</v>
      </c>
      <c r="B7" s="57">
        <v>2003</v>
      </c>
      <c r="C7" s="57">
        <v>2004</v>
      </c>
      <c r="D7" s="57">
        <v>2005</v>
      </c>
      <c r="E7" s="57">
        <v>2006</v>
      </c>
      <c r="F7" s="58">
        <f>+E7+1</f>
        <v>2007</v>
      </c>
      <c r="G7" s="58">
        <f>+Historical!G8</f>
        <v>2008</v>
      </c>
      <c r="H7" s="58">
        <f t="shared" ref="H7" si="0">+G7+1</f>
        <v>2009</v>
      </c>
      <c r="I7" s="58">
        <f t="shared" ref="I7" si="1">+H7+1</f>
        <v>2010</v>
      </c>
      <c r="J7" s="58">
        <f t="shared" ref="J7" si="2">+I7+1</f>
        <v>2011</v>
      </c>
      <c r="K7" s="58">
        <f t="shared" ref="K7" si="3">+J7+1</f>
        <v>2012</v>
      </c>
      <c r="L7" s="58">
        <f t="shared" ref="L7" si="4">+K7+1</f>
        <v>2013</v>
      </c>
      <c r="M7" s="58">
        <f t="shared" ref="M7" si="5">+L7+1</f>
        <v>2014</v>
      </c>
      <c r="N7" s="81" t="str">
        <f>+Historical!N8</f>
        <v>YTD 2015</v>
      </c>
    </row>
    <row r="8" spans="1:14" ht="15" x14ac:dyDescent="0.2">
      <c r="A8" s="8" t="s">
        <v>92</v>
      </c>
      <c r="B8" s="33">
        <f>+Historical!B176</f>
        <v>0</v>
      </c>
      <c r="C8" s="33">
        <f>+Historical!C176</f>
        <v>3214922.9600000046</v>
      </c>
      <c r="D8" s="33">
        <f>+Historical!D176</f>
        <v>3428918.1800000025</v>
      </c>
      <c r="E8" s="33">
        <f>+Historical!E176</f>
        <v>2825150.5000000019</v>
      </c>
      <c r="F8" s="33">
        <f>+Historical!F176</f>
        <v>6760665.1599999946</v>
      </c>
      <c r="G8" s="33">
        <f>+Historical!G176</f>
        <v>5784050</v>
      </c>
      <c r="H8" s="33">
        <f>+Historical!H176</f>
        <v>6161336</v>
      </c>
      <c r="I8" s="33">
        <f>+Historical!I176</f>
        <v>4428575</v>
      </c>
      <c r="J8" s="33">
        <f>+Historical!J176</f>
        <v>3848820</v>
      </c>
      <c r="K8" s="33">
        <f>+Historical!K176</f>
        <v>2917493</v>
      </c>
      <c r="L8" s="33">
        <f>+Historical!L176</f>
        <v>4658577</v>
      </c>
      <c r="M8" s="33">
        <f>+Historical!M176</f>
        <v>5049905</v>
      </c>
      <c r="N8" s="33">
        <f>+Historical!N176</f>
        <v>2568563</v>
      </c>
    </row>
    <row r="9" spans="1:14" ht="15" x14ac:dyDescent="0.2">
      <c r="A9" s="8"/>
      <c r="B9" s="33"/>
      <c r="C9" s="33"/>
      <c r="D9" s="33"/>
      <c r="E9" s="33"/>
      <c r="F9" s="33"/>
      <c r="G9" s="33"/>
      <c r="H9" s="33"/>
      <c r="I9" s="52"/>
    </row>
    <row r="10" spans="1:14" ht="15" x14ac:dyDescent="0.2">
      <c r="A10" s="8" t="s">
        <v>106</v>
      </c>
      <c r="B10" s="33"/>
      <c r="C10" s="33"/>
      <c r="D10" s="33"/>
      <c r="E10" s="33"/>
      <c r="F10" s="33"/>
      <c r="G10" s="33">
        <v>1645358.88</v>
      </c>
      <c r="H10" s="33">
        <v>1719016.14</v>
      </c>
      <c r="I10" s="43">
        <v>1848120.46</v>
      </c>
      <c r="J10" s="43">
        <v>2060923.42</v>
      </c>
      <c r="K10" s="43">
        <v>2226684</v>
      </c>
      <c r="L10" s="43">
        <v>2383758</v>
      </c>
      <c r="M10" s="43">
        <v>2447597</v>
      </c>
      <c r="N10" s="43">
        <v>2552875</v>
      </c>
    </row>
    <row r="11" spans="1:14" ht="15" x14ac:dyDescent="0.2">
      <c r="A11" s="50" t="s">
        <v>107</v>
      </c>
      <c r="B11" s="52"/>
      <c r="C11" s="43"/>
      <c r="D11" s="43"/>
      <c r="E11" s="43"/>
      <c r="F11" s="43"/>
      <c r="G11" s="43">
        <v>108519.57</v>
      </c>
      <c r="H11" s="43">
        <v>127174.08</v>
      </c>
      <c r="I11" s="43">
        <v>122563.07</v>
      </c>
      <c r="J11" s="43">
        <v>125532.96</v>
      </c>
      <c r="K11" s="43"/>
      <c r="L11" s="43"/>
      <c r="M11" s="43"/>
      <c r="N11" s="43"/>
    </row>
    <row r="12" spans="1:14" ht="15" x14ac:dyDescent="0.2">
      <c r="A12" s="50" t="s">
        <v>108</v>
      </c>
      <c r="B12" s="52"/>
      <c r="C12" s="43"/>
      <c r="D12" s="43"/>
      <c r="E12" s="43"/>
      <c r="F12" s="43"/>
      <c r="G12" s="43">
        <v>-61103.95</v>
      </c>
      <c r="H12" s="43">
        <v>-30197.79</v>
      </c>
      <c r="I12" s="43">
        <v>-22976.47</v>
      </c>
      <c r="J12" s="43">
        <v>-94414.07</v>
      </c>
      <c r="K12" s="43"/>
      <c r="L12" s="43"/>
      <c r="M12" s="43"/>
      <c r="N12" s="43"/>
    </row>
    <row r="13" spans="1:14" ht="15" x14ac:dyDescent="0.2">
      <c r="A13" s="50" t="s">
        <v>109</v>
      </c>
      <c r="B13" s="52"/>
      <c r="C13" s="43"/>
      <c r="D13" s="43"/>
      <c r="E13" s="43"/>
      <c r="F13" s="43"/>
      <c r="G13" s="43">
        <v>-24285.759999999998</v>
      </c>
      <c r="H13" s="36">
        <v>4708.66</v>
      </c>
      <c r="I13" s="43">
        <v>13655.94</v>
      </c>
      <c r="J13" s="43">
        <v>151411.29999999999</v>
      </c>
      <c r="K13" s="43">
        <v>78030</v>
      </c>
      <c r="L13" s="43">
        <v>-1389732</v>
      </c>
      <c r="M13" s="43"/>
      <c r="N13" s="43"/>
    </row>
    <row r="14" spans="1:14" ht="15" x14ac:dyDescent="0.2">
      <c r="A14" s="50" t="s">
        <v>110</v>
      </c>
      <c r="B14" s="52"/>
      <c r="C14" s="43"/>
      <c r="D14" s="43"/>
      <c r="E14" s="43"/>
      <c r="F14" s="43"/>
      <c r="G14" s="43">
        <v>-4326009.08</v>
      </c>
      <c r="H14" s="36">
        <v>-4509853.17</v>
      </c>
      <c r="I14" s="43">
        <v>-3212254.94</v>
      </c>
      <c r="J14" s="43">
        <v>-2808301.29</v>
      </c>
      <c r="K14" s="43">
        <v>-2096615</v>
      </c>
      <c r="L14" s="43">
        <v>-3227471</v>
      </c>
      <c r="M14" s="43">
        <v>-2844759</v>
      </c>
      <c r="N14" s="43">
        <v>-363910</v>
      </c>
    </row>
    <row r="15" spans="1:14" ht="15" x14ac:dyDescent="0.2">
      <c r="A15" s="50" t="s">
        <v>183</v>
      </c>
      <c r="B15" s="52"/>
      <c r="C15" s="43"/>
      <c r="D15" s="43"/>
      <c r="E15" s="43"/>
      <c r="F15" s="43"/>
      <c r="G15" s="43"/>
      <c r="H15" s="36"/>
      <c r="I15" s="43"/>
      <c r="J15" s="43"/>
      <c r="K15" s="43"/>
      <c r="L15" s="43">
        <v>-9791</v>
      </c>
      <c r="M15" s="43">
        <f>18511</f>
        <v>18511</v>
      </c>
      <c r="N15" s="43">
        <v>-16684</v>
      </c>
    </row>
    <row r="16" spans="1:14" ht="15" x14ac:dyDescent="0.2">
      <c r="A16" s="50" t="s">
        <v>184</v>
      </c>
      <c r="B16" s="52"/>
      <c r="C16" s="43"/>
      <c r="D16" s="43"/>
      <c r="E16" s="43"/>
      <c r="F16" s="43"/>
      <c r="G16" s="43"/>
      <c r="H16" s="36"/>
      <c r="I16" s="43"/>
      <c r="J16" s="43"/>
      <c r="K16" s="43"/>
      <c r="L16" s="43"/>
      <c r="M16" s="43">
        <v>-49478</v>
      </c>
      <c r="N16" s="43"/>
    </row>
    <row r="17" spans="1:14" ht="15" x14ac:dyDescent="0.2">
      <c r="A17" s="50" t="s">
        <v>111</v>
      </c>
      <c r="B17" s="5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15" x14ac:dyDescent="0.2">
      <c r="A18" s="50" t="s">
        <v>187</v>
      </c>
      <c r="B18" s="52"/>
      <c r="C18" s="43"/>
      <c r="D18" s="43"/>
      <c r="E18" s="43"/>
      <c r="F18" s="43"/>
      <c r="G18" s="43">
        <v>-730407.17</v>
      </c>
      <c r="H18" s="43">
        <v>-958750.26</v>
      </c>
      <c r="I18" s="43">
        <v>356168.11</v>
      </c>
      <c r="J18" s="43">
        <v>106054.07</v>
      </c>
      <c r="K18" s="43">
        <v>34320</v>
      </c>
      <c r="L18" s="43">
        <v>-919933</v>
      </c>
      <c r="M18" s="43">
        <v>-736477</v>
      </c>
      <c r="N18" s="43">
        <v>979752</v>
      </c>
    </row>
    <row r="19" spans="1:14" ht="15" x14ac:dyDescent="0.2">
      <c r="A19" s="50" t="s">
        <v>119</v>
      </c>
      <c r="B19" s="52"/>
      <c r="C19" s="43"/>
      <c r="D19" s="43"/>
      <c r="E19" s="43"/>
      <c r="F19" s="43"/>
      <c r="G19" s="43">
        <v>-3491.04</v>
      </c>
      <c r="H19" s="43">
        <v>-3311.18</v>
      </c>
      <c r="I19" s="43">
        <v>-206542.32</v>
      </c>
      <c r="J19" s="43">
        <v>195288.35</v>
      </c>
      <c r="K19" s="43"/>
      <c r="L19" s="43"/>
      <c r="M19" s="43"/>
      <c r="N19" s="43"/>
    </row>
    <row r="20" spans="1:14" ht="15" x14ac:dyDescent="0.2">
      <c r="A20" s="50" t="s">
        <v>120</v>
      </c>
      <c r="B20" s="52"/>
      <c r="C20" s="43"/>
      <c r="D20" s="43"/>
      <c r="E20" s="43"/>
      <c r="F20" s="43"/>
      <c r="G20" s="43">
        <v>667.18</v>
      </c>
      <c r="H20" s="43">
        <v>-3567.14</v>
      </c>
      <c r="I20" s="43">
        <v>-28.44</v>
      </c>
      <c r="J20" s="43">
        <v>-6797.23</v>
      </c>
      <c r="K20" s="43"/>
      <c r="L20" s="43"/>
      <c r="M20" s="43"/>
      <c r="N20" s="43"/>
    </row>
    <row r="21" spans="1:14" ht="15" x14ac:dyDescent="0.2">
      <c r="A21" s="50" t="s">
        <v>121</v>
      </c>
      <c r="B21" s="52"/>
      <c r="C21" s="43"/>
      <c r="D21" s="43"/>
      <c r="E21" s="43"/>
      <c r="F21" s="43"/>
      <c r="G21" s="43">
        <v>-47741.05</v>
      </c>
      <c r="H21" s="43">
        <v>-135597.04</v>
      </c>
      <c r="I21" s="43">
        <v>149047.89000000001</v>
      </c>
      <c r="J21" s="43">
        <v>4960</v>
      </c>
      <c r="K21" s="43">
        <v>5052</v>
      </c>
      <c r="L21" s="43">
        <v>-6932</v>
      </c>
      <c r="M21" s="43">
        <v>17036</v>
      </c>
      <c r="N21" s="43">
        <v>3298</v>
      </c>
    </row>
    <row r="22" spans="1:14" ht="15" x14ac:dyDescent="0.2">
      <c r="A22" s="50" t="s">
        <v>169</v>
      </c>
      <c r="B22" s="52"/>
      <c r="C22" s="43"/>
      <c r="D22" s="43"/>
      <c r="E22" s="43"/>
      <c r="F22" s="43"/>
      <c r="G22" s="43"/>
      <c r="H22" s="43"/>
      <c r="I22" s="43"/>
      <c r="J22" s="43"/>
      <c r="K22" s="43">
        <v>-142754</v>
      </c>
      <c r="L22" s="43">
        <v>-67172</v>
      </c>
      <c r="M22" s="43">
        <v>-34052</v>
      </c>
      <c r="N22" s="43">
        <v>202415</v>
      </c>
    </row>
    <row r="23" spans="1:14" ht="15" x14ac:dyDescent="0.2">
      <c r="A23" s="50" t="s">
        <v>112</v>
      </c>
      <c r="B23" s="5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15" x14ac:dyDescent="0.2">
      <c r="A24" s="50" t="s">
        <v>122</v>
      </c>
      <c r="B24" s="52"/>
      <c r="C24" s="43"/>
      <c r="D24" s="43"/>
      <c r="E24" s="43"/>
      <c r="F24" s="43"/>
      <c r="G24" s="43">
        <v>525220.05000000005</v>
      </c>
      <c r="H24" s="43">
        <v>287904.96000000002</v>
      </c>
      <c r="I24" s="43">
        <v>314139.48</v>
      </c>
      <c r="J24" s="43">
        <v>144247.67999999999</v>
      </c>
      <c r="K24" s="43">
        <f>290613+201601</f>
        <v>492214</v>
      </c>
      <c r="L24" s="43">
        <f>-587051+698325</f>
        <v>111274</v>
      </c>
      <c r="M24" s="43">
        <f>1073522+232657</f>
        <v>1306179</v>
      </c>
      <c r="N24" s="43">
        <v>-969248</v>
      </c>
    </row>
    <row r="25" spans="1:14" ht="15" x14ac:dyDescent="0.2">
      <c r="A25" s="50" t="s">
        <v>123</v>
      </c>
      <c r="B25" s="52"/>
      <c r="C25" s="43"/>
      <c r="D25" s="43"/>
      <c r="E25" s="43"/>
      <c r="F25" s="43"/>
      <c r="G25" s="43">
        <v>274532.47999999998</v>
      </c>
      <c r="H25" s="43">
        <v>44359.86</v>
      </c>
      <c r="I25" s="43">
        <v>154979.51</v>
      </c>
      <c r="J25" s="43">
        <v>-206690.06</v>
      </c>
      <c r="K25" s="43">
        <v>24031</v>
      </c>
      <c r="L25" s="43">
        <v>997053</v>
      </c>
      <c r="M25" s="43">
        <v>1828676</v>
      </c>
      <c r="N25" s="43">
        <v>-1236971</v>
      </c>
    </row>
    <row r="26" spans="1:14" ht="15" x14ac:dyDescent="0.2">
      <c r="A26" s="50" t="s">
        <v>124</v>
      </c>
      <c r="B26" s="52"/>
      <c r="C26" s="43"/>
      <c r="D26" s="43"/>
      <c r="E26" s="43"/>
      <c r="F26" s="43"/>
      <c r="G26" s="43">
        <v>54273.91</v>
      </c>
      <c r="H26" s="43">
        <v>70721.03</v>
      </c>
      <c r="I26" s="43">
        <v>-35619.07</v>
      </c>
      <c r="J26" s="43">
        <v>40525.9</v>
      </c>
      <c r="K26" s="43"/>
      <c r="L26" s="43"/>
      <c r="M26" s="43"/>
      <c r="N26" s="43"/>
    </row>
    <row r="27" spans="1:14" ht="15" x14ac:dyDescent="0.2">
      <c r="A27" s="50" t="s">
        <v>170</v>
      </c>
      <c r="B27" s="52"/>
      <c r="C27" s="43"/>
      <c r="D27" s="43"/>
      <c r="E27" s="43"/>
      <c r="F27" s="43"/>
      <c r="G27" s="43"/>
      <c r="H27" s="43"/>
      <c r="I27" s="43"/>
      <c r="J27" s="43"/>
      <c r="K27" s="43">
        <v>-86438</v>
      </c>
      <c r="L27" s="43">
        <v>-72040</v>
      </c>
      <c r="M27" s="43">
        <v>57819</v>
      </c>
      <c r="N27" s="43">
        <v>58231</v>
      </c>
    </row>
    <row r="28" spans="1:14" ht="15" x14ac:dyDescent="0.2">
      <c r="A28" s="50" t="s">
        <v>125</v>
      </c>
      <c r="B28" s="56"/>
      <c r="C28" s="38"/>
      <c r="D28" s="38"/>
      <c r="E28" s="38"/>
      <c r="F28" s="38"/>
      <c r="G28" s="38">
        <v>96092.76</v>
      </c>
      <c r="H28" s="38">
        <v>-58739.519999999997</v>
      </c>
      <c r="I28" s="38">
        <v>33032.230000000003</v>
      </c>
      <c r="J28" s="38">
        <v>7211.4</v>
      </c>
      <c r="K28" s="38">
        <v>1051233</v>
      </c>
      <c r="L28" s="38">
        <v>723933</v>
      </c>
      <c r="M28" s="38">
        <v>-1270370</v>
      </c>
      <c r="N28" s="38">
        <v>-197392</v>
      </c>
    </row>
    <row r="29" spans="1:14" ht="15" x14ac:dyDescent="0.2">
      <c r="B29" s="5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ht="15" x14ac:dyDescent="0.2">
      <c r="A30" s="50" t="s">
        <v>113</v>
      </c>
      <c r="B30" s="43">
        <f t="shared" ref="B30:G30" si="6">SUM(B8:B28)</f>
        <v>0</v>
      </c>
      <c r="C30" s="43">
        <f t="shared" si="6"/>
        <v>3214922.9600000046</v>
      </c>
      <c r="D30" s="43">
        <f t="shared" si="6"/>
        <v>3428918.1800000025</v>
      </c>
      <c r="E30" s="43">
        <f t="shared" si="6"/>
        <v>2825150.5000000019</v>
      </c>
      <c r="F30" s="43">
        <f t="shared" si="6"/>
        <v>6760665.1599999946</v>
      </c>
      <c r="G30" s="43">
        <f t="shared" si="6"/>
        <v>3295676.7800000007</v>
      </c>
      <c r="H30" s="43">
        <f>SUM(H8:H28)</f>
        <v>2715204.6299999994</v>
      </c>
      <c r="I30" s="43">
        <f t="shared" ref="I30:N30" si="7">SUM(I8:I28)</f>
        <v>3942860.4500000011</v>
      </c>
      <c r="J30" s="43">
        <f>SUM(J8:J28)+J6</f>
        <v>3568772.4299999992</v>
      </c>
      <c r="K30" s="43">
        <f t="shared" si="7"/>
        <v>4503250</v>
      </c>
      <c r="L30" s="43">
        <f t="shared" si="7"/>
        <v>3181524</v>
      </c>
      <c r="M30" s="43">
        <f t="shared" si="7"/>
        <v>5790587</v>
      </c>
      <c r="N30" s="43">
        <f t="shared" si="7"/>
        <v>3580929</v>
      </c>
    </row>
    <row r="31" spans="1:14" ht="15" x14ac:dyDescent="0.2">
      <c r="B31" s="5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4" ht="15.75" x14ac:dyDescent="0.25">
      <c r="A32" s="59" t="s">
        <v>114</v>
      </c>
      <c r="B32" s="5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ht="15" x14ac:dyDescent="0.2">
      <c r="A33" s="51" t="s">
        <v>115</v>
      </c>
      <c r="B33" s="52"/>
      <c r="C33" s="43"/>
      <c r="D33" s="43"/>
      <c r="E33" s="43"/>
      <c r="F33" s="43"/>
      <c r="G33" s="43">
        <v>-5650357.1600000001</v>
      </c>
      <c r="H33" s="43">
        <v>-6181642.2800000003</v>
      </c>
      <c r="I33" s="43">
        <v>-4129556.76</v>
      </c>
      <c r="J33" s="43">
        <v>-4176671.49</v>
      </c>
      <c r="K33" s="43">
        <v>-9524319</v>
      </c>
      <c r="L33" s="43">
        <v>-9623583</v>
      </c>
      <c r="M33" s="43">
        <v>-1119157</v>
      </c>
      <c r="N33" s="43"/>
    </row>
    <row r="34" spans="1:14" ht="15" x14ac:dyDescent="0.2">
      <c r="A34" s="51" t="s">
        <v>171</v>
      </c>
      <c r="B34" s="52"/>
      <c r="C34" s="43"/>
      <c r="D34" s="43"/>
      <c r="E34" s="43"/>
      <c r="F34" s="43"/>
      <c r="G34" s="43"/>
      <c r="H34" s="43"/>
      <c r="I34" s="43"/>
      <c r="J34" s="43"/>
      <c r="K34" s="43"/>
      <c r="L34" s="43">
        <v>2946502</v>
      </c>
      <c r="M34" s="43"/>
      <c r="N34" s="43"/>
    </row>
    <row r="35" spans="1:14" ht="15" x14ac:dyDescent="0.2">
      <c r="A35" s="50" t="s">
        <v>117</v>
      </c>
      <c r="B35" s="52"/>
      <c r="C35" s="43"/>
      <c r="D35" s="43"/>
      <c r="E35" s="43"/>
      <c r="F35" s="43"/>
      <c r="G35" s="43">
        <v>-319.27</v>
      </c>
      <c r="H35" s="43">
        <v>308.79000000000002</v>
      </c>
      <c r="I35" s="43">
        <v>-88586.16</v>
      </c>
      <c r="J35" s="43">
        <v>105242.5</v>
      </c>
      <c r="K35" s="43">
        <v>10368</v>
      </c>
      <c r="L35" s="43">
        <v>-112558</v>
      </c>
      <c r="M35" s="43">
        <v>46365</v>
      </c>
      <c r="N35" s="43"/>
    </row>
    <row r="36" spans="1:14" ht="15" x14ac:dyDescent="0.2">
      <c r="A36" s="50" t="s">
        <v>116</v>
      </c>
      <c r="B36" s="52"/>
      <c r="C36" s="43"/>
      <c r="D36" s="43"/>
      <c r="E36" s="43"/>
      <c r="F36" s="43"/>
      <c r="G36" s="43">
        <v>206221.67</v>
      </c>
      <c r="H36" s="43">
        <v>-81484.88</v>
      </c>
      <c r="I36" s="43">
        <v>-166187.1</v>
      </c>
      <c r="J36" s="43">
        <v>2635.32</v>
      </c>
      <c r="K36" s="43">
        <v>-1200000</v>
      </c>
      <c r="L36" s="43">
        <f>-143543+240000</f>
        <v>96457</v>
      </c>
      <c r="M36" s="43">
        <f>-196212</f>
        <v>-196212</v>
      </c>
      <c r="N36" s="43"/>
    </row>
    <row r="37" spans="1:14" ht="15" x14ac:dyDescent="0.2">
      <c r="A37" s="50" t="s">
        <v>172</v>
      </c>
      <c r="B37" s="52"/>
      <c r="C37" s="43"/>
      <c r="D37" s="43"/>
      <c r="E37" s="43"/>
      <c r="F37" s="43"/>
      <c r="G37" s="43"/>
      <c r="H37" s="43"/>
      <c r="I37" s="43"/>
      <c r="J37" s="43">
        <v>-2400000</v>
      </c>
      <c r="K37" s="43">
        <v>2500000</v>
      </c>
      <c r="L37" s="43"/>
      <c r="M37" s="43"/>
      <c r="N37" s="43"/>
    </row>
    <row r="38" spans="1:14" ht="15" x14ac:dyDescent="0.2">
      <c r="A38" s="50" t="s">
        <v>185</v>
      </c>
      <c r="B38" s="5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>
        <v>489478</v>
      </c>
      <c r="N38" s="43"/>
    </row>
    <row r="39" spans="1:14" ht="15" x14ac:dyDescent="0.2">
      <c r="A39" s="50" t="s">
        <v>118</v>
      </c>
      <c r="B39" s="56"/>
      <c r="C39" s="38"/>
      <c r="D39" s="38"/>
      <c r="E39" s="38"/>
      <c r="F39" s="38"/>
      <c r="G39" s="38">
        <v>736921.07</v>
      </c>
      <c r="H39" s="38">
        <v>717402.82</v>
      </c>
      <c r="I39" s="38">
        <v>1013689.51</v>
      </c>
      <c r="J39" s="38">
        <v>1048556.48</v>
      </c>
      <c r="K39" s="38">
        <v>628762</v>
      </c>
      <c r="L39" s="38">
        <v>606382</v>
      </c>
      <c r="M39" s="38">
        <v>1218282</v>
      </c>
      <c r="N39" s="38"/>
    </row>
    <row r="40" spans="1:14" ht="15" x14ac:dyDescent="0.2">
      <c r="B40" s="5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4" ht="15" x14ac:dyDescent="0.2">
      <c r="A41" s="50" t="s">
        <v>126</v>
      </c>
      <c r="B41" s="43">
        <f t="shared" ref="B41:G41" si="8">SUM(B33:B40)</f>
        <v>0</v>
      </c>
      <c r="C41" s="43">
        <f t="shared" si="8"/>
        <v>0</v>
      </c>
      <c r="D41" s="43">
        <f t="shared" si="8"/>
        <v>0</v>
      </c>
      <c r="E41" s="43">
        <f t="shared" si="8"/>
        <v>0</v>
      </c>
      <c r="F41" s="43">
        <f t="shared" si="8"/>
        <v>0</v>
      </c>
      <c r="G41" s="43">
        <f t="shared" si="8"/>
        <v>-4707533.6899999995</v>
      </c>
      <c r="H41" s="43">
        <f>SUM(H33:H40)</f>
        <v>-5545415.5499999998</v>
      </c>
      <c r="I41" s="43">
        <f t="shared" ref="I41:N41" si="9">SUM(I33:I40)</f>
        <v>-3370640.51</v>
      </c>
      <c r="J41" s="43">
        <f t="shared" si="9"/>
        <v>-5420237.1899999995</v>
      </c>
      <c r="K41" s="43">
        <f t="shared" si="9"/>
        <v>-7585189</v>
      </c>
      <c r="L41" s="43">
        <f t="shared" si="9"/>
        <v>-6086800</v>
      </c>
      <c r="M41" s="43">
        <f t="shared" si="9"/>
        <v>438756</v>
      </c>
      <c r="N41" s="43">
        <f t="shared" si="9"/>
        <v>0</v>
      </c>
    </row>
    <row r="42" spans="1:14" ht="15" x14ac:dyDescent="0.2">
      <c r="B42" s="5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5.75" x14ac:dyDescent="0.25">
      <c r="A43" s="59" t="s">
        <v>127</v>
      </c>
      <c r="H43" s="53"/>
      <c r="I43" s="43"/>
      <c r="J43" s="43"/>
      <c r="K43" s="43"/>
      <c r="L43" s="43"/>
      <c r="M43" s="43"/>
      <c r="N43" s="43"/>
    </row>
    <row r="44" spans="1:14" ht="15" x14ac:dyDescent="0.2">
      <c r="A44" s="51" t="s">
        <v>128</v>
      </c>
      <c r="B44" s="43"/>
      <c r="C44" s="43"/>
      <c r="D44" s="43"/>
      <c r="E44" s="43"/>
      <c r="F44" s="43"/>
      <c r="G44" s="43">
        <v>3980000</v>
      </c>
      <c r="H44" s="43">
        <v>5000000</v>
      </c>
      <c r="I44" s="43">
        <v>700000</v>
      </c>
      <c r="J44" s="43">
        <v>8000000</v>
      </c>
      <c r="K44" s="43">
        <v>7678395</v>
      </c>
      <c r="L44" s="43">
        <v>5295170</v>
      </c>
      <c r="M44" s="43">
        <v>3500000</v>
      </c>
      <c r="N44" s="43"/>
    </row>
    <row r="45" spans="1:14" ht="15" x14ac:dyDescent="0.2">
      <c r="A45" s="51" t="s">
        <v>129</v>
      </c>
      <c r="B45" s="43"/>
      <c r="C45" s="43"/>
      <c r="D45" s="43"/>
      <c r="E45" s="43"/>
      <c r="F45" s="43"/>
      <c r="G45" s="43">
        <v>-1113589.1100000001</v>
      </c>
      <c r="H45" s="43">
        <v>-1203313.58</v>
      </c>
      <c r="I45" s="43">
        <v>-1316233.6100000001</v>
      </c>
      <c r="J45" s="43">
        <v>-1452614.34</v>
      </c>
      <c r="K45" s="43">
        <v>-1534979</v>
      </c>
      <c r="L45" s="43">
        <v>-1890247</v>
      </c>
      <c r="M45" s="43">
        <v>-2087822</v>
      </c>
      <c r="N45" s="43"/>
    </row>
    <row r="46" spans="1:14" ht="15" x14ac:dyDescent="0.2">
      <c r="A46" s="51" t="s">
        <v>173</v>
      </c>
      <c r="B46" s="43"/>
      <c r="C46" s="43"/>
      <c r="D46" s="43"/>
      <c r="E46" s="43"/>
      <c r="F46" s="43"/>
      <c r="G46" s="43"/>
      <c r="H46" s="43"/>
      <c r="I46" s="43"/>
      <c r="J46" s="43"/>
      <c r="K46" s="43">
        <v>1845648</v>
      </c>
      <c r="L46" s="43">
        <v>2405099</v>
      </c>
      <c r="M46" s="43">
        <v>2617079</v>
      </c>
      <c r="N46" s="43"/>
    </row>
    <row r="47" spans="1:14" ht="15" x14ac:dyDescent="0.2">
      <c r="A47" s="51" t="s">
        <v>174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>
        <v>-2751490</v>
      </c>
      <c r="M47" s="43">
        <v>-4496027</v>
      </c>
      <c r="N47" s="43"/>
    </row>
    <row r="48" spans="1:14" ht="15" x14ac:dyDescent="0.2">
      <c r="A48" s="51" t="s">
        <v>130</v>
      </c>
      <c r="B48" s="43"/>
      <c r="C48" s="43"/>
      <c r="D48" s="43"/>
      <c r="E48" s="43"/>
      <c r="F48" s="43"/>
      <c r="G48" s="43">
        <v>317296.15999999997</v>
      </c>
      <c r="H48" s="43">
        <v>562748.26</v>
      </c>
      <c r="I48" s="43">
        <v>156260.54999999999</v>
      </c>
      <c r="J48" s="43">
        <v>314837.95</v>
      </c>
      <c r="K48" s="43"/>
      <c r="L48" s="43"/>
      <c r="M48" s="43"/>
      <c r="N48" s="43"/>
    </row>
    <row r="49" spans="1:14" ht="15" x14ac:dyDescent="0.2">
      <c r="A49" s="51" t="s">
        <v>131</v>
      </c>
      <c r="B49" s="43"/>
      <c r="C49" s="43"/>
      <c r="D49" s="43"/>
      <c r="E49" s="43"/>
      <c r="F49" s="43"/>
      <c r="G49" s="43">
        <v>-1000000</v>
      </c>
      <c r="H49" s="43"/>
      <c r="I49" s="43"/>
      <c r="J49" s="43">
        <v>-2500000</v>
      </c>
      <c r="K49" s="43"/>
      <c r="L49" s="43"/>
      <c r="M49" s="43"/>
      <c r="N49" s="43"/>
    </row>
    <row r="50" spans="1:14" ht="15" x14ac:dyDescent="0.2">
      <c r="A50" s="51" t="s">
        <v>132</v>
      </c>
      <c r="B50" s="43"/>
      <c r="C50" s="43"/>
      <c r="D50" s="43"/>
      <c r="E50" s="43"/>
      <c r="F50" s="43"/>
      <c r="G50" s="43">
        <v>-145049.75</v>
      </c>
      <c r="H50" s="43">
        <v>-109091.74</v>
      </c>
      <c r="I50" s="43">
        <v>-40721.26</v>
      </c>
      <c r="J50" s="43">
        <v>-50880.17</v>
      </c>
      <c r="K50" s="43"/>
      <c r="L50" s="43"/>
      <c r="M50" s="43"/>
      <c r="N50" s="43"/>
    </row>
    <row r="51" spans="1:14" ht="15" x14ac:dyDescent="0.2">
      <c r="A51" s="51" t="s">
        <v>133</v>
      </c>
      <c r="B51" s="43"/>
      <c r="C51" s="43"/>
      <c r="D51" s="43"/>
      <c r="E51" s="43"/>
      <c r="F51" s="43"/>
      <c r="G51" s="43">
        <v>-4453.0200000000004</v>
      </c>
      <c r="H51" s="43">
        <v>-737.6</v>
      </c>
      <c r="I51" s="43">
        <v>722.39</v>
      </c>
      <c r="J51" s="43">
        <v>828.48</v>
      </c>
      <c r="K51" s="43"/>
      <c r="L51" s="43"/>
      <c r="M51" s="43"/>
      <c r="N51" s="43"/>
    </row>
    <row r="52" spans="1:14" ht="15" x14ac:dyDescent="0.2">
      <c r="A52" s="51" t="s">
        <v>134</v>
      </c>
      <c r="B52" s="38"/>
      <c r="C52" s="38"/>
      <c r="D52" s="38"/>
      <c r="E52" s="38"/>
      <c r="F52" s="38"/>
      <c r="G52" s="38">
        <v>-82926.55</v>
      </c>
      <c r="H52" s="38">
        <v>-735502.27</v>
      </c>
      <c r="I52" s="38">
        <v>-809587.48</v>
      </c>
      <c r="J52" s="38">
        <v>-837578.48</v>
      </c>
      <c r="K52" s="38">
        <v>-501299</v>
      </c>
      <c r="L52" s="38">
        <v>-982348</v>
      </c>
      <c r="M52" s="38">
        <v>-1962155</v>
      </c>
      <c r="N52" s="38"/>
    </row>
    <row r="53" spans="1:14" ht="15" x14ac:dyDescent="0.2">
      <c r="A53" s="51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x14ac:dyDescent="0.2">
      <c r="A54" s="51" t="s">
        <v>135</v>
      </c>
      <c r="B54" s="38">
        <f t="shared" ref="B54:G54" si="10">SUM(B44:B52)</f>
        <v>0</v>
      </c>
      <c r="C54" s="38">
        <f t="shared" si="10"/>
        <v>0</v>
      </c>
      <c r="D54" s="38">
        <f t="shared" si="10"/>
        <v>0</v>
      </c>
      <c r="E54" s="38">
        <f t="shared" si="10"/>
        <v>0</v>
      </c>
      <c r="F54" s="38">
        <f t="shared" si="10"/>
        <v>0</v>
      </c>
      <c r="G54" s="38">
        <f t="shared" si="10"/>
        <v>1951277.7299999997</v>
      </c>
      <c r="H54" s="38">
        <f>SUM(H44:H52)</f>
        <v>3514103.07</v>
      </c>
      <c r="I54" s="38">
        <f t="shared" ref="I54:N54" si="11">SUM(I44:I52)</f>
        <v>-1309559.4100000001</v>
      </c>
      <c r="J54" s="38">
        <f t="shared" si="11"/>
        <v>3474593.4400000009</v>
      </c>
      <c r="K54" s="38">
        <f t="shared" si="11"/>
        <v>7487765</v>
      </c>
      <c r="L54" s="38">
        <f t="shared" si="11"/>
        <v>2076184</v>
      </c>
      <c r="M54" s="38">
        <f t="shared" si="11"/>
        <v>-2428925</v>
      </c>
      <c r="N54" s="38">
        <f t="shared" si="11"/>
        <v>0</v>
      </c>
    </row>
    <row r="55" spans="1:14" ht="15" x14ac:dyDescent="0.2">
      <c r="A55" s="51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</row>
    <row r="56" spans="1:14" ht="15" x14ac:dyDescent="0.2">
      <c r="A56" s="51" t="s">
        <v>136</v>
      </c>
      <c r="B56" s="43">
        <f t="shared" ref="B56:G56" si="12">+B30+B41+B54</f>
        <v>0</v>
      </c>
      <c r="C56" s="43">
        <f t="shared" si="12"/>
        <v>3214922.9600000046</v>
      </c>
      <c r="D56" s="43">
        <f t="shared" si="12"/>
        <v>3428918.1800000025</v>
      </c>
      <c r="E56" s="43">
        <f t="shared" si="12"/>
        <v>2825150.5000000019</v>
      </c>
      <c r="F56" s="43">
        <f t="shared" si="12"/>
        <v>6760665.1599999946</v>
      </c>
      <c r="G56" s="43">
        <f t="shared" si="12"/>
        <v>539420.820000001</v>
      </c>
      <c r="H56" s="43">
        <f>+H30+H41+H54</f>
        <v>683892.14999999944</v>
      </c>
      <c r="I56" s="44">
        <f t="shared" ref="I56:N56" si="13">+I30+I41+I54</f>
        <v>-737339.46999999881</v>
      </c>
      <c r="J56" s="44">
        <f>+J30+J41+J54</f>
        <v>1623128.6800000006</v>
      </c>
      <c r="K56" s="44">
        <f t="shared" si="13"/>
        <v>4405826</v>
      </c>
      <c r="L56" s="44">
        <f t="shared" si="13"/>
        <v>-829092</v>
      </c>
      <c r="M56" s="43">
        <f t="shared" si="13"/>
        <v>3800418</v>
      </c>
      <c r="N56" s="43">
        <f t="shared" si="13"/>
        <v>3580929</v>
      </c>
    </row>
    <row r="57" spans="1:14" ht="15" x14ac:dyDescent="0.2">
      <c r="A57" s="5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ht="15" x14ac:dyDescent="0.2">
      <c r="A58" s="51" t="s">
        <v>137</v>
      </c>
      <c r="B58" s="43"/>
      <c r="C58" s="43">
        <f t="shared" ref="C58:F58" si="14">+B59</f>
        <v>0</v>
      </c>
      <c r="D58" s="43">
        <f t="shared" si="14"/>
        <v>3214922.9600000046</v>
      </c>
      <c r="E58" s="43">
        <f t="shared" si="14"/>
        <v>6643841.1400000071</v>
      </c>
      <c r="F58" s="43">
        <f t="shared" si="14"/>
        <v>9468991.640000008</v>
      </c>
      <c r="G58" s="43">
        <v>1761228.71</v>
      </c>
      <c r="H58" s="43">
        <f>+G59</f>
        <v>2300649.5300000012</v>
      </c>
      <c r="I58" s="43">
        <f t="shared" ref="I58:N58" si="15">+H59</f>
        <v>2984541.6800000006</v>
      </c>
      <c r="J58" s="43">
        <f t="shared" si="15"/>
        <v>2247202.2100000018</v>
      </c>
      <c r="K58" s="43">
        <f t="shared" si="15"/>
        <v>3870329.8900000025</v>
      </c>
      <c r="L58" s="43">
        <f>+K59-4</f>
        <v>8276155.8900000025</v>
      </c>
      <c r="M58" s="43">
        <f t="shared" si="15"/>
        <v>7447063.8900000025</v>
      </c>
      <c r="N58" s="43">
        <f t="shared" si="15"/>
        <v>11247481.890000002</v>
      </c>
    </row>
    <row r="59" spans="1:14" ht="15" x14ac:dyDescent="0.2">
      <c r="A59" s="51" t="s">
        <v>138</v>
      </c>
      <c r="B59" s="43">
        <f t="shared" ref="B59:G59" si="16">+B58+B56</f>
        <v>0</v>
      </c>
      <c r="C59" s="43">
        <f t="shared" si="16"/>
        <v>3214922.9600000046</v>
      </c>
      <c r="D59" s="43">
        <f t="shared" si="16"/>
        <v>6643841.1400000071</v>
      </c>
      <c r="E59" s="43">
        <f t="shared" si="16"/>
        <v>9468991.640000008</v>
      </c>
      <c r="F59" s="43">
        <f t="shared" si="16"/>
        <v>16229656.800000003</v>
      </c>
      <c r="G59" s="43">
        <f t="shared" si="16"/>
        <v>2300649.5300000012</v>
      </c>
      <c r="H59" s="43">
        <f>+H58+H56</f>
        <v>2984541.6800000006</v>
      </c>
      <c r="I59" s="43">
        <f t="shared" ref="I59:N59" si="17">+I58+I56</f>
        <v>2247202.2100000018</v>
      </c>
      <c r="J59" s="43">
        <f>+J58+J56-1</f>
        <v>3870329.8900000025</v>
      </c>
      <c r="K59" s="43">
        <f>+K58+K56+4</f>
        <v>8276159.8900000025</v>
      </c>
      <c r="L59" s="43">
        <f t="shared" si="17"/>
        <v>7447063.8900000025</v>
      </c>
      <c r="M59" s="43">
        <f t="shared" si="17"/>
        <v>11247481.890000002</v>
      </c>
      <c r="N59" s="43">
        <f t="shared" si="17"/>
        <v>14828410.890000002</v>
      </c>
    </row>
    <row r="60" spans="1:14" ht="15" x14ac:dyDescent="0.2">
      <c r="A60" s="51"/>
      <c r="B60" s="43"/>
      <c r="C60" s="43"/>
      <c r="D60" s="43"/>
      <c r="E60" s="43"/>
      <c r="F60" s="43"/>
      <c r="G60" s="43"/>
      <c r="H60" s="43"/>
      <c r="I60" s="44"/>
      <c r="J60" s="44"/>
      <c r="K60" s="44"/>
      <c r="L60" s="43"/>
      <c r="M60" s="43"/>
      <c r="N60" s="43"/>
    </row>
    <row r="61" spans="1:14" ht="15.75" x14ac:dyDescent="0.25">
      <c r="A61" s="60" t="s">
        <v>139</v>
      </c>
      <c r="B61" s="43"/>
      <c r="C61" s="43"/>
      <c r="D61" s="43"/>
      <c r="E61" s="43"/>
      <c r="F61" s="43"/>
      <c r="G61" s="43"/>
      <c r="H61" s="43"/>
      <c r="I61" s="44"/>
      <c r="J61" s="44"/>
      <c r="K61" s="44"/>
      <c r="L61" s="43"/>
      <c r="M61" s="43"/>
      <c r="N61" s="43"/>
    </row>
    <row r="62" spans="1:14" ht="15" x14ac:dyDescent="0.2">
      <c r="A62" s="51" t="s">
        <v>140</v>
      </c>
      <c r="B62" s="43"/>
      <c r="C62" s="43"/>
      <c r="D62" s="43"/>
      <c r="E62" s="43"/>
      <c r="F62" s="43"/>
      <c r="G62" s="43">
        <v>1608994.48</v>
      </c>
      <c r="H62" s="43">
        <v>1544968</v>
      </c>
      <c r="I62" s="43">
        <v>1604402.18</v>
      </c>
      <c r="J62" s="43">
        <v>1692607.32</v>
      </c>
      <c r="K62" s="43">
        <v>1801079</v>
      </c>
      <c r="L62" s="43">
        <v>1957350</v>
      </c>
      <c r="M62" s="43">
        <v>1801079</v>
      </c>
      <c r="N62" s="43"/>
    </row>
    <row r="63" spans="1:14" ht="15" x14ac:dyDescent="0.2">
      <c r="A63" s="51" t="s">
        <v>141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</row>
    <row r="64" spans="1:14" ht="15" x14ac:dyDescent="0.2">
      <c r="A64" s="51"/>
      <c r="B64" s="43"/>
      <c r="C64" s="43"/>
      <c r="D64" s="43"/>
      <c r="E64" s="43"/>
      <c r="F64" s="43"/>
      <c r="G64" s="43"/>
      <c r="H64" s="43"/>
    </row>
    <row r="65" spans="1:8" ht="15" x14ac:dyDescent="0.2">
      <c r="A65" s="51"/>
      <c r="B65" s="43"/>
      <c r="C65" s="43"/>
      <c r="D65" s="43"/>
      <c r="E65" s="43"/>
      <c r="F65" s="43"/>
      <c r="G65" s="43"/>
      <c r="H65" s="43"/>
    </row>
    <row r="66" spans="1:8" ht="15" x14ac:dyDescent="0.2">
      <c r="A66" s="51"/>
      <c r="B66" s="43"/>
      <c r="C66" s="43"/>
      <c r="D66" s="43"/>
      <c r="E66" s="43"/>
      <c r="F66" s="43"/>
      <c r="G66" s="43"/>
      <c r="H66" s="43"/>
    </row>
    <row r="67" spans="1:8" ht="15" x14ac:dyDescent="0.2">
      <c r="A67" s="51"/>
      <c r="B67" s="43"/>
      <c r="C67" s="43"/>
      <c r="D67" s="43"/>
      <c r="E67" s="43"/>
      <c r="F67" s="43"/>
      <c r="G67" s="43"/>
      <c r="H67" s="43"/>
    </row>
    <row r="68" spans="1:8" ht="15" x14ac:dyDescent="0.2">
      <c r="A68" s="51"/>
      <c r="B68" s="43"/>
      <c r="C68" s="43"/>
      <c r="D68" s="43"/>
      <c r="E68" s="43"/>
      <c r="F68" s="43"/>
      <c r="G68" s="43"/>
      <c r="H68" s="43"/>
    </row>
  </sheetData>
  <mergeCells count="3">
    <mergeCell ref="A3:N3"/>
    <mergeCell ref="A4:N4"/>
    <mergeCell ref="A5:N5"/>
  </mergeCells>
  <printOptions horizontalCentered="1"/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Historical</vt:lpstr>
      <vt:lpstr>Cash Flow</vt:lpstr>
      <vt:lpstr>Historical!Print_Area</vt:lpstr>
    </vt:vector>
  </TitlesOfParts>
  <Company>Dept of Commerce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TSilva</dc:creator>
  <cp:lastModifiedBy>mpaschal</cp:lastModifiedBy>
  <cp:lastPrinted>2016-01-13T18:23:56Z</cp:lastPrinted>
  <dcterms:created xsi:type="dcterms:W3CDTF">2007-10-29T19:25:41Z</dcterms:created>
  <dcterms:modified xsi:type="dcterms:W3CDTF">2016-01-14T16:40:38Z</dcterms:modified>
</cp:coreProperties>
</file>