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0170" yWindow="420" windowWidth="14460" windowHeight="5550" tabRatio="759" activeTab="2"/>
  </bookViews>
  <sheets>
    <sheet name="Savigns Forecast-Attachment 1" sheetId="5" r:id="rId1"/>
    <sheet name="Balancing Acct-Attachment 2" sheetId="3" r:id="rId2"/>
    <sheet name="Projected Exp - Attachment 3" sheetId="2" r:id="rId3"/>
    <sheet name="Irr Prgm Impact - Attachment 4" sheetId="6" r:id="rId4"/>
  </sheets>
  <externalReferences>
    <externalReference r:id="rId5"/>
    <externalReference r:id="rId6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a" hidden="1">#REF!</definedName>
    <definedName name="DUDE" hidden="1">#REF!</definedName>
    <definedName name="limcount" hidden="1">1</definedName>
    <definedName name="_xlnm.Print_Titles" localSheetId="1">'Balancing Acct-Attachment 2'!$5:$5</definedName>
    <definedName name="_xlnm.Print_Titles" localSheetId="2">'Projected Exp - Attachment 3'!$A:$A</definedName>
    <definedName name="retail" localSheetId="2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wrn.All._.Pages." hidden="1">{#N/A,#N/A,FALSE,"Cover";#N/A,#N/A,FALSE,"Lead Sheet";#N/A,#N/A,FALSE,"Interest Expense A ";#N/A,#N/A,FALSE,"Deposits 3 01";#N/A,#N/A,FALSE,"Deposits 3 02";#N/A,#N/A,FALSE,"T-Accounts";#N/A,#N/A,FALSE,"Interest Expense B";#N/A,#N/A,FALSE,"IntRate"}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#REF!</definedName>
    <definedName name="z" hidden="1">#REF!</definedName>
  </definedNames>
  <calcPr calcId="152511"/>
</workbook>
</file>

<file path=xl/calcChain.xml><?xml version="1.0" encoding="utf-8"?>
<calcChain xmlns="http://schemas.openxmlformats.org/spreadsheetml/2006/main">
  <c r="C6" i="6" l="1"/>
  <c r="D6" i="6"/>
  <c r="E6" i="6"/>
  <c r="F6" i="6"/>
  <c r="G6" i="6"/>
  <c r="H6" i="6"/>
  <c r="I6" i="6"/>
  <c r="J6" i="6"/>
  <c r="K6" i="6"/>
  <c r="L6" i="6"/>
  <c r="M6" i="6"/>
  <c r="B6" i="6"/>
  <c r="F24" i="5" l="1"/>
  <c r="B21" i="5"/>
  <c r="B22" i="5" s="1"/>
  <c r="B18" i="5"/>
  <c r="C18" i="5"/>
  <c r="F10" i="5"/>
  <c r="C10" i="5"/>
  <c r="F6" i="5"/>
  <c r="E6" i="5"/>
  <c r="C6" i="5"/>
  <c r="B24" i="5" l="1"/>
  <c r="B32" i="5" s="1"/>
  <c r="B37" i="5" s="1"/>
  <c r="B25" i="5"/>
  <c r="C22" i="5"/>
  <c r="C24" i="5" l="1"/>
  <c r="C25" i="5"/>
  <c r="K28" i="2" l="1"/>
  <c r="Y27" i="2" l="1"/>
  <c r="T28" i="2"/>
  <c r="S28" i="2"/>
  <c r="R28" i="2"/>
  <c r="Q28" i="2"/>
  <c r="P28" i="2"/>
  <c r="O28" i="2"/>
  <c r="N28" i="2"/>
  <c r="M28" i="2"/>
  <c r="H28" i="2"/>
  <c r="K25" i="2"/>
  <c r="Y28" i="2" l="1"/>
  <c r="K24" i="2" l="1"/>
  <c r="K21" i="2"/>
  <c r="K10" i="2"/>
  <c r="K7" i="2"/>
  <c r="K20" i="2"/>
  <c r="K16" i="2"/>
  <c r="K22" i="2" l="1"/>
  <c r="K17" i="2"/>
  <c r="K13" i="2"/>
  <c r="C16" i="2"/>
  <c r="K30" i="2" l="1"/>
  <c r="B20" i="2"/>
  <c r="B16" i="2"/>
  <c r="J20" i="2" l="1"/>
  <c r="J16" i="2"/>
  <c r="J26" i="2" l="1"/>
  <c r="J9" i="2" l="1"/>
  <c r="J13" i="2" l="1"/>
  <c r="J17" i="2"/>
  <c r="J22" i="2"/>
  <c r="J30" i="2" l="1"/>
  <c r="G74" i="3" l="1"/>
  <c r="X24" i="2" l="1"/>
  <c r="W24" i="2"/>
  <c r="V24" i="2"/>
  <c r="U24" i="2"/>
  <c r="T24" i="2"/>
  <c r="S24" i="2"/>
  <c r="R24" i="2"/>
  <c r="Q24" i="2"/>
  <c r="P24" i="2"/>
  <c r="O24" i="2"/>
  <c r="N24" i="2"/>
  <c r="M24" i="2"/>
  <c r="W26" i="2"/>
  <c r="S26" i="2"/>
  <c r="V26" i="2"/>
  <c r="O26" i="2" l="1"/>
  <c r="P26" i="2"/>
  <c r="T26" i="2"/>
  <c r="X26" i="2"/>
  <c r="M26" i="2"/>
  <c r="Q26" i="2"/>
  <c r="U26" i="2"/>
  <c r="N26" i="2"/>
  <c r="R26" i="2"/>
  <c r="D27" i="2"/>
  <c r="H27" i="2" s="1"/>
  <c r="D26" i="2"/>
  <c r="D25" i="2"/>
  <c r="D24" i="2"/>
  <c r="D21" i="2"/>
  <c r="D12" i="2"/>
  <c r="D11" i="2"/>
  <c r="H11" i="2" s="1"/>
  <c r="D10" i="2"/>
  <c r="D8" i="2"/>
  <c r="D7" i="2"/>
  <c r="G12" i="2" l="1"/>
  <c r="F12" i="2"/>
  <c r="E12" i="2"/>
  <c r="H12" i="2"/>
  <c r="G24" i="2"/>
  <c r="E24" i="2"/>
  <c r="H24" i="2" s="1"/>
  <c r="F24" i="2"/>
  <c r="G8" i="2"/>
  <c r="E8" i="2"/>
  <c r="F8" i="2"/>
  <c r="H26" i="2"/>
  <c r="L30" i="2"/>
  <c r="D9" i="2"/>
  <c r="D16" i="2"/>
  <c r="D20" i="2"/>
  <c r="G20" i="2" l="1"/>
  <c r="F20" i="2"/>
  <c r="E20" i="2"/>
  <c r="E16" i="2"/>
  <c r="F16" i="2"/>
  <c r="G16" i="2"/>
  <c r="G9" i="2"/>
  <c r="E9" i="2"/>
  <c r="F9" i="2"/>
  <c r="D13" i="2"/>
  <c r="D22" i="2"/>
  <c r="D17" i="2"/>
  <c r="I10" i="2"/>
  <c r="H16" i="2" l="1"/>
  <c r="H20" i="2"/>
  <c r="D30" i="2"/>
  <c r="D65" i="3" l="1"/>
  <c r="C65" i="3"/>
  <c r="E11" i="3"/>
  <c r="J11" i="3" s="1"/>
  <c r="F11" i="3" l="1"/>
  <c r="Y10" i="2"/>
  <c r="Y7" i="2" l="1"/>
  <c r="N25" i="2"/>
  <c r="O25" i="2"/>
  <c r="P25" i="2"/>
  <c r="Q25" i="2"/>
  <c r="R25" i="2"/>
  <c r="S25" i="2"/>
  <c r="T25" i="2"/>
  <c r="U25" i="2"/>
  <c r="V25" i="2"/>
  <c r="W25" i="2"/>
  <c r="X25" i="2"/>
  <c r="M25" i="2"/>
  <c r="O20" i="2"/>
  <c r="U20" i="2"/>
  <c r="N8" i="2"/>
  <c r="O8" i="2"/>
  <c r="P8" i="2"/>
  <c r="Q8" i="2"/>
  <c r="R8" i="2"/>
  <c r="S8" i="2"/>
  <c r="T8" i="2"/>
  <c r="U8" i="2"/>
  <c r="V8" i="2"/>
  <c r="W8" i="2"/>
  <c r="X8" i="2"/>
  <c r="M8" i="2"/>
  <c r="P20" i="2"/>
  <c r="P16" i="2"/>
  <c r="P17" i="2" s="1"/>
  <c r="B22" i="2"/>
  <c r="AA13" i="2"/>
  <c r="V16" i="2" l="1"/>
  <c r="V17" i="2" s="1"/>
  <c r="S16" i="2"/>
  <c r="S17" i="2" s="1"/>
  <c r="S20" i="2"/>
  <c r="N20" i="2"/>
  <c r="W16" i="2"/>
  <c r="W17" i="2" s="1"/>
  <c r="O16" i="2"/>
  <c r="O17" i="2" s="1"/>
  <c r="V20" i="2"/>
  <c r="Q20" i="2"/>
  <c r="N16" i="2"/>
  <c r="N17" i="2" s="1"/>
  <c r="M20" i="2"/>
  <c r="AA22" i="2"/>
  <c r="R16" i="2"/>
  <c r="R17" i="2" s="1"/>
  <c r="W20" i="2"/>
  <c r="R20" i="2"/>
  <c r="M16" i="2"/>
  <c r="M17" i="2" s="1"/>
  <c r="U16" i="2"/>
  <c r="U17" i="2" s="1"/>
  <c r="Q16" i="2"/>
  <c r="Q17" i="2" s="1"/>
  <c r="X16" i="2"/>
  <c r="X17" i="2" s="1"/>
  <c r="T16" i="2"/>
  <c r="T17" i="2" s="1"/>
  <c r="X20" i="2"/>
  <c r="T20" i="2"/>
  <c r="AA17" i="2"/>
  <c r="H10" i="2"/>
  <c r="AA30" i="2" l="1"/>
  <c r="H25" i="2"/>
  <c r="H7" i="2" l="1"/>
  <c r="I22" i="2"/>
  <c r="I17" i="2"/>
  <c r="I13" i="2"/>
  <c r="I30" i="2" l="1"/>
  <c r="H9" i="2"/>
  <c r="H8" i="2"/>
  <c r="B17" i="2"/>
  <c r="C51" i="3" l="1"/>
  <c r="D51" i="3" l="1"/>
  <c r="Y26" i="2"/>
  <c r="Y20" i="2" l="1"/>
  <c r="Y25" i="2" l="1"/>
  <c r="G17" i="2" l="1"/>
  <c r="F17" i="2"/>
  <c r="E17" i="2"/>
  <c r="C17" i="2"/>
  <c r="C22" i="2" l="1"/>
  <c r="C13" i="2" l="1"/>
  <c r="C30" i="2" s="1"/>
  <c r="C37" i="3"/>
  <c r="C23" i="3"/>
  <c r="C66" i="3" s="1"/>
  <c r="D23" i="3" l="1"/>
  <c r="B13" i="2"/>
  <c r="B30" i="2" s="1"/>
  <c r="M13" i="2" l="1"/>
  <c r="Y24" i="2" l="1"/>
  <c r="X22" i="2"/>
  <c r="W22" i="2"/>
  <c r="V22" i="2"/>
  <c r="U22" i="2"/>
  <c r="T22" i="2"/>
  <c r="S22" i="2"/>
  <c r="R22" i="2"/>
  <c r="Q22" i="2"/>
  <c r="P22" i="2"/>
  <c r="O22" i="2"/>
  <c r="N22" i="2"/>
  <c r="M22" i="2"/>
  <c r="M30" i="2" s="1"/>
  <c r="G22" i="2"/>
  <c r="F22" i="2"/>
  <c r="Y16" i="2"/>
  <c r="Y17" i="2" s="1"/>
  <c r="X13" i="2"/>
  <c r="W13" i="2"/>
  <c r="V13" i="2"/>
  <c r="U13" i="2"/>
  <c r="T13" i="2"/>
  <c r="S13" i="2"/>
  <c r="R13" i="2"/>
  <c r="Q13" i="2"/>
  <c r="P13" i="2"/>
  <c r="O13" i="2"/>
  <c r="N13" i="2"/>
  <c r="F13" i="2"/>
  <c r="E13" i="2"/>
  <c r="Y12" i="2"/>
  <c r="G13" i="2"/>
  <c r="Y11" i="2"/>
  <c r="Y9" i="2"/>
  <c r="Y8" i="2"/>
  <c r="B53" i="3" l="1"/>
  <c r="X30" i="2"/>
  <c r="P30" i="2"/>
  <c r="R30" i="2"/>
  <c r="W30" i="2"/>
  <c r="V30" i="2"/>
  <c r="Q30" i="2"/>
  <c r="O30" i="2"/>
  <c r="N30" i="2"/>
  <c r="U30" i="2"/>
  <c r="T30" i="2"/>
  <c r="S30" i="2"/>
  <c r="G30" i="2"/>
  <c r="F30" i="2"/>
  <c r="Y13" i="2"/>
  <c r="B37" i="3"/>
  <c r="H13" i="2"/>
  <c r="Y21" i="2"/>
  <c r="B50" i="3" l="1"/>
  <c r="B49" i="3"/>
  <c r="B57" i="3"/>
  <c r="B59" i="3"/>
  <c r="B55" i="3"/>
  <c r="B58" i="3"/>
  <c r="B60" i="3"/>
  <c r="B56" i="3"/>
  <c r="B61" i="3"/>
  <c r="B62" i="3"/>
  <c r="B64" i="3"/>
  <c r="B54" i="3"/>
  <c r="B63" i="3"/>
  <c r="Y22" i="2"/>
  <c r="Y30" i="2" s="1"/>
  <c r="B65" i="3" l="1"/>
  <c r="E12" i="3"/>
  <c r="F12" i="3" s="1"/>
  <c r="G11" i="3"/>
  <c r="E13" i="3" l="1"/>
  <c r="F13" i="3" s="1"/>
  <c r="G12" i="3"/>
  <c r="J12" i="3"/>
  <c r="E14" i="3" l="1"/>
  <c r="G13" i="3"/>
  <c r="J13" i="3"/>
  <c r="J14" i="3" l="1"/>
  <c r="F14" i="3"/>
  <c r="E15" i="3" l="1"/>
  <c r="J15" i="3" s="1"/>
  <c r="G14" i="3"/>
  <c r="F15" i="3" l="1"/>
  <c r="E16" i="3" l="1"/>
  <c r="F16" i="3" s="1"/>
  <c r="G15" i="3"/>
  <c r="G16" i="3" l="1"/>
  <c r="J16" i="3"/>
  <c r="H17" i="2" l="1"/>
  <c r="B23" i="3"/>
  <c r="E17" i="3"/>
  <c r="F17" i="3" s="1"/>
  <c r="J17" i="3" l="1"/>
  <c r="E18" i="3"/>
  <c r="G17" i="3"/>
  <c r="J18" i="3" l="1"/>
  <c r="F18" i="3"/>
  <c r="E19" i="3" s="1"/>
  <c r="J19" i="3" l="1"/>
  <c r="G18" i="3"/>
  <c r="F19" i="3"/>
  <c r="E20" i="3" s="1"/>
  <c r="J20" i="3" l="1"/>
  <c r="G19" i="3"/>
  <c r="F20" i="3"/>
  <c r="J21" i="3" l="1"/>
  <c r="F21" i="3"/>
  <c r="G20" i="3"/>
  <c r="E22" i="3" l="1"/>
  <c r="J22" i="3" s="1"/>
  <c r="G21" i="3"/>
  <c r="E23" i="3" l="1"/>
  <c r="F22" i="3"/>
  <c r="E25" i="3" s="1"/>
  <c r="G22" i="3" l="1"/>
  <c r="D37" i="3" l="1"/>
  <c r="F25" i="3" l="1"/>
  <c r="J25" i="3"/>
  <c r="E26" i="3" l="1"/>
  <c r="F26" i="3" s="1"/>
  <c r="G25" i="3"/>
  <c r="J26" i="3" l="1"/>
  <c r="E27" i="3"/>
  <c r="F27" i="3" s="1"/>
  <c r="G26" i="3"/>
  <c r="E28" i="3" l="1"/>
  <c r="F28" i="3" s="1"/>
  <c r="G27" i="3"/>
  <c r="J27" i="3"/>
  <c r="J28" i="3" l="1"/>
  <c r="E29" i="3"/>
  <c r="G28" i="3"/>
  <c r="J29" i="3" l="1"/>
  <c r="F29" i="3"/>
  <c r="E30" i="3" l="1"/>
  <c r="G29" i="3"/>
  <c r="J30" i="3" l="1"/>
  <c r="F30" i="3"/>
  <c r="G30" i="3" s="1"/>
  <c r="E31" i="3" l="1"/>
  <c r="J31" i="3" l="1"/>
  <c r="F31" i="3"/>
  <c r="E32" i="3" l="1"/>
  <c r="G31" i="3"/>
  <c r="J32" i="3" l="1"/>
  <c r="F32" i="3"/>
  <c r="E33" i="3" l="1"/>
  <c r="G32" i="3"/>
  <c r="J33" i="3" l="1"/>
  <c r="F33" i="3"/>
  <c r="E34" i="3" l="1"/>
  <c r="F34" i="3" s="1"/>
  <c r="G33" i="3"/>
  <c r="E35" i="3" l="1"/>
  <c r="F35" i="3" s="1"/>
  <c r="G34" i="3"/>
  <c r="J34" i="3"/>
  <c r="G35" i="3" l="1"/>
  <c r="J35" i="3"/>
  <c r="J36" i="3" l="1"/>
  <c r="E37" i="3"/>
  <c r="F36" i="3"/>
  <c r="E39" i="3" s="1"/>
  <c r="G36" i="3" l="1"/>
  <c r="F39" i="3" l="1"/>
  <c r="E40" i="3" s="1"/>
  <c r="J39" i="3"/>
  <c r="G39" i="3" l="1"/>
  <c r="J40" i="3" l="1"/>
  <c r="F40" i="3"/>
  <c r="E41" i="3" s="1"/>
  <c r="G40" i="3" l="1"/>
  <c r="F41" i="3" l="1"/>
  <c r="E42" i="3" s="1"/>
  <c r="J41" i="3"/>
  <c r="G41" i="3" l="1"/>
  <c r="F42" i="3"/>
  <c r="E43" i="3" s="1"/>
  <c r="J42" i="3" l="1"/>
  <c r="G42" i="3"/>
  <c r="F43" i="3"/>
  <c r="E44" i="3" s="1"/>
  <c r="G43" i="3" l="1"/>
  <c r="F44" i="3"/>
  <c r="E45" i="3" s="1"/>
  <c r="J43" i="3"/>
  <c r="G44" i="3" l="1"/>
  <c r="F45" i="3"/>
  <c r="E46" i="3" s="1"/>
  <c r="J44" i="3"/>
  <c r="G45" i="3" l="1"/>
  <c r="F46" i="3"/>
  <c r="E47" i="3" s="1"/>
  <c r="J45" i="3"/>
  <c r="J46" i="3" l="1"/>
  <c r="F47" i="3"/>
  <c r="G46" i="3"/>
  <c r="J47" i="3" l="1"/>
  <c r="G47" i="3"/>
  <c r="G68" i="3" s="1"/>
  <c r="E22" i="2" l="1"/>
  <c r="E30" i="2" s="1"/>
  <c r="H21" i="2"/>
  <c r="H22" i="2" s="1"/>
  <c r="H30" i="2" s="1"/>
  <c r="B48" i="3" l="1"/>
  <c r="G70" i="3" s="1"/>
  <c r="E48" i="3" l="1"/>
  <c r="F48" i="3" s="1"/>
  <c r="B51" i="3"/>
  <c r="H32" i="2" s="1"/>
  <c r="H33" i="2" s="1"/>
  <c r="J48" i="3" l="1"/>
  <c r="G48" i="3"/>
  <c r="E49" i="3"/>
  <c r="F49" i="3" s="1"/>
  <c r="G49" i="3" s="1"/>
  <c r="E50" i="3" l="1"/>
  <c r="F50" i="3" s="1"/>
  <c r="G50" i="3" s="1"/>
  <c r="J49" i="3"/>
  <c r="E51" i="3" l="1"/>
  <c r="E53" i="3"/>
  <c r="F53" i="3" s="1"/>
  <c r="E54" i="3" s="1"/>
  <c r="J50" i="3"/>
  <c r="J53" i="3" l="1"/>
  <c r="J54" i="3" s="1"/>
  <c r="G53" i="3"/>
  <c r="F54" i="3"/>
  <c r="E55" i="3" s="1"/>
  <c r="J55" i="3" l="1"/>
  <c r="G54" i="3"/>
  <c r="F55" i="3"/>
  <c r="G55" i="3" l="1"/>
  <c r="E56" i="3"/>
  <c r="F56" i="3" l="1"/>
  <c r="J56" i="3"/>
  <c r="E57" i="3" l="1"/>
  <c r="G56" i="3"/>
  <c r="F57" i="3" l="1"/>
  <c r="J57" i="3"/>
  <c r="E58" i="3" l="1"/>
  <c r="F58" i="3" s="1"/>
  <c r="G57" i="3"/>
  <c r="E59" i="3" l="1"/>
  <c r="F59" i="3" s="1"/>
  <c r="G58" i="3"/>
  <c r="J58" i="3"/>
  <c r="J59" i="3" l="1"/>
  <c r="E60" i="3"/>
  <c r="G59" i="3"/>
  <c r="J60" i="3" l="1"/>
  <c r="F60" i="3"/>
  <c r="G60" i="3" s="1"/>
  <c r="E61" i="3" l="1"/>
  <c r="F61" i="3" s="1"/>
  <c r="J61" i="3" l="1"/>
  <c r="G61" i="3"/>
  <c r="E62" i="3"/>
  <c r="J62" i="3" l="1"/>
  <c r="F62" i="3"/>
  <c r="G62" i="3" s="1"/>
  <c r="E63" i="3" l="1"/>
  <c r="J63" i="3" s="1"/>
  <c r="F63" i="3" l="1"/>
  <c r="E64" i="3" s="1"/>
  <c r="J64" i="3" l="1"/>
  <c r="G71" i="3"/>
  <c r="G72" i="3" s="1"/>
  <c r="G76" i="3" s="1"/>
  <c r="E65" i="3"/>
  <c r="F64" i="3"/>
  <c r="G64" i="3" s="1"/>
  <c r="G63" i="3"/>
</calcChain>
</file>

<file path=xl/comments1.xml><?xml version="1.0" encoding="utf-8"?>
<comments xmlns="http://schemas.openxmlformats.org/spreadsheetml/2006/main">
  <authors>
    <author>Author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EG:</t>
        </r>
        <r>
          <rPr>
            <sz val="9"/>
            <color indexed="81"/>
            <rFont val="Tahoma"/>
            <family val="2"/>
          </rPr>
          <t xml:space="preserve">
Combined with legacy and expansion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Accruals are not broken out by sector. All WSB accruals will appear under Comm.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SG:</t>
        </r>
        <r>
          <rPr>
            <sz val="9"/>
            <color indexed="81"/>
            <rFont val="Tahoma"/>
            <family val="2"/>
          </rPr>
          <t xml:space="preserve">
Assumes 18 MW capacity at site, cosistent with future 10 year budget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EG:</t>
        </r>
        <r>
          <rPr>
            <sz val="9"/>
            <color indexed="81"/>
            <rFont val="Tahoma"/>
            <family val="2"/>
          </rPr>
          <t xml:space="preserve">
Actual expenditures post at program level</t>
        </r>
      </text>
    </comment>
  </commentList>
</comments>
</file>

<file path=xl/sharedStrings.xml><?xml version="1.0" encoding="utf-8"?>
<sst xmlns="http://schemas.openxmlformats.org/spreadsheetml/2006/main" count="193" uniqueCount="125">
  <si>
    <t>Residential Programs</t>
  </si>
  <si>
    <t>Low Income (Sch. 118)</t>
  </si>
  <si>
    <t>New Construction (Sch. 110)</t>
  </si>
  <si>
    <t>Total DSM Program Expenditures</t>
  </si>
  <si>
    <t xml:space="preserve"> </t>
  </si>
  <si>
    <t>DSM Program Expenditures &amp; Revenues</t>
  </si>
  <si>
    <t>Jan - Dec</t>
  </si>
  <si>
    <t>Home Energy Reports (Sch N/A)</t>
  </si>
  <si>
    <t>YTD Balance</t>
  </si>
  <si>
    <t>Projected</t>
  </si>
  <si>
    <t>Attachment A</t>
  </si>
  <si>
    <t>Utah Demand-Side Management Balance Account Analysis</t>
  </si>
  <si>
    <t/>
  </si>
  <si>
    <t>Monthly Program Costs - Fixed Assets</t>
  </si>
  <si>
    <t>Accrued Program Costs</t>
  </si>
  <si>
    <t>Rate Recovery</t>
  </si>
  <si>
    <t xml:space="preserve">Carrying Charge </t>
  </si>
  <si>
    <t>Cash Basis Accumulated Balance</t>
  </si>
  <si>
    <t xml:space="preserve">Accrual Based Accumulated Balance </t>
  </si>
  <si>
    <t>AFUDC Rate</t>
  </si>
  <si>
    <t xml:space="preserve">Accumulated Balance Total Carrying Costs 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</si>
  <si>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</si>
  <si>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</si>
  <si>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</si>
  <si>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</si>
  <si>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</si>
  <si>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</si>
  <si>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</si>
  <si>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</si>
  <si>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</si>
  <si>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</si>
  <si>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</si>
  <si>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</si>
  <si>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2011 totals</t>
  </si>
  <si>
    <t>2012 totals</t>
  </si>
  <si>
    <t>2013 totals</t>
  </si>
  <si>
    <t>2014 totals</t>
  </si>
  <si>
    <t>Accrual</t>
  </si>
  <si>
    <t>Forecast</t>
  </si>
  <si>
    <t>Notes:</t>
  </si>
  <si>
    <t>2015 totals</t>
  </si>
  <si>
    <t>Refrigerator Recycle (Sch. 117)</t>
  </si>
  <si>
    <t>Home Energy Savings Incentive Prgm (Sch. 111)</t>
  </si>
  <si>
    <t>Commercial Sector Programs</t>
  </si>
  <si>
    <t>wattsmart business (Sch. 140)</t>
  </si>
  <si>
    <t>Industrial Irrigation Load Control (Sch. N/A)</t>
  </si>
  <si>
    <t>Outreach and Communications</t>
  </si>
  <si>
    <t>Portfolio (Technical Reference Library &amp; DSM Central)</t>
  </si>
  <si>
    <t>Program Evaluation Cost</t>
  </si>
  <si>
    <t xml:space="preserve">A/C Load Control Program </t>
  </si>
  <si>
    <t>Student Ambassador - University of Utah</t>
  </si>
  <si>
    <t>Deferred Acct</t>
  </si>
  <si>
    <t>Diff is Accrual at state level</t>
  </si>
  <si>
    <t>2016 totals</t>
  </si>
  <si>
    <t>Forecast DSM expenses through December 2016</t>
  </si>
  <si>
    <t>Forecast carrying charges through December 2016</t>
  </si>
  <si>
    <t>Total expenses through December 2016</t>
  </si>
  <si>
    <t>Total DSM surcharge collections through December 2016</t>
  </si>
  <si>
    <t>Forecast DSM balancing account as of December 31, 2016</t>
  </si>
  <si>
    <t>2015 charges</t>
  </si>
  <si>
    <t>Nov 1, 2014</t>
  </si>
  <si>
    <t>Forecast for approved programs only.</t>
  </si>
  <si>
    <t>2016 Totals</t>
  </si>
  <si>
    <t>2016 Budget</t>
  </si>
  <si>
    <t>Total thru</t>
  </si>
  <si>
    <t>Total Accurals</t>
  </si>
  <si>
    <t>June 2015</t>
  </si>
  <si>
    <t>DSM balancing account as of Sept 30, 2015</t>
  </si>
  <si>
    <t xml:space="preserve">   Figures provided through Sept 2015 are actuals.</t>
  </si>
  <si>
    <t>Sept 2015</t>
  </si>
  <si>
    <t>for Sept</t>
  </si>
  <si>
    <t>Nov 2015</t>
  </si>
  <si>
    <t>Sept 2015 actual expenditures</t>
  </si>
  <si>
    <t>Using current rate of 3.62% in 2016</t>
  </si>
  <si>
    <t xml:space="preserve">   Rate Recovery estimates for 2016 calc from July 23, 2015 forecast from Reg.</t>
  </si>
  <si>
    <t xml:space="preserve">   Rate Recovery estimates for 2015 calc from July 15, 2014 forecast from Reg.</t>
  </si>
  <si>
    <t>2016 Potential Study</t>
  </si>
  <si>
    <t>Industrial Sector Programs</t>
  </si>
  <si>
    <t>Estimated Peak Impact of Irrigation Load Control By Week</t>
  </si>
  <si>
    <t>Program Weeks</t>
  </si>
  <si>
    <t>Estimated Load Reduction (2016)</t>
  </si>
  <si>
    <t>Participating Load (2016)</t>
  </si>
  <si>
    <t>Percent Participating Load</t>
  </si>
  <si>
    <t>Note:</t>
  </si>
  <si>
    <t>Actual impact at peak will be dependent on when monthly peaks occur throughout the 2016 control months</t>
  </si>
  <si>
    <t>Attachment 4</t>
  </si>
  <si>
    <t>Attachment 3</t>
  </si>
  <si>
    <t xml:space="preserve">Attachment 1  </t>
  </si>
  <si>
    <t>2016 Forecast Savings compared to Resource Plan Targets</t>
  </si>
  <si>
    <t xml:space="preserve">Program Forecast </t>
  </si>
  <si>
    <t>2015 Integrated Resource Plan</t>
  </si>
  <si>
    <t>MWH</t>
  </si>
  <si>
    <t>MW</t>
  </si>
  <si>
    <t>Class 1 DSM - Residential, Commercial, Industrial</t>
  </si>
  <si>
    <t>Air Conditioner Load Control - Res. &amp; Small Com. (Sch. 114)</t>
  </si>
  <si>
    <t xml:space="preserve">Irrigation Load Control - Industrial (Sch. N/A) </t>
  </si>
  <si>
    <t>Total Class 1</t>
  </si>
  <si>
    <t>Class 2 DSM - Residential</t>
  </si>
  <si>
    <t>N/A</t>
  </si>
  <si>
    <t>Home Energy Reporting (Sch. N/A)</t>
  </si>
  <si>
    <t>Refrigerator/Freezer Recycle (Sch. 117)</t>
  </si>
  <si>
    <t>Home Energy Savings Incentive (Sch. 111)</t>
  </si>
  <si>
    <t>Total Class 2 Residential</t>
  </si>
  <si>
    <t>Class 2 Non-Residential Programs</t>
  </si>
  <si>
    <t>Total Class 2 Non-Residential</t>
  </si>
  <si>
    <t xml:space="preserve">Total Class 2 </t>
  </si>
  <si>
    <t>Total Class 2 (with HER Incremental Savings)</t>
  </si>
  <si>
    <t>1. Class 2 DSM resource plan results are not selected at a program level (no program level IRP targets available).</t>
  </si>
  <si>
    <t>2. Irrigation forecast represents highest expected realized value during the season (see "Irr Prgm Impact" tab for an estimate by week throughout season).</t>
  </si>
  <si>
    <t>3. Air conditioner load control (Cool Keeper) forecast represents the expected contribution/impact available at peak, temperature dependent.</t>
  </si>
  <si>
    <r>
      <t xml:space="preserve">4. Forecast of coincident peak MW for </t>
    </r>
    <r>
      <rPr>
        <b/>
        <i/>
        <sz val="8"/>
        <color theme="1"/>
        <rFont val="Arial"/>
        <family val="2"/>
      </rPr>
      <t>Utah's</t>
    </r>
    <r>
      <rPr>
        <sz val="8"/>
        <color theme="1"/>
        <rFont val="Arial"/>
        <family val="2"/>
      </rPr>
      <t xml:space="preserve"> Class 2 DSM resource is dervied through the following formula:</t>
    </r>
  </si>
  <si>
    <t xml:space="preserve">     Forecasted Class 2 DSM energy savings</t>
  </si>
  <si>
    <t>MWh</t>
  </si>
  <si>
    <t xml:space="preserve">     Divided by 2016 Utah energy selections from the 2015 IRP Appendix D</t>
  </si>
  <si>
    <t xml:space="preserve">     Multiplied by Utah 2016 non-coincident peak value from 2015 IRP Table 8.7</t>
  </si>
  <si>
    <t xml:space="preserve">     Divided by system-East non-coincident peak value from the 2015 IRP Table 8.7</t>
  </si>
  <si>
    <t xml:space="preserve">     Multiplied by system-East coincident peak value from the 2015 IRP Table 8.8</t>
  </si>
  <si>
    <t xml:space="preserve">     Estimated coincident peak impact of 2016 Utah Class 2 DSM programs</t>
  </si>
  <si>
    <t>5. 2015 IRP Utah 2016 Class 2 DSM coincident peak contribution from supporting data used to create 2015 IRP Table 8.8</t>
  </si>
  <si>
    <t xml:space="preserve">6. Total Class 2 MWh and MW forecasts include total projected impacts of Home Energy Reporting (HER) spending in 2016. For consistency with IRP </t>
  </si>
  <si>
    <t xml:space="preserve">    modeling, Class 2 MWh and MW totals including only new HER impacts (above those achieved in 2015) is also provided.</t>
  </si>
  <si>
    <t>Split for WSB portfolio program cost based on Sept YTD 2015 kWh savings (64%/36%)</t>
  </si>
  <si>
    <t>Bill credits are included in WSB program costs</t>
  </si>
  <si>
    <t>Accruals added to capture full cost through Sept</t>
  </si>
  <si>
    <t>2016 expected impact is based on weekly load availability results for Utah's irrigation program during the 2014 and 2015 control season.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</si>
</sst>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General_)"/>
    <numFmt numFmtId="167" formatCode="0.000000"/>
    <numFmt numFmtId="168" formatCode="&quot;$&quot;#,##0"/>
    <numFmt numFmtId="169" formatCode="[$-409]d\-mmm;@"/>
    <numFmt numFmtId="170" formatCode="0.0"/>
  </numFmts>
  <fonts count="5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8"/>
      <name val="TimesNewRomanPS"/>
    </font>
    <font>
      <sz val="10"/>
      <name val="LinePrinter"/>
      <family val="3"/>
    </font>
    <font>
      <sz val="11"/>
      <color theme="1"/>
      <name val="Calibri"/>
      <family val="2"/>
      <scheme val="minor"/>
    </font>
    <font>
      <sz val="12"/>
      <name val="Arial MT"/>
    </font>
    <font>
      <sz val="10"/>
      <name val="LinePrinter"/>
    </font>
    <font>
      <sz val="12"/>
      <name val="Arial"/>
      <family val="2"/>
    </font>
    <font>
      <b/>
      <u/>
      <sz val="10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i/>
      <sz val="8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79">
    <xf numFmtId="0" fontId="0" fillId="0" borderId="0"/>
    <xf numFmtId="0" fontId="4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left"/>
    </xf>
    <xf numFmtId="37" fontId="6" fillId="0" borderId="0" applyNumberFormat="0" applyFill="0" applyBorder="0"/>
    <xf numFmtId="9" fontId="1" fillId="0" borderId="0" applyFont="0" applyFill="0" applyBorder="0" applyAlignment="0" applyProtection="0"/>
    <xf numFmtId="166" fontId="7" fillId="0" borderId="0">
      <alignment horizontal="left"/>
    </xf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8" fillId="0" borderId="0"/>
    <xf numFmtId="0" fontId="9" fillId="0" borderId="0"/>
    <xf numFmtId="9" fontId="3" fillId="0" borderId="0" applyFont="0" applyFill="0" applyBorder="0" applyAlignment="0" applyProtection="0"/>
    <xf numFmtId="166" fontId="10" fillId="0" borderId="0">
      <alignment horizontal="left"/>
    </xf>
    <xf numFmtId="4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7" applyNumberFormat="0" applyAlignment="0" applyProtection="0"/>
    <xf numFmtId="0" fontId="27" fillId="8" borderId="8" applyNumberFormat="0" applyAlignment="0" applyProtection="0"/>
    <xf numFmtId="0" fontId="28" fillId="8" borderId="7" applyNumberFormat="0" applyAlignment="0" applyProtection="0"/>
    <xf numFmtId="0" fontId="29" fillId="0" borderId="9" applyNumberFormat="0" applyFill="0" applyAlignment="0" applyProtection="0"/>
    <xf numFmtId="0" fontId="30" fillId="9" borderId="10" applyNumberFormat="0" applyAlignment="0" applyProtection="0"/>
    <xf numFmtId="0" fontId="31" fillId="0" borderId="0" applyNumberFormat="0" applyFill="0" applyBorder="0" applyAlignment="0" applyProtection="0"/>
    <xf numFmtId="0" fontId="8" fillId="10" borderId="1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34" fillId="34" borderId="0" applyNumberFormat="0" applyBorder="0" applyAlignment="0" applyProtection="0"/>
    <xf numFmtId="166" fontId="7" fillId="0" borderId="0">
      <alignment horizontal="left"/>
    </xf>
    <xf numFmtId="0" fontId="8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3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89">
    <xf numFmtId="0" fontId="0" fillId="0" borderId="0" xfId="0"/>
    <xf numFmtId="0" fontId="3" fillId="0" borderId="0" xfId="1" applyFont="1" applyFill="1"/>
    <xf numFmtId="164" fontId="3" fillId="0" borderId="0" xfId="2" applyNumberFormat="1" applyFont="1" applyFill="1"/>
    <xf numFmtId="164" fontId="3" fillId="0" borderId="2" xfId="2" applyNumberFormat="1" applyFont="1" applyFill="1" applyBorder="1"/>
    <xf numFmtId="164" fontId="3" fillId="0" borderId="0" xfId="2" applyNumberFormat="1" applyFont="1" applyFill="1" applyBorder="1"/>
    <xf numFmtId="0" fontId="2" fillId="0" borderId="0" xfId="1" applyFont="1" applyFill="1"/>
    <xf numFmtId="165" fontId="2" fillId="0" borderId="0" xfId="3" applyNumberFormat="1" applyFont="1" applyFill="1" applyBorder="1"/>
    <xf numFmtId="0" fontId="2" fillId="0" borderId="0" xfId="1" quotePrefix="1" applyFont="1" applyFill="1" applyAlignment="1">
      <alignment horizontal="left"/>
    </xf>
    <xf numFmtId="0" fontId="3" fillId="0" borderId="0" xfId="1" applyFont="1" applyFill="1" applyAlignment="1">
      <alignment horizontal="left" indent="1"/>
    </xf>
    <xf numFmtId="0" fontId="2" fillId="0" borderId="0" xfId="1" applyFont="1" applyFill="1" applyAlignment="1">
      <alignment horizontal="center"/>
    </xf>
    <xf numFmtId="0" fontId="3" fillId="0" borderId="0" xfId="1" applyFont="1" applyFill="1" applyBorder="1"/>
    <xf numFmtId="17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7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39" fontId="2" fillId="0" borderId="0" xfId="1" applyNumberFormat="1" applyFont="1" applyFill="1" applyBorder="1" applyAlignment="1">
      <alignment horizontal="center"/>
    </xf>
    <xf numFmtId="167" fontId="3" fillId="0" borderId="0" xfId="1" applyNumberFormat="1" applyFont="1" applyFill="1"/>
    <xf numFmtId="168" fontId="3" fillId="0" borderId="0" xfId="2" applyNumberFormat="1" applyFont="1" applyFill="1"/>
    <xf numFmtId="0" fontId="2" fillId="0" borderId="0" xfId="0" applyFont="1" applyFill="1" applyAlignment="1" applyProtection="1">
      <alignment horizontal="centerContinuous" vertical="center"/>
      <protection locked="0"/>
    </xf>
    <xf numFmtId="0" fontId="12" fillId="0" borderId="0" xfId="0" applyFont="1" applyFill="1" applyAlignment="1" applyProtection="1">
      <alignment horizontal="centerContinuous" vertical="center"/>
      <protection locked="0"/>
    </xf>
    <xf numFmtId="0" fontId="3" fillId="0" borderId="0" xfId="0" applyFont="1" applyFill="1" applyAlignment="1" applyProtection="1">
      <alignment horizontal="centerContinuous" vertical="center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Fill="1" applyAlignment="1" applyProtection="1">
      <protection locked="0"/>
    </xf>
    <xf numFmtId="0" fontId="13" fillId="0" borderId="0" xfId="8" applyFont="1" applyAlignment="1" applyProtection="1">
      <alignment horizontal="centerContinuous"/>
      <protection locked="0"/>
    </xf>
    <xf numFmtId="0" fontId="14" fillId="0" borderId="0" xfId="8" applyFont="1" applyAlignment="1" applyProtection="1">
      <alignment horizontal="center"/>
      <protection locked="0"/>
    </xf>
    <xf numFmtId="0" fontId="14" fillId="0" borderId="0" xfId="8" applyFont="1" applyAlignment="1" applyProtection="1">
      <protection locked="0"/>
    </xf>
    <xf numFmtId="0" fontId="3" fillId="0" borderId="0" xfId="8" applyFont="1"/>
    <xf numFmtId="0" fontId="15" fillId="0" borderId="0" xfId="0" applyFont="1"/>
    <xf numFmtId="0" fontId="16" fillId="0" borderId="0" xfId="8" quotePrefix="1" applyFont="1" applyFill="1" applyAlignment="1" applyProtection="1">
      <alignment horizontal="center"/>
      <protection locked="0"/>
    </xf>
    <xf numFmtId="0" fontId="14" fillId="0" borderId="0" xfId="8" quotePrefix="1" applyFont="1" applyAlignment="1" applyProtection="1">
      <alignment horizontal="center"/>
      <protection locked="0"/>
    </xf>
    <xf numFmtId="0" fontId="14" fillId="0" borderId="0" xfId="8" applyFont="1"/>
    <xf numFmtId="0" fontId="14" fillId="0" borderId="0" xfId="8" quotePrefix="1" applyFont="1" applyFill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40" fontId="18" fillId="0" borderId="0" xfId="0" quotePrefix="1" applyNumberFormat="1" applyFont="1" applyFill="1" applyAlignment="1" applyProtection="1">
      <alignment horizontal="center" wrapText="1"/>
      <protection locked="0"/>
    </xf>
    <xf numFmtId="10" fontId="18" fillId="0" borderId="0" xfId="0" quotePrefix="1" applyNumberFormat="1" applyFont="1" applyFill="1" applyAlignment="1" applyProtection="1">
      <alignment horizontal="center" wrapText="1"/>
      <protection locked="0"/>
    </xf>
    <xf numFmtId="0" fontId="2" fillId="0" borderId="0" xfId="0" applyFont="1" applyFill="1" applyAlignment="1" applyProtection="1">
      <protection locked="0"/>
    </xf>
    <xf numFmtId="0" fontId="2" fillId="0" borderId="0" xfId="8" applyFont="1" applyFill="1" applyAlignment="1" applyProtection="1">
      <alignment horizontal="center"/>
      <protection locked="0"/>
    </xf>
    <xf numFmtId="44" fontId="3" fillId="0" borderId="0" xfId="8" applyNumberFormat="1" applyFont="1" applyFill="1" applyBorder="1" applyAlignment="1" applyProtection="1">
      <protection locked="0"/>
    </xf>
    <xf numFmtId="10" fontId="3" fillId="0" borderId="0" xfId="16" applyNumberFormat="1" applyFont="1" applyAlignment="1" applyProtection="1">
      <alignment horizontal="center"/>
      <protection locked="0"/>
    </xf>
    <xf numFmtId="44" fontId="3" fillId="0" borderId="0" xfId="8" applyNumberFormat="1" applyFont="1" applyFill="1" applyAlignment="1" applyProtection="1">
      <protection locked="0"/>
    </xf>
    <xf numFmtId="44" fontId="2" fillId="0" borderId="0" xfId="12" quotePrefix="1" applyFont="1" applyAlignment="1" applyProtection="1">
      <alignment horizontal="center"/>
      <protection locked="0"/>
    </xf>
    <xf numFmtId="10" fontId="3" fillId="0" borderId="0" xfId="8" applyNumberFormat="1" applyFont="1" applyAlignment="1" applyProtection="1">
      <protection locked="0"/>
    </xf>
    <xf numFmtId="44" fontId="3" fillId="0" borderId="0" xfId="12" applyFont="1" applyAlignment="1" applyProtection="1">
      <alignment horizontal="center"/>
      <protection locked="0"/>
    </xf>
    <xf numFmtId="0" fontId="3" fillId="0" borderId="0" xfId="8" applyFont="1" applyAlignment="1" applyProtection="1">
      <protection locked="0"/>
    </xf>
    <xf numFmtId="0" fontId="3" fillId="0" borderId="0" xfId="8" applyFont="1" applyFill="1" applyAlignment="1" applyProtection="1">
      <protection locked="0"/>
    </xf>
    <xf numFmtId="0" fontId="3" fillId="0" borderId="0" xfId="8" applyFont="1" applyBorder="1" applyAlignment="1" applyProtection="1">
      <protection locked="0"/>
    </xf>
    <xf numFmtId="0" fontId="3" fillId="0" borderId="0" xfId="8" applyFont="1" applyFill="1" applyBorder="1" applyAlignment="1" applyProtection="1">
      <protection locked="0"/>
    </xf>
    <xf numFmtId="0" fontId="3" fillId="0" borderId="0" xfId="8" applyFont="1" applyFill="1"/>
    <xf numFmtId="0" fontId="3" fillId="0" borderId="0" xfId="80" applyFont="1" applyFill="1"/>
    <xf numFmtId="0" fontId="3" fillId="0" borderId="0" xfId="80" applyFill="1"/>
    <xf numFmtId="0" fontId="3" fillId="0" borderId="0" xfId="80" applyFont="1" applyFill="1" applyBorder="1" applyAlignment="1" applyProtection="1">
      <protection locked="0"/>
    </xf>
    <xf numFmtId="0" fontId="3" fillId="0" borderId="0" xfId="80" applyFont="1" applyFill="1" applyAlignment="1">
      <alignment horizontal="left" indent="1"/>
    </xf>
    <xf numFmtId="37" fontId="2" fillId="0" borderId="0" xfId="1" applyNumberFormat="1" applyFont="1" applyFill="1" applyAlignment="1" applyProtection="1">
      <protection locked="0"/>
    </xf>
    <xf numFmtId="37" fontId="2" fillId="0" borderId="0" xfId="1" applyNumberFormat="1" applyFont="1" applyFill="1"/>
    <xf numFmtId="37" fontId="2" fillId="0" borderId="0" xfId="1" applyNumberFormat="1" applyFont="1" applyFill="1" applyAlignment="1">
      <alignment horizontal="center"/>
    </xf>
    <xf numFmtId="37" fontId="3" fillId="0" borderId="0" xfId="1" applyNumberFormat="1" applyFont="1" applyFill="1"/>
    <xf numFmtId="37" fontId="2" fillId="0" borderId="0" xfId="1" applyNumberFormat="1" applyFont="1" applyFill="1" applyAlignment="1">
      <alignment horizontal="right"/>
    </xf>
    <xf numFmtId="37" fontId="3" fillId="0" borderId="0" xfId="1" applyNumberFormat="1" applyFont="1" applyFill="1" applyAlignment="1">
      <alignment horizontal="right"/>
    </xf>
    <xf numFmtId="37" fontId="2" fillId="0" borderId="0" xfId="1" quotePrefix="1" applyNumberFormat="1" applyFont="1" applyFill="1" applyAlignment="1">
      <alignment horizontal="center"/>
    </xf>
    <xf numFmtId="164" fontId="3" fillId="0" borderId="0" xfId="85" applyNumberFormat="1" applyFont="1" applyFill="1"/>
    <xf numFmtId="0" fontId="2" fillId="0" borderId="0" xfId="1" applyFont="1" applyFill="1" applyBorder="1"/>
    <xf numFmtId="164" fontId="3" fillId="0" borderId="0" xfId="8" applyNumberFormat="1" applyFont="1" applyFill="1" applyAlignment="1" applyProtection="1">
      <protection locked="0"/>
    </xf>
    <xf numFmtId="164" fontId="3" fillId="0" borderId="0" xfId="8" applyNumberFormat="1" applyFont="1" applyAlignment="1" applyProtection="1">
      <protection locked="0"/>
    </xf>
    <xf numFmtId="164" fontId="3" fillId="0" borderId="0" xfId="12" applyNumberFormat="1" applyFont="1" applyBorder="1" applyAlignment="1" applyProtection="1">
      <protection locked="0"/>
    </xf>
    <xf numFmtId="164" fontId="3" fillId="0" borderId="0" xfId="12" applyNumberFormat="1" applyFont="1" applyAlignment="1" applyProtection="1">
      <protection locked="0"/>
    </xf>
    <xf numFmtId="164" fontId="3" fillId="0" borderId="2" xfId="12" applyNumberFormat="1" applyFont="1" applyBorder="1" applyAlignment="1" applyProtection="1">
      <protection locked="0"/>
    </xf>
    <xf numFmtId="164" fontId="3" fillId="2" borderId="0" xfId="8" applyNumberFormat="1" applyFont="1" applyFill="1" applyAlignment="1" applyProtection="1">
      <protection locked="0"/>
    </xf>
    <xf numFmtId="164" fontId="3" fillId="3" borderId="0" xfId="8" applyNumberFormat="1" applyFont="1" applyFill="1" applyAlignment="1" applyProtection="1">
      <protection locked="0"/>
    </xf>
    <xf numFmtId="164" fontId="15" fillId="0" borderId="0" xfId="0" applyNumberFormat="1" applyFont="1"/>
    <xf numFmtId="164" fontId="15" fillId="0" borderId="2" xfId="0" applyNumberFormat="1" applyFont="1" applyBorder="1"/>
    <xf numFmtId="164" fontId="15" fillId="0" borderId="3" xfId="0" applyNumberFormat="1" applyFont="1" applyBorder="1"/>
    <xf numFmtId="164" fontId="3" fillId="0" borderId="0" xfId="8" applyNumberFormat="1" applyFont="1" applyFill="1" applyBorder="1" applyAlignment="1" applyProtection="1">
      <protection locked="0"/>
    </xf>
    <xf numFmtId="164" fontId="3" fillId="0" borderId="2" xfId="12" applyNumberFormat="1" applyFont="1" applyFill="1" applyBorder="1" applyAlignment="1" applyProtection="1">
      <protection locked="0"/>
    </xf>
    <xf numFmtId="164" fontId="3" fillId="0" borderId="0" xfId="12" applyNumberFormat="1" applyFont="1" applyFill="1" applyAlignment="1" applyProtection="1">
      <protection locked="0"/>
    </xf>
    <xf numFmtId="44" fontId="3" fillId="0" borderId="0" xfId="12" applyFont="1" applyFill="1" applyAlignment="1" applyProtection="1">
      <alignment horizontal="center"/>
      <protection locked="0"/>
    </xf>
    <xf numFmtId="164" fontId="3" fillId="0" borderId="0" xfId="12" applyNumberFormat="1" applyFont="1" applyFill="1" applyBorder="1" applyAlignment="1" applyProtection="1">
      <protection locked="0"/>
    </xf>
    <xf numFmtId="164" fontId="15" fillId="0" borderId="0" xfId="0" applyNumberFormat="1" applyFont="1" applyFill="1"/>
    <xf numFmtId="0" fontId="15" fillId="0" borderId="0" xfId="0" applyFont="1" applyFill="1"/>
    <xf numFmtId="0" fontId="3" fillId="0" borderId="0" xfId="64" applyFont="1" applyFill="1" applyAlignment="1">
      <alignment horizontal="left" indent="1"/>
    </xf>
    <xf numFmtId="0" fontId="3" fillId="0" borderId="0" xfId="64" applyFont="1" applyFill="1" applyAlignment="1">
      <alignment horizontal="left" indent="1"/>
    </xf>
    <xf numFmtId="0" fontId="3" fillId="0" borderId="0" xfId="64" applyFont="1" applyFill="1" applyAlignment="1">
      <alignment horizontal="left" indent="1"/>
    </xf>
    <xf numFmtId="37" fontId="3" fillId="0" borderId="2" xfId="2" applyNumberFormat="1" applyFont="1" applyFill="1" applyBorder="1" applyAlignment="1">
      <alignment horizontal="right"/>
    </xf>
    <xf numFmtId="164" fontId="3" fillId="0" borderId="0" xfId="85" applyNumberFormat="1" applyFont="1" applyFill="1" applyAlignment="1">
      <alignment horizontal="left" indent="1"/>
    </xf>
    <xf numFmtId="41" fontId="3" fillId="0" borderId="0" xfId="85" applyNumberFormat="1" applyFont="1" applyFill="1" applyAlignment="1">
      <alignment horizontal="left" indent="1"/>
    </xf>
    <xf numFmtId="164" fontId="3" fillId="0" borderId="0" xfId="85" applyNumberFormat="1" applyFont="1" applyFill="1" applyAlignment="1">
      <alignment horizontal="right" indent="1"/>
    </xf>
    <xf numFmtId="164" fontId="3" fillId="0" borderId="0" xfId="85" applyNumberFormat="1" applyFont="1" applyFill="1" applyBorder="1"/>
    <xf numFmtId="164" fontId="3" fillId="0" borderId="0" xfId="85" applyNumberFormat="1" applyFont="1" applyFill="1" applyAlignment="1">
      <alignment horizontal="right"/>
    </xf>
    <xf numFmtId="0" fontId="2" fillId="0" borderId="0" xfId="1" applyFont="1" applyFill="1" applyAlignment="1">
      <alignment horizontal="left"/>
    </xf>
    <xf numFmtId="164" fontId="3" fillId="0" borderId="0" xfId="1" applyNumberFormat="1" applyFont="1" applyFill="1"/>
    <xf numFmtId="168" fontId="3" fillId="0" borderId="2" xfId="2" applyNumberFormat="1" applyFont="1" applyFill="1" applyBorder="1"/>
    <xf numFmtId="43" fontId="3" fillId="0" borderId="0" xfId="2" applyNumberFormat="1" applyFont="1" applyFill="1"/>
    <xf numFmtId="168" fontId="3" fillId="0" borderId="0" xfId="2" applyNumberFormat="1" applyFont="1" applyFill="1" applyBorder="1"/>
    <xf numFmtId="168" fontId="2" fillId="0" borderId="0" xfId="3" applyNumberFormat="1" applyFont="1" applyFill="1" applyBorder="1"/>
    <xf numFmtId="0" fontId="3" fillId="0" borderId="0" xfId="1" applyFont="1" applyFill="1" applyAlignment="1">
      <alignment horizontal="right"/>
    </xf>
    <xf numFmtId="3" fontId="3" fillId="0" borderId="0" xfId="2" applyNumberFormat="1" applyFont="1" applyFill="1" applyBorder="1"/>
    <xf numFmtId="3" fontId="3" fillId="0" borderId="0" xfId="1" applyNumberFormat="1" applyFont="1" applyFill="1"/>
    <xf numFmtId="10" fontId="3" fillId="0" borderId="0" xfId="12" applyNumberFormat="1" applyFont="1" applyAlignment="1" applyProtection="1">
      <alignment horizontal="right"/>
      <protection locked="0"/>
    </xf>
    <xf numFmtId="164" fontId="3" fillId="0" borderId="13" xfId="12" applyNumberFormat="1" applyFont="1" applyBorder="1" applyAlignment="1" applyProtection="1">
      <protection locked="0"/>
    </xf>
    <xf numFmtId="164" fontId="15" fillId="0" borderId="0" xfId="0" applyNumberFormat="1" applyFont="1" applyBorder="1"/>
    <xf numFmtId="164" fontId="3" fillId="0" borderId="0" xfId="2" applyNumberFormat="1" applyFont="1" applyFill="1" applyAlignment="1">
      <alignment horizontal="right"/>
    </xf>
    <xf numFmtId="9" fontId="0" fillId="0" borderId="0" xfId="0" applyNumberFormat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/>
    <xf numFmtId="0" fontId="39" fillId="0" borderId="14" xfId="0" applyFont="1" applyBorder="1"/>
    <xf numFmtId="169" fontId="39" fillId="0" borderId="14" xfId="0" applyNumberFormat="1" applyFont="1" applyFill="1" applyBorder="1" applyAlignment="1">
      <alignment horizontal="center"/>
    </xf>
    <xf numFmtId="0" fontId="39" fillId="0" borderId="15" xfId="0" applyFont="1" applyBorder="1"/>
    <xf numFmtId="1" fontId="39" fillId="0" borderId="15" xfId="0" applyNumberFormat="1" applyFont="1" applyBorder="1" applyAlignment="1">
      <alignment horizontal="center"/>
    </xf>
    <xf numFmtId="0" fontId="39" fillId="0" borderId="15" xfId="0" applyFont="1" applyBorder="1" applyAlignment="1">
      <alignment horizontal="left"/>
    </xf>
    <xf numFmtId="0" fontId="39" fillId="0" borderId="16" xfId="0" applyFont="1" applyBorder="1"/>
    <xf numFmtId="9" fontId="39" fillId="0" borderId="16" xfId="0" applyNumberFormat="1" applyFont="1" applyBorder="1" applyAlignment="1">
      <alignment horizontal="center"/>
    </xf>
    <xf numFmtId="9" fontId="39" fillId="0" borderId="0" xfId="0" applyNumberFormat="1" applyFont="1" applyAlignment="1">
      <alignment horizontal="center"/>
    </xf>
    <xf numFmtId="0" fontId="38" fillId="0" borderId="0" xfId="0" applyFont="1"/>
    <xf numFmtId="0" fontId="43" fillId="0" borderId="0" xfId="1" applyFont="1" applyFill="1"/>
    <xf numFmtId="0" fontId="2" fillId="0" borderId="0" xfId="0" applyFont="1"/>
    <xf numFmtId="0" fontId="39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39" fillId="0" borderId="0" xfId="0" applyFont="1" applyFill="1" applyBorder="1"/>
    <xf numFmtId="0" fontId="39" fillId="0" borderId="0" xfId="0" applyFont="1" applyFill="1"/>
    <xf numFmtId="0" fontId="40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3" fontId="45" fillId="0" borderId="0" xfId="10" applyNumberFormat="1" applyFont="1" applyAlignment="1">
      <alignment horizontal="right"/>
    </xf>
    <xf numFmtId="3" fontId="45" fillId="0" borderId="0" xfId="10" applyNumberFormat="1" applyFont="1" applyAlignment="1">
      <alignment horizontal="center"/>
    </xf>
    <xf numFmtId="3" fontId="45" fillId="0" borderId="0" xfId="10" applyNumberFormat="1" applyFont="1" applyFill="1" applyBorder="1"/>
    <xf numFmtId="3" fontId="45" fillId="0" borderId="0" xfId="0" applyNumberFormat="1" applyFont="1" applyAlignment="1">
      <alignment horizontal="center"/>
    </xf>
    <xf numFmtId="3" fontId="45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left" indent="1"/>
    </xf>
    <xf numFmtId="3" fontId="45" fillId="0" borderId="0" xfId="10" applyNumberFormat="1" applyFont="1" applyFill="1" applyAlignment="1">
      <alignment horizontal="center"/>
    </xf>
    <xf numFmtId="3" fontId="45" fillId="0" borderId="0" xfId="10" applyNumberFormat="1" applyFont="1" applyFill="1" applyBorder="1" applyAlignment="1">
      <alignment horizontal="center"/>
    </xf>
    <xf numFmtId="3" fontId="45" fillId="0" borderId="1" xfId="0" applyNumberFormat="1" applyFont="1" applyBorder="1" applyAlignment="1">
      <alignment horizontal="right"/>
    </xf>
    <xf numFmtId="3" fontId="45" fillId="0" borderId="1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left"/>
    </xf>
    <xf numFmtId="0" fontId="42" fillId="0" borderId="0" xfId="0" applyFont="1" applyAlignment="1">
      <alignment horizontal="left" indent="1"/>
    </xf>
    <xf numFmtId="3" fontId="45" fillId="0" borderId="3" xfId="0" applyNumberFormat="1" applyFont="1" applyBorder="1" applyAlignment="1">
      <alignment horizontal="right"/>
    </xf>
    <xf numFmtId="3" fontId="45" fillId="0" borderId="3" xfId="0" applyNumberFormat="1" applyFont="1" applyBorder="1" applyAlignment="1">
      <alignment horizontal="center"/>
    </xf>
    <xf numFmtId="3" fontId="45" fillId="0" borderId="0" xfId="0" applyNumberFormat="1" applyFont="1" applyAlignment="1">
      <alignment horizontal="right"/>
    </xf>
    <xf numFmtId="3" fontId="45" fillId="0" borderId="0" xfId="0" applyNumberFormat="1" applyFont="1" applyFill="1" applyBorder="1"/>
    <xf numFmtId="0" fontId="42" fillId="0" borderId="0" xfId="0" applyFont="1"/>
    <xf numFmtId="3" fontId="45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 horizontal="left" indent="1"/>
    </xf>
    <xf numFmtId="3" fontId="45" fillId="0" borderId="0" xfId="10" applyNumberFormat="1" applyFont="1" applyFill="1" applyAlignment="1">
      <alignment horizontal="right"/>
    </xf>
    <xf numFmtId="3" fontId="45" fillId="0" borderId="0" xfId="10" applyNumberFormat="1" applyFont="1" applyFill="1" applyBorder="1" applyAlignment="1">
      <alignment horizontal="right"/>
    </xf>
    <xf numFmtId="3" fontId="45" fillId="0" borderId="2" xfId="0" applyNumberFormat="1" applyFont="1" applyFill="1" applyBorder="1" applyAlignment="1">
      <alignment horizontal="right"/>
    </xf>
    <xf numFmtId="3" fontId="45" fillId="0" borderId="2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right"/>
    </xf>
    <xf numFmtId="0" fontId="3" fillId="0" borderId="0" xfId="0" applyFont="1" applyFill="1"/>
    <xf numFmtId="3" fontId="45" fillId="0" borderId="0" xfId="0" applyNumberFormat="1" applyFont="1" applyFill="1" applyAlignment="1">
      <alignment horizontal="right"/>
    </xf>
    <xf numFmtId="0" fontId="42" fillId="0" borderId="0" xfId="0" applyFont="1" applyFill="1"/>
    <xf numFmtId="3" fontId="45" fillId="0" borderId="0" xfId="0" applyNumberFormat="1" applyFont="1" applyFill="1" applyBorder="1" applyAlignment="1">
      <alignment horizontal="center"/>
    </xf>
    <xf numFmtId="3" fontId="45" fillId="0" borderId="2" xfId="10" applyNumberFormat="1" applyFont="1" applyFill="1" applyBorder="1" applyAlignment="1">
      <alignment horizontal="right"/>
    </xf>
    <xf numFmtId="3" fontId="45" fillId="0" borderId="2" xfId="1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45" fillId="0" borderId="3" xfId="10" applyNumberFormat="1" applyFont="1" applyFill="1" applyBorder="1" applyAlignment="1">
      <alignment horizontal="right"/>
    </xf>
    <xf numFmtId="3" fontId="45" fillId="0" borderId="3" xfId="85" applyNumberFormat="1" applyFont="1" applyFill="1" applyBorder="1" applyAlignment="1">
      <alignment horizontal="center"/>
    </xf>
    <xf numFmtId="3" fontId="45" fillId="0" borderId="3" xfId="0" applyNumberFormat="1" applyFont="1" applyFill="1" applyBorder="1" applyAlignment="1">
      <alignment horizontal="center"/>
    </xf>
    <xf numFmtId="3" fontId="45" fillId="0" borderId="0" xfId="85" applyNumberFormat="1" applyFont="1" applyFill="1" applyBorder="1" applyAlignment="1">
      <alignment horizontal="center"/>
    </xf>
    <xf numFmtId="3" fontId="39" fillId="0" borderId="0" xfId="0" applyNumberFormat="1" applyFont="1" applyAlignment="1">
      <alignment horizontal="center"/>
    </xf>
    <xf numFmtId="0" fontId="46" fillId="0" borderId="0" xfId="0" applyFont="1"/>
    <xf numFmtId="0" fontId="47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47" fillId="0" borderId="0" xfId="0" applyFont="1" applyFill="1" applyBorder="1"/>
    <xf numFmtId="0" fontId="47" fillId="0" borderId="0" xfId="0" applyFont="1"/>
    <xf numFmtId="0" fontId="48" fillId="0" borderId="0" xfId="0" applyFont="1" applyAlignment="1">
      <alignment vertical="center"/>
    </xf>
    <xf numFmtId="0" fontId="39" fillId="0" borderId="0" xfId="0" applyFont="1" applyFill="1" applyAlignment="1">
      <alignment horizontal="center"/>
    </xf>
    <xf numFmtId="0" fontId="0" fillId="0" borderId="0" xfId="0" applyFill="1"/>
    <xf numFmtId="41" fontId="47" fillId="0" borderId="0" xfId="0" applyNumberFormat="1" applyFont="1" applyAlignment="1">
      <alignment horizontal="right"/>
    </xf>
    <xf numFmtId="164" fontId="47" fillId="0" borderId="0" xfId="85" applyNumberFormat="1" applyFont="1" applyAlignment="1">
      <alignment horizontal="right"/>
    </xf>
    <xf numFmtId="0" fontId="47" fillId="0" borderId="19" xfId="0" applyFont="1" applyBorder="1"/>
    <xf numFmtId="43" fontId="47" fillId="0" borderId="19" xfId="0" applyNumberFormat="1" applyFont="1" applyBorder="1" applyAlignment="1">
      <alignment horizontal="right"/>
    </xf>
    <xf numFmtId="0" fontId="47" fillId="0" borderId="19" xfId="0" applyFont="1" applyBorder="1" applyAlignment="1">
      <alignment horizontal="center"/>
    </xf>
    <xf numFmtId="170" fontId="46" fillId="0" borderId="20" xfId="0" applyNumberFormat="1" applyFont="1" applyBorder="1" applyAlignment="1">
      <alignment horizontal="right"/>
    </xf>
    <xf numFmtId="0" fontId="46" fillId="0" borderId="0" xfId="0" applyFont="1" applyAlignment="1">
      <alignment horizontal="center"/>
    </xf>
    <xf numFmtId="0" fontId="46" fillId="0" borderId="0" xfId="0" applyFont="1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45" fillId="0" borderId="0" xfId="0" applyFont="1"/>
    <xf numFmtId="39" fontId="2" fillId="36" borderId="0" xfId="1" quotePrefix="1" applyNumberFormat="1" applyFont="1" applyFill="1" applyBorder="1" applyAlignment="1">
      <alignment horizontal="center"/>
    </xf>
    <xf numFmtId="0" fontId="2" fillId="36" borderId="0" xfId="1" applyFont="1" applyFill="1" applyBorder="1" applyAlignment="1">
      <alignment horizontal="center"/>
    </xf>
    <xf numFmtId="0" fontId="2" fillId="36" borderId="0" xfId="1" applyFont="1" applyFill="1" applyAlignment="1">
      <alignment horizontal="center"/>
    </xf>
    <xf numFmtId="0" fontId="4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0" fillId="35" borderId="17" xfId="0" applyFont="1" applyFill="1" applyBorder="1" applyAlignment="1">
      <alignment horizontal="center" wrapText="1"/>
    </xf>
    <xf numFmtId="0" fontId="40" fillId="35" borderId="18" xfId="0" applyFont="1" applyFill="1" applyBorder="1" applyAlignment="1">
      <alignment horizontal="center" wrapText="1"/>
    </xf>
    <xf numFmtId="0" fontId="2" fillId="0" borderId="0" xfId="0" applyFont="1" applyFill="1" applyAlignment="1" applyProtection="1">
      <alignment horizontal="center" vertical="center"/>
      <protection locked="0"/>
    </xf>
  </cellXfs>
  <cellStyles count="279">
    <cellStyle name="20% - Accent1" xfId="104" builtinId="30" customBuiltin="1"/>
    <cellStyle name="20% - Accent2" xfId="108" builtinId="34" customBuiltin="1"/>
    <cellStyle name="20% - Accent3" xfId="112" builtinId="38" customBuiltin="1"/>
    <cellStyle name="20% - Accent4" xfId="116" builtinId="42" customBuiltin="1"/>
    <cellStyle name="20% - Accent5" xfId="120" builtinId="46" customBuiltin="1"/>
    <cellStyle name="20% - Accent6" xfId="124" builtinId="50" customBuiltin="1"/>
    <cellStyle name="40% - Accent1" xfId="105" builtinId="31" customBuiltin="1"/>
    <cellStyle name="40% - Accent2" xfId="109" builtinId="35" customBuiltin="1"/>
    <cellStyle name="40% - Accent3" xfId="113" builtinId="39" customBuiltin="1"/>
    <cellStyle name="40% - Accent4" xfId="117" builtinId="43" customBuiltin="1"/>
    <cellStyle name="40% - Accent5" xfId="121" builtinId="47" customBuiltin="1"/>
    <cellStyle name="40% - Accent6" xfId="125" builtinId="51" customBuiltin="1"/>
    <cellStyle name="60% - Accent1" xfId="106" builtinId="32" customBuiltin="1"/>
    <cellStyle name="60% - Accent2" xfId="110" builtinId="36" customBuiltin="1"/>
    <cellStyle name="60% - Accent3" xfId="114" builtinId="40" customBuiltin="1"/>
    <cellStyle name="60% - Accent4" xfId="118" builtinId="44" customBuiltin="1"/>
    <cellStyle name="60% - Accent5" xfId="122" builtinId="48" customBuiltin="1"/>
    <cellStyle name="60% - Accent6" xfId="126" builtinId="52" customBuiltin="1"/>
    <cellStyle name="Accent1" xfId="103" builtinId="29" customBuiltin="1"/>
    <cellStyle name="Accent2" xfId="107" builtinId="33" customBuiltin="1"/>
    <cellStyle name="Accent3" xfId="111" builtinId="37" customBuiltin="1"/>
    <cellStyle name="Accent4" xfId="115" builtinId="41" customBuiltin="1"/>
    <cellStyle name="Accent5" xfId="119" builtinId="45" customBuiltin="1"/>
    <cellStyle name="Accent6" xfId="123" builtinId="49" customBuiltin="1"/>
    <cellStyle name="Bad" xfId="92" builtinId="27" customBuiltin="1"/>
    <cellStyle name="Calculation" xfId="96" builtinId="22" customBuiltin="1"/>
    <cellStyle name="Check Cell" xfId="98" builtinId="23" customBuiltin="1"/>
    <cellStyle name="Comma" xfId="85" builtinId="3"/>
    <cellStyle name="Comma 10" xfId="33"/>
    <cellStyle name="Comma 11" xfId="35"/>
    <cellStyle name="Comma 12" xfId="37"/>
    <cellStyle name="Comma 13" xfId="39"/>
    <cellStyle name="Comma 14" xfId="41"/>
    <cellStyle name="Comma 15" xfId="43"/>
    <cellStyle name="Comma 16" xfId="45"/>
    <cellStyle name="Comma 17" xfId="47"/>
    <cellStyle name="Comma 18" xfId="49"/>
    <cellStyle name="Comma 19" xfId="51"/>
    <cellStyle name="Comma 2" xfId="2"/>
    <cellStyle name="Comma 2 2" xfId="11"/>
    <cellStyle name="Comma 2 3" xfId="83"/>
    <cellStyle name="Comma 2 4" xfId="10"/>
    <cellStyle name="Comma 20" xfId="53"/>
    <cellStyle name="Comma 21" xfId="55"/>
    <cellStyle name="Comma 22" xfId="57"/>
    <cellStyle name="Comma 23" xfId="59"/>
    <cellStyle name="Comma 24" xfId="61"/>
    <cellStyle name="Comma 25" xfId="63"/>
    <cellStyle name="Comma 26" xfId="67"/>
    <cellStyle name="Comma 27" xfId="69"/>
    <cellStyle name="Comma 28" xfId="71"/>
    <cellStyle name="Comma 29" xfId="73"/>
    <cellStyle name="Comma 3" xfId="19"/>
    <cellStyle name="Comma 3 2" xfId="158"/>
    <cellStyle name="Comma 3 2 2" xfId="178"/>
    <cellStyle name="Comma 3 2 3" xfId="232"/>
    <cellStyle name="Comma 3 3" xfId="177"/>
    <cellStyle name="Comma 3 4" xfId="231"/>
    <cellStyle name="Comma 3 5" xfId="136"/>
    <cellStyle name="Comma 30" xfId="75"/>
    <cellStyle name="Comma 31" xfId="77"/>
    <cellStyle name="Comma 32" xfId="79"/>
    <cellStyle name="Comma 33" xfId="9"/>
    <cellStyle name="Comma 4" xfId="21"/>
    <cellStyle name="Comma 4 2" xfId="170"/>
    <cellStyle name="Comma 4 2 2" xfId="179"/>
    <cellStyle name="Comma 4 2 3" xfId="233"/>
    <cellStyle name="Comma 4 3" xfId="176"/>
    <cellStyle name="Comma 4 4" xfId="226"/>
    <cellStyle name="Comma 4 5" xfId="230"/>
    <cellStyle name="Comma 5" xfId="23"/>
    <cellStyle name="Comma 5 2" xfId="173"/>
    <cellStyle name="Comma 5 2 2" xfId="181"/>
    <cellStyle name="Comma 5 2 3" xfId="235"/>
    <cellStyle name="Comma 5 3" xfId="180"/>
    <cellStyle name="Comma 5 4" xfId="234"/>
    <cellStyle name="Comma 6" xfId="25"/>
    <cellStyle name="Comma 7" xfId="27"/>
    <cellStyle name="Comma 8" xfId="29"/>
    <cellStyle name="Comma 9" xfId="31"/>
    <cellStyle name="Currency 2" xfId="3"/>
    <cellStyle name="Currency 2 2" xfId="82"/>
    <cellStyle name="Currency 2 3" xfId="13"/>
    <cellStyle name="Currency 3" xfId="18"/>
    <cellStyle name="Currency 3 2" xfId="159"/>
    <cellStyle name="Currency 3 2 2" xfId="183"/>
    <cellStyle name="Currency 3 2 3" xfId="237"/>
    <cellStyle name="Currency 3 3" xfId="182"/>
    <cellStyle name="Currency 3 4" xfId="236"/>
    <cellStyle name="Currency 3 5" xfId="137"/>
    <cellStyle name="Currency 4" xfId="12"/>
    <cellStyle name="Explanatory Text" xfId="101" builtinId="53" customBuiltin="1"/>
    <cellStyle name="General" xfId="4"/>
    <cellStyle name="Good" xfId="91" builtinId="26" customBuiltin="1"/>
    <cellStyle name="Heading 1" xfId="87" builtinId="16" customBuiltin="1"/>
    <cellStyle name="Heading 2" xfId="88" builtinId="17" customBuiltin="1"/>
    <cellStyle name="Heading 3" xfId="89" builtinId="18" customBuiltin="1"/>
    <cellStyle name="Heading 4" xfId="90" builtinId="19" customBuiltin="1"/>
    <cellStyle name="Hyperlink 2" xfId="129"/>
    <cellStyle name="Input" xfId="94" builtinId="20" customBuiltin="1"/>
    <cellStyle name="Linked Cell" xfId="97" builtinId="24" customBuiltin="1"/>
    <cellStyle name="Neutral" xfId="93" builtinId="28" customBuiltin="1"/>
    <cellStyle name="nONE" xfId="5"/>
    <cellStyle name="Normal" xfId="0" builtinId="0"/>
    <cellStyle name="Normal 10" xfId="32"/>
    <cellStyle name="Normal 11" xfId="34"/>
    <cellStyle name="Normal 12" xfId="36"/>
    <cellStyle name="Normal 13" xfId="38"/>
    <cellStyle name="Normal 14" xfId="40"/>
    <cellStyle name="Normal 15" xfId="42"/>
    <cellStyle name="Normal 16" xfId="44"/>
    <cellStyle name="Normal 17" xfId="46"/>
    <cellStyle name="Normal 18" xfId="48"/>
    <cellStyle name="Normal 19" xfId="50"/>
    <cellStyle name="Normal 2" xfId="1"/>
    <cellStyle name="Normal 2 2" xfId="64"/>
    <cellStyle name="Normal 2 2 2" xfId="134"/>
    <cellStyle name="Normal 2 2 2 2" xfId="144"/>
    <cellStyle name="Normal 2 2 2 2 2" xfId="166"/>
    <cellStyle name="Normal 2 2 2 2 2 2" xfId="188"/>
    <cellStyle name="Normal 2 2 2 2 2 3" xfId="242"/>
    <cellStyle name="Normal 2 2 2 2 3" xfId="187"/>
    <cellStyle name="Normal 2 2 2 2 4" xfId="241"/>
    <cellStyle name="Normal 2 2 2 3" xfId="155"/>
    <cellStyle name="Normal 2 2 2 3 2" xfId="189"/>
    <cellStyle name="Normal 2 2 2 3 3" xfId="243"/>
    <cellStyle name="Normal 2 2 2 4" xfId="186"/>
    <cellStyle name="Normal 2 2 2 5" xfId="240"/>
    <cellStyle name="Normal 2 2 3" xfId="140"/>
    <cellStyle name="Normal 2 2 3 2" xfId="162"/>
    <cellStyle name="Normal 2 2 3 2 2" xfId="191"/>
    <cellStyle name="Normal 2 2 3 2 3" xfId="245"/>
    <cellStyle name="Normal 2 2 3 3" xfId="190"/>
    <cellStyle name="Normal 2 2 3 4" xfId="244"/>
    <cellStyle name="Normal 2 2 4" xfId="151"/>
    <cellStyle name="Normal 2 2 4 2" xfId="192"/>
    <cellStyle name="Normal 2 2 4 3" xfId="246"/>
    <cellStyle name="Normal 2 2 5" xfId="185"/>
    <cellStyle name="Normal 2 2 6" xfId="239"/>
    <cellStyle name="Normal 2 2 7" xfId="130"/>
    <cellStyle name="Normal 2 3" xfId="84"/>
    <cellStyle name="Normal 2 3 2" xfId="142"/>
    <cellStyle name="Normal 2 3 2 2" xfId="164"/>
    <cellStyle name="Normal 2 3 2 2 2" xfId="195"/>
    <cellStyle name="Normal 2 3 2 2 3" xfId="249"/>
    <cellStyle name="Normal 2 3 2 3" xfId="194"/>
    <cellStyle name="Normal 2 3 2 4" xfId="248"/>
    <cellStyle name="Normal 2 3 3" xfId="153"/>
    <cellStyle name="Normal 2 3 3 2" xfId="196"/>
    <cellStyle name="Normal 2 3 3 3" xfId="250"/>
    <cellStyle name="Normal 2 3 4" xfId="193"/>
    <cellStyle name="Normal 2 3 5" xfId="247"/>
    <cellStyle name="Normal 2 3 6" xfId="132"/>
    <cellStyle name="Normal 2 4" xfId="14"/>
    <cellStyle name="Normal 2 4 2" xfId="160"/>
    <cellStyle name="Normal 2 4 2 2" xfId="198"/>
    <cellStyle name="Normal 2 4 2 3" xfId="252"/>
    <cellStyle name="Normal 2 4 3" xfId="197"/>
    <cellStyle name="Normal 2 4 4" xfId="251"/>
    <cellStyle name="Normal 2 5" xfId="147"/>
    <cellStyle name="Normal 2 6" xfId="149"/>
    <cellStyle name="Normal 2 6 2" xfId="199"/>
    <cellStyle name="Normal 2 6 3" xfId="253"/>
    <cellStyle name="Normal 2 7" xfId="184"/>
    <cellStyle name="Normal 2 8" xfId="238"/>
    <cellStyle name="Normal 20" xfId="52"/>
    <cellStyle name="Normal 21" xfId="54"/>
    <cellStyle name="Normal 22" xfId="56"/>
    <cellStyle name="Normal 23" xfId="58"/>
    <cellStyle name="Normal 24" xfId="60"/>
    <cellStyle name="Normal 25" xfId="62"/>
    <cellStyle name="Normal 26" xfId="66"/>
    <cellStyle name="Normal 27" xfId="68"/>
    <cellStyle name="Normal 28" xfId="70"/>
    <cellStyle name="Normal 29" xfId="72"/>
    <cellStyle name="Normal 3" xfId="15"/>
    <cellStyle name="Normal 3 2" xfId="80"/>
    <cellStyle name="Normal 3 2 2" xfId="135"/>
    <cellStyle name="Normal 3 2 2 2" xfId="145"/>
    <cellStyle name="Normal 3 2 2 2 2" xfId="167"/>
    <cellStyle name="Normal 3 2 2 2 2 2" xfId="204"/>
    <cellStyle name="Normal 3 2 2 2 2 3" xfId="258"/>
    <cellStyle name="Normal 3 2 2 2 3" xfId="203"/>
    <cellStyle name="Normal 3 2 2 2 4" xfId="257"/>
    <cellStyle name="Normal 3 2 2 3" xfId="156"/>
    <cellStyle name="Normal 3 2 2 3 2" xfId="205"/>
    <cellStyle name="Normal 3 2 2 3 3" xfId="259"/>
    <cellStyle name="Normal 3 2 2 4" xfId="202"/>
    <cellStyle name="Normal 3 2 2 5" xfId="256"/>
    <cellStyle name="Normal 3 2 3" xfId="141"/>
    <cellStyle name="Normal 3 2 3 2" xfId="163"/>
    <cellStyle name="Normal 3 2 3 2 2" xfId="207"/>
    <cellStyle name="Normal 3 2 3 2 3" xfId="261"/>
    <cellStyle name="Normal 3 2 3 3" xfId="206"/>
    <cellStyle name="Normal 3 2 3 4" xfId="260"/>
    <cellStyle name="Normal 3 2 4" xfId="152"/>
    <cellStyle name="Normal 3 2 4 2" xfId="208"/>
    <cellStyle name="Normal 3 2 4 3" xfId="262"/>
    <cellStyle name="Normal 3 2 5" xfId="201"/>
    <cellStyle name="Normal 3 2 6" xfId="255"/>
    <cellStyle name="Normal 3 2 7" xfId="131"/>
    <cellStyle name="Normal 3 3" xfId="133"/>
    <cellStyle name="Normal 3 3 2" xfId="143"/>
    <cellStyle name="Normal 3 3 2 2" xfId="165"/>
    <cellStyle name="Normal 3 3 2 2 2" xfId="211"/>
    <cellStyle name="Normal 3 3 2 2 3" xfId="265"/>
    <cellStyle name="Normal 3 3 2 3" xfId="210"/>
    <cellStyle name="Normal 3 3 2 4" xfId="264"/>
    <cellStyle name="Normal 3 3 3" xfId="154"/>
    <cellStyle name="Normal 3 3 3 2" xfId="212"/>
    <cellStyle name="Normal 3 3 3 3" xfId="266"/>
    <cellStyle name="Normal 3 3 4" xfId="209"/>
    <cellStyle name="Normal 3 3 5" xfId="263"/>
    <cellStyle name="Normal 3 4" xfId="139"/>
    <cellStyle name="Normal 3 4 2" xfId="161"/>
    <cellStyle name="Normal 3 4 2 2" xfId="214"/>
    <cellStyle name="Normal 3 4 2 3" xfId="268"/>
    <cellStyle name="Normal 3 4 3" xfId="213"/>
    <cellStyle name="Normal 3 4 4" xfId="267"/>
    <cellStyle name="Normal 3 5" xfId="150"/>
    <cellStyle name="Normal 3 5 2" xfId="215"/>
    <cellStyle name="Normal 3 5 3" xfId="269"/>
    <cellStyle name="Normal 3 6" xfId="200"/>
    <cellStyle name="Normal 3 7" xfId="254"/>
    <cellStyle name="Normal 3 8" xfId="128"/>
    <cellStyle name="Normal 30" xfId="74"/>
    <cellStyle name="Normal 31" xfId="76"/>
    <cellStyle name="Normal 32" xfId="78"/>
    <cellStyle name="Normal 33" xfId="8"/>
    <cellStyle name="Normal 4" xfId="20"/>
    <cellStyle name="Normal 4 2" xfId="138"/>
    <cellStyle name="Normal 5" xfId="22"/>
    <cellStyle name="Normal 5 2" xfId="157"/>
    <cellStyle name="Normal 5 2 2" xfId="217"/>
    <cellStyle name="Normal 5 2 3" xfId="271"/>
    <cellStyle name="Normal 5 3" xfId="216"/>
    <cellStyle name="Normal 5 4" xfId="270"/>
    <cellStyle name="Normal 6" xfId="24"/>
    <cellStyle name="Normal 6 2" xfId="168"/>
    <cellStyle name="Normal 6 2 2" xfId="218"/>
    <cellStyle name="Normal 6 2 3" xfId="272"/>
    <cellStyle name="Normal 6 3" xfId="174"/>
    <cellStyle name="Normal 6 4" xfId="224"/>
    <cellStyle name="Normal 6 5" xfId="228"/>
    <cellStyle name="Normal 7" xfId="26"/>
    <cellStyle name="Normal 7 2" xfId="172"/>
    <cellStyle name="Normal 7 2 2" xfId="220"/>
    <cellStyle name="Normal 7 2 3" xfId="274"/>
    <cellStyle name="Normal 7 3" xfId="219"/>
    <cellStyle name="Normal 7 4" xfId="227"/>
    <cellStyle name="Normal 7 5" xfId="273"/>
    <cellStyle name="Normal 8" xfId="28"/>
    <cellStyle name="Normal 9" xfId="30"/>
    <cellStyle name="Note" xfId="100" builtinId="10" customBuiltin="1"/>
    <cellStyle name="Output" xfId="95" builtinId="21" customBuiltin="1"/>
    <cellStyle name="Percent 2" xfId="6"/>
    <cellStyle name="Percent 2 2" xfId="81"/>
    <cellStyle name="Percent 2 3" xfId="65"/>
    <cellStyle name="Percent 3" xfId="16"/>
    <cellStyle name="Percent 3 2" xfId="169"/>
    <cellStyle name="Percent 3 2 2" xfId="221"/>
    <cellStyle name="Percent 3 2 3" xfId="275"/>
    <cellStyle name="Percent 3 3" xfId="175"/>
    <cellStyle name="Percent 3 4" xfId="225"/>
    <cellStyle name="Percent 3 5" xfId="229"/>
    <cellStyle name="Percent 3 6" xfId="146"/>
    <cellStyle name="Percent 4" xfId="148"/>
    <cellStyle name="Percent 4 2" xfId="171"/>
    <cellStyle name="Percent 4 2 2" xfId="223"/>
    <cellStyle name="Percent 4 2 3" xfId="277"/>
    <cellStyle name="Percent 4 3" xfId="222"/>
    <cellStyle name="Percent 4 4" xfId="276"/>
    <cellStyle name="Percent 5" xfId="278"/>
    <cellStyle name="Title" xfId="86" builtinId="15" customBuiltin="1"/>
    <cellStyle name="Total" xfId="102" builtinId="25" customBuiltin="1"/>
    <cellStyle name="TRANSMISSION RELIABILITY PORTION OF PROJECT" xfId="7"/>
    <cellStyle name="TRANSMISSION RELIABILITY PORTION OF PROJECT 2" xfId="17"/>
    <cellStyle name="TRANSMISSION RELIABILITY PORTION OF PROJECT 2 2" xfId="127"/>
    <cellStyle name="Warning Text" xfId="99" builtinId="11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+mn-lt"/>
                <a:cs typeface="Times New Roman" pitchFamily="18" charset="0"/>
              </a:defRPr>
            </a:pPr>
            <a:r>
              <a:rPr lang="en-US">
                <a:latin typeface="+mn-lt"/>
                <a:cs typeface="Times New Roman" pitchFamily="18" charset="0"/>
              </a:rPr>
              <a:t>2016 Utah Irrigation Load Reduction Potential</a:t>
            </a:r>
            <a:r>
              <a:rPr lang="en-US" baseline="0">
                <a:latin typeface="+mn-lt"/>
                <a:cs typeface="Times New Roman" pitchFamily="18" charset="0"/>
              </a:rPr>
              <a:t> </a:t>
            </a:r>
            <a:r>
              <a:rPr lang="en-US">
                <a:latin typeface="+mn-lt"/>
                <a:cs typeface="Times New Roman" pitchFamily="18" charset="0"/>
              </a:rPr>
              <a:t>Forecast</a:t>
            </a:r>
          </a:p>
        </c:rich>
      </c:tx>
      <c:layout>
        <c:manualLayout>
          <c:xMode val="edge"/>
          <c:yMode val="edge"/>
          <c:x val="0.14856989441205345"/>
          <c:y val="1.8348623853211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512620464426677"/>
          <c:y val="0.17149100628476485"/>
          <c:w val="0.62975527591761338"/>
          <c:h val="0.72986467287919332"/>
        </c:manualLayout>
      </c:layout>
      <c:scatterChart>
        <c:scatterStyle val="lineMarker"/>
        <c:varyColors val="0"/>
        <c:ser>
          <c:idx val="0"/>
          <c:order val="0"/>
          <c:tx>
            <c:strRef>
              <c:f>'Irr Prgm Impact - Attachment 4'!$A$6</c:f>
              <c:strCache>
                <c:ptCount val="1"/>
                <c:pt idx="0">
                  <c:v>Estimated Load Reduction (2016)</c:v>
                </c:pt>
              </c:strCache>
            </c:strRef>
          </c:tx>
          <c:spPr>
            <a:ln w="444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'Irr Prgm Impact - Attachment 4'!$B$5:$M$5</c:f>
              <c:numCache>
                <c:formatCode>[$-409]d\-mmm;@</c:formatCode>
                <c:ptCount val="12"/>
                <c:pt idx="0">
                  <c:v>42520</c:v>
                </c:pt>
                <c:pt idx="1">
                  <c:v>42527</c:v>
                </c:pt>
                <c:pt idx="2">
                  <c:v>42534</c:v>
                </c:pt>
                <c:pt idx="3">
                  <c:v>42541</c:v>
                </c:pt>
                <c:pt idx="4">
                  <c:v>42548</c:v>
                </c:pt>
                <c:pt idx="5">
                  <c:v>42555</c:v>
                </c:pt>
                <c:pt idx="6">
                  <c:v>42562</c:v>
                </c:pt>
                <c:pt idx="7">
                  <c:v>42569</c:v>
                </c:pt>
                <c:pt idx="8">
                  <c:v>42576</c:v>
                </c:pt>
                <c:pt idx="9">
                  <c:v>42583</c:v>
                </c:pt>
                <c:pt idx="10">
                  <c:v>42590</c:v>
                </c:pt>
                <c:pt idx="11">
                  <c:v>42597</c:v>
                </c:pt>
              </c:numCache>
            </c:numRef>
          </c:xVal>
          <c:yVal>
            <c:numRef>
              <c:f>'Irr Prgm Impact - Attachment 4'!$B$6:$M$6</c:f>
              <c:numCache>
                <c:formatCode>0</c:formatCode>
                <c:ptCount val="12"/>
                <c:pt idx="0">
                  <c:v>14.605</c:v>
                </c:pt>
                <c:pt idx="1">
                  <c:v>13.334999999999999</c:v>
                </c:pt>
                <c:pt idx="2">
                  <c:v>13.0175</c:v>
                </c:pt>
                <c:pt idx="3">
                  <c:v>14.922499999999999</c:v>
                </c:pt>
                <c:pt idx="4">
                  <c:v>19.05</c:v>
                </c:pt>
                <c:pt idx="5">
                  <c:v>19.05</c:v>
                </c:pt>
                <c:pt idx="6">
                  <c:v>17.145</c:v>
                </c:pt>
                <c:pt idx="7">
                  <c:v>15.557499999999999</c:v>
                </c:pt>
                <c:pt idx="8">
                  <c:v>16.827500000000001</c:v>
                </c:pt>
                <c:pt idx="9">
                  <c:v>18.0975</c:v>
                </c:pt>
                <c:pt idx="10">
                  <c:v>17.145</c:v>
                </c:pt>
                <c:pt idx="11">
                  <c:v>17.145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571224"/>
        <c:axId val="216620608"/>
      </c:scatterChart>
      <c:valAx>
        <c:axId val="215571224"/>
        <c:scaling>
          <c:orientation val="minMax"/>
          <c:min val="42513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47433968463865683"/>
              <c:y val="0.95350140865419342"/>
            </c:manualLayout>
          </c:layout>
          <c:overlay val="0"/>
        </c:title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  <a:cs typeface="Times New Roman" pitchFamily="18" charset="0"/>
              </a:defRPr>
            </a:pPr>
            <a:endParaRPr lang="en-US"/>
          </a:p>
        </c:txPr>
        <c:crossAx val="216620608"/>
        <c:crosses val="autoZero"/>
        <c:crossBetween val="midCat"/>
        <c:majorUnit val="7"/>
      </c:valAx>
      <c:valAx>
        <c:axId val="216620608"/>
        <c:scaling>
          <c:orientation val="minMax"/>
          <c:max val="22"/>
          <c:min val="8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MegaWatts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  <a:cs typeface="Times New Roman" pitchFamily="18" charset="0"/>
              </a:defRPr>
            </a:pPr>
            <a:endParaRPr lang="en-US"/>
          </a:p>
        </c:txPr>
        <c:crossAx val="215571224"/>
        <c:crossesAt val="42511"/>
        <c:crossBetween val="midCat"/>
      </c:valAx>
    </c:plotArea>
    <c:legend>
      <c:legendPos val="r"/>
      <c:layout>
        <c:manualLayout>
          <c:xMode val="edge"/>
          <c:yMode val="edge"/>
          <c:x val="0.81379900756011714"/>
          <c:y val="0.350028449194071"/>
          <c:w val="0.18620099243988342"/>
          <c:h val="0.2784263067433450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590549</xdr:colOff>
      <xdr:row>9</xdr:row>
      <xdr:rowOff>47625</xdr:rowOff>
    </xdr:from>
    <xdr:to>
      <xdr:col>13</xdr:col>
      <xdr:colOff>9525</xdr:colOff>
      <xdr:row>32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sc.state.ut.us/SHR02/ACCTNG/GENERAL/JAN%20LEWIS/DSM/Recovery%20Files/RECOV03-May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Mgmt\UT\Filings\0.collections\Nov%202015%20UT%20DSM%20Proj%20Exp%20(Cal%20Yr%202016)\Utah%20Nov%201%20Class%202%20Capacity%20Impact%20Estimator%20v2%20for%20present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Codes"/>
      <sheetName val="SCRInput2"/>
      <sheetName val="Inputs"/>
      <sheetName val="DSM Output"/>
      <sheetName val="DSM Dollars"/>
      <sheetName val="Centralia Credit"/>
      <sheetName val="Y2K"/>
      <sheetName val="Deferred Acct."/>
      <sheetName val="PCA"/>
      <sheetName val="Hermiston"/>
      <sheetName val="Trail Mtn."/>
      <sheetName val="WA SBC"/>
      <sheetName val="0103 Proration (191)"/>
      <sheetName val="WA Centralia"/>
      <sheetName val="WA SBC - Class 48T"/>
      <sheetName val="Module2"/>
    </sheetNames>
    <sheetDataSet>
      <sheetData sheetId="0"/>
      <sheetData sheetId="1"/>
      <sheetData sheetId="2"/>
      <sheetData sheetId="3"/>
      <sheetData sheetId="4"/>
      <sheetData sheetId="5">
        <row r="1">
          <cell r="AL1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vings Forecast - Attachment 1"/>
      <sheetName val="Calculations"/>
      <sheetName val="IRP Tables"/>
      <sheetName val="IRP Peak Capacity by Load Bubbl"/>
    </sheetNames>
    <sheetDataSet>
      <sheetData sheetId="0"/>
      <sheetData sheetId="1"/>
      <sheetData sheetId="2"/>
      <sheetData sheetId="3">
        <row r="12">
          <cell r="B12">
            <v>51.480000000000004</v>
          </cell>
          <cell r="C12">
            <v>109.49999999999999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workbookViewId="0">
      <selection activeCell="P21" sqref="P21"/>
    </sheetView>
  </sheetViews>
  <sheetFormatPr defaultRowHeight="15"/>
  <cols>
    <col min="1" max="1" width="52.42578125" customWidth="1"/>
    <col min="2" max="2" width="10.7109375" style="177" customWidth="1"/>
    <col min="3" max="3" width="10.7109375" style="103" customWidth="1"/>
    <col min="4" max="4" width="2.5703125" style="178" customWidth="1"/>
    <col min="5" max="6" width="10.5703125" style="103" customWidth="1"/>
  </cols>
  <sheetData>
    <row r="1" spans="1:7" ht="15.75">
      <c r="A1" s="183" t="s">
        <v>87</v>
      </c>
      <c r="B1" s="183"/>
      <c r="C1" s="183"/>
      <c r="D1" s="183"/>
      <c r="E1" s="183"/>
      <c r="F1" s="183"/>
    </row>
    <row r="2" spans="1:7" ht="15.75">
      <c r="A2" s="184" t="s">
        <v>88</v>
      </c>
      <c r="B2" s="185"/>
      <c r="C2" s="185"/>
      <c r="D2" s="185"/>
      <c r="E2" s="185"/>
      <c r="F2" s="185"/>
      <c r="G2" s="104"/>
    </row>
    <row r="3" spans="1:7">
      <c r="A3" s="115"/>
      <c r="B3" s="116"/>
      <c r="C3" s="117"/>
      <c r="D3" s="118"/>
      <c r="E3" s="117"/>
      <c r="F3" s="117"/>
      <c r="G3" s="104"/>
    </row>
    <row r="4" spans="1:7" ht="29.25" customHeight="1">
      <c r="A4" s="119"/>
      <c r="B4" s="186" t="s">
        <v>89</v>
      </c>
      <c r="C4" s="187"/>
      <c r="D4" s="120"/>
      <c r="E4" s="186" t="s">
        <v>90</v>
      </c>
      <c r="F4" s="187"/>
      <c r="G4" s="104"/>
    </row>
    <row r="5" spans="1:7">
      <c r="A5" s="119"/>
      <c r="B5" s="121" t="s">
        <v>91</v>
      </c>
      <c r="C5" s="121" t="s">
        <v>92</v>
      </c>
      <c r="D5" s="122"/>
      <c r="E5" s="121" t="s">
        <v>91</v>
      </c>
      <c r="F5" s="121" t="s">
        <v>92</v>
      </c>
      <c r="G5" s="104"/>
    </row>
    <row r="6" spans="1:7">
      <c r="A6" s="119"/>
      <c r="B6" s="121">
        <v>2016</v>
      </c>
      <c r="C6" s="121">
        <f>B6</f>
        <v>2016</v>
      </c>
      <c r="D6" s="122"/>
      <c r="E6" s="123">
        <f>B6</f>
        <v>2016</v>
      </c>
      <c r="F6" s="124">
        <f>B6</f>
        <v>2016</v>
      </c>
      <c r="G6" s="104"/>
    </row>
    <row r="7" spans="1:7">
      <c r="A7" s="113" t="s">
        <v>93</v>
      </c>
      <c r="B7" s="125"/>
      <c r="C7" s="126"/>
      <c r="D7" s="127"/>
      <c r="E7" s="128"/>
      <c r="F7" s="129"/>
      <c r="G7" s="104"/>
    </row>
    <row r="8" spans="1:7">
      <c r="A8" s="130" t="s">
        <v>94</v>
      </c>
      <c r="B8" s="125"/>
      <c r="C8" s="131">
        <v>115</v>
      </c>
      <c r="D8" s="132"/>
      <c r="E8" s="129"/>
      <c r="F8" s="131">
        <v>115</v>
      </c>
      <c r="G8" s="104"/>
    </row>
    <row r="9" spans="1:7">
      <c r="A9" s="130" t="s">
        <v>95</v>
      </c>
      <c r="B9" s="133"/>
      <c r="C9" s="134">
        <v>20</v>
      </c>
      <c r="D9" s="135"/>
      <c r="E9" s="134"/>
      <c r="F9" s="134">
        <v>20</v>
      </c>
      <c r="G9" s="104"/>
    </row>
    <row r="10" spans="1:7" ht="15.75" thickBot="1">
      <c r="A10" s="136" t="s">
        <v>96</v>
      </c>
      <c r="B10" s="137"/>
      <c r="C10" s="138">
        <f>SUM(C8:C9)</f>
        <v>135</v>
      </c>
      <c r="D10" s="135"/>
      <c r="E10" s="138"/>
      <c r="F10" s="138">
        <f>SUM(F8:F9)</f>
        <v>135</v>
      </c>
      <c r="G10" s="104"/>
    </row>
    <row r="11" spans="1:7" ht="15.75" thickTop="1">
      <c r="A11" s="115"/>
      <c r="B11" s="139"/>
      <c r="C11" s="128"/>
      <c r="D11" s="140"/>
      <c r="E11" s="128"/>
      <c r="F11" s="129"/>
      <c r="G11" s="104"/>
    </row>
    <row r="12" spans="1:7">
      <c r="A12" s="141" t="s">
        <v>97</v>
      </c>
      <c r="B12" s="139"/>
      <c r="C12" s="142"/>
      <c r="D12" s="140"/>
      <c r="E12" s="128"/>
      <c r="F12" s="129"/>
      <c r="G12" s="104"/>
    </row>
    <row r="13" spans="1:7">
      <c r="A13" s="143" t="s">
        <v>1</v>
      </c>
      <c r="B13" s="144">
        <v>426</v>
      </c>
      <c r="C13" s="132">
        <v>8.1486739884623488E-2</v>
      </c>
      <c r="D13" s="145"/>
      <c r="E13" s="131" t="s">
        <v>98</v>
      </c>
      <c r="F13" s="131" t="s">
        <v>98</v>
      </c>
      <c r="G13" s="104"/>
    </row>
    <row r="14" spans="1:7">
      <c r="A14" s="143" t="s">
        <v>2</v>
      </c>
      <c r="B14" s="144">
        <v>3454</v>
      </c>
      <c r="C14" s="132">
        <v>0.66069295671711159</v>
      </c>
      <c r="D14" s="145"/>
      <c r="E14" s="131" t="s">
        <v>98</v>
      </c>
      <c r="F14" s="131" t="s">
        <v>98</v>
      </c>
      <c r="G14" s="104"/>
    </row>
    <row r="15" spans="1:7">
      <c r="A15" s="143" t="s">
        <v>99</v>
      </c>
      <c r="B15" s="144">
        <v>62476</v>
      </c>
      <c r="C15" s="132">
        <v>11.950623382703608</v>
      </c>
      <c r="D15" s="145"/>
      <c r="E15" s="131" t="s">
        <v>98</v>
      </c>
      <c r="F15" s="131" t="s">
        <v>98</v>
      </c>
      <c r="G15" s="104"/>
    </row>
    <row r="16" spans="1:7">
      <c r="A16" s="143" t="s">
        <v>100</v>
      </c>
      <c r="B16" s="144">
        <v>15237</v>
      </c>
      <c r="C16" s="132">
        <v>2.9145855765774837</v>
      </c>
      <c r="D16" s="145"/>
      <c r="E16" s="131" t="s">
        <v>98</v>
      </c>
      <c r="F16" s="131" t="s">
        <v>98</v>
      </c>
      <c r="G16" s="104"/>
    </row>
    <row r="17" spans="1:9">
      <c r="A17" s="143" t="s">
        <v>101</v>
      </c>
      <c r="B17" s="144">
        <v>71223</v>
      </c>
      <c r="C17" s="131">
        <v>13.623779518315818</v>
      </c>
      <c r="D17" s="145"/>
      <c r="E17" s="131" t="s">
        <v>98</v>
      </c>
      <c r="F17" s="131" t="s">
        <v>98</v>
      </c>
      <c r="G17" s="104"/>
    </row>
    <row r="18" spans="1:9">
      <c r="A18" s="136" t="s">
        <v>102</v>
      </c>
      <c r="B18" s="146">
        <f>SUM(B13:B17)</f>
        <v>152816</v>
      </c>
      <c r="C18" s="147">
        <f>SUM(C13:C17)</f>
        <v>29.231168174198643</v>
      </c>
      <c r="D18" s="148"/>
      <c r="E18" s="147" t="s">
        <v>98</v>
      </c>
      <c r="F18" s="147" t="s">
        <v>98</v>
      </c>
      <c r="G18" s="104"/>
    </row>
    <row r="19" spans="1:9">
      <c r="A19" s="149"/>
      <c r="B19" s="150"/>
      <c r="C19" s="129"/>
      <c r="D19" s="140"/>
      <c r="E19" s="129"/>
      <c r="F19" s="129"/>
      <c r="G19" s="104"/>
    </row>
    <row r="20" spans="1:9">
      <c r="A20" s="151" t="s">
        <v>103</v>
      </c>
      <c r="B20" s="150"/>
      <c r="C20" s="152"/>
      <c r="D20" s="140"/>
      <c r="E20" s="129"/>
      <c r="F20" s="129"/>
      <c r="G20" s="104"/>
    </row>
    <row r="21" spans="1:9">
      <c r="A21" s="143" t="s">
        <v>44</v>
      </c>
      <c r="B21" s="144">
        <f>210898+1418</f>
        <v>212316</v>
      </c>
      <c r="C21" s="131">
        <v>40.612532078271641</v>
      </c>
      <c r="D21" s="145"/>
      <c r="E21" s="131" t="s">
        <v>98</v>
      </c>
      <c r="F21" s="131" t="s">
        <v>98</v>
      </c>
      <c r="G21" s="104"/>
    </row>
    <row r="22" spans="1:9">
      <c r="A22" s="136" t="s">
        <v>104</v>
      </c>
      <c r="B22" s="153">
        <f>SUM(B21:B21)</f>
        <v>212316</v>
      </c>
      <c r="C22" s="154">
        <f>C21</f>
        <v>40.612532078271641</v>
      </c>
      <c r="D22" s="148"/>
      <c r="E22" s="147" t="s">
        <v>98</v>
      </c>
      <c r="F22" s="147" t="s">
        <v>98</v>
      </c>
      <c r="G22" s="104"/>
    </row>
    <row r="23" spans="1:9">
      <c r="A23" s="155"/>
      <c r="B23" s="145"/>
      <c r="C23" s="132"/>
      <c r="D23" s="127"/>
      <c r="E23" s="152"/>
      <c r="F23" s="152"/>
      <c r="G23" s="104"/>
    </row>
    <row r="24" spans="1:9" ht="15.75" thickBot="1">
      <c r="A24" s="141" t="s">
        <v>105</v>
      </c>
      <c r="B24" s="156">
        <f>B22+B18</f>
        <v>365132</v>
      </c>
      <c r="C24" s="157">
        <f>C22+C18</f>
        <v>69.843700252470285</v>
      </c>
      <c r="D24" s="145"/>
      <c r="E24" s="158">
        <v>303040</v>
      </c>
      <c r="F24" s="158">
        <f>'[2]IRP Peak Capacity by Load Bubbl'!C12-'[2]IRP Peak Capacity by Load Bubbl'!B12</f>
        <v>58.019999999999982</v>
      </c>
      <c r="G24" s="104"/>
    </row>
    <row r="25" spans="1:9" ht="24" customHeight="1" thickTop="1">
      <c r="A25" s="141" t="s">
        <v>106</v>
      </c>
      <c r="B25" s="145">
        <f>+B22+B18-(+B15-384)</f>
        <v>303040</v>
      </c>
      <c r="C25" s="159">
        <f>+C22+C18-C15</f>
        <v>57.893076869766674</v>
      </c>
      <c r="D25" s="145"/>
      <c r="E25" s="152"/>
      <c r="F25" s="152"/>
      <c r="G25" s="104"/>
    </row>
    <row r="26" spans="1:9">
      <c r="A26" s="116"/>
      <c r="B26" s="116"/>
      <c r="C26" s="117"/>
      <c r="D26" s="118"/>
      <c r="E26" s="160"/>
      <c r="F26" s="117"/>
      <c r="G26" s="104"/>
    </row>
    <row r="27" spans="1:9">
      <c r="A27" s="161" t="s">
        <v>39</v>
      </c>
      <c r="B27" s="162"/>
      <c r="C27" s="163"/>
      <c r="D27" s="164"/>
      <c r="E27" s="117"/>
      <c r="F27" s="117"/>
      <c r="G27" s="104"/>
    </row>
    <row r="28" spans="1:9">
      <c r="A28" s="165" t="s">
        <v>107</v>
      </c>
      <c r="B28" s="162"/>
      <c r="C28" s="163"/>
      <c r="D28" s="164"/>
      <c r="E28" s="117"/>
      <c r="F28" s="117"/>
      <c r="G28" s="104"/>
    </row>
    <row r="29" spans="1:9">
      <c r="A29" s="165" t="s">
        <v>108</v>
      </c>
      <c r="B29" s="162"/>
      <c r="C29" s="163"/>
      <c r="D29" s="164"/>
      <c r="E29" s="117"/>
      <c r="F29" s="117"/>
      <c r="G29" s="104"/>
    </row>
    <row r="30" spans="1:9">
      <c r="A30" s="166" t="s">
        <v>109</v>
      </c>
      <c r="B30" s="162"/>
      <c r="C30" s="163"/>
      <c r="D30" s="164"/>
      <c r="E30" s="117"/>
      <c r="F30" s="117"/>
      <c r="G30" s="104"/>
    </row>
    <row r="31" spans="1:9">
      <c r="A31" s="165" t="s">
        <v>110</v>
      </c>
      <c r="B31" s="162"/>
      <c r="C31" s="163"/>
      <c r="D31" s="164"/>
      <c r="E31" s="117"/>
      <c r="F31" s="167"/>
      <c r="G31" s="119"/>
      <c r="H31" s="168"/>
      <c r="I31" s="168"/>
    </row>
    <row r="32" spans="1:9">
      <c r="A32" s="165" t="s">
        <v>111</v>
      </c>
      <c r="B32" s="169">
        <f>B24</f>
        <v>365132</v>
      </c>
      <c r="C32" s="163" t="s">
        <v>112</v>
      </c>
      <c r="D32" s="164"/>
      <c r="E32" s="117"/>
      <c r="F32" s="167"/>
      <c r="G32" s="119"/>
      <c r="H32" s="168"/>
      <c r="I32" s="168"/>
    </row>
    <row r="33" spans="1:9">
      <c r="A33" s="165" t="s">
        <v>113</v>
      </c>
      <c r="B33" s="169">
        <v>303040</v>
      </c>
      <c r="C33" s="163" t="s">
        <v>112</v>
      </c>
      <c r="D33" s="164"/>
      <c r="E33" s="117"/>
      <c r="F33" s="167"/>
      <c r="G33" s="119"/>
      <c r="H33" s="168"/>
      <c r="I33" s="168"/>
    </row>
    <row r="34" spans="1:9">
      <c r="A34" s="165" t="s">
        <v>114</v>
      </c>
      <c r="B34" s="170">
        <v>77.7</v>
      </c>
      <c r="C34" s="163" t="s">
        <v>92</v>
      </c>
      <c r="D34" s="164"/>
      <c r="E34" s="117"/>
      <c r="F34" s="167"/>
      <c r="G34" s="119"/>
      <c r="H34" s="168"/>
      <c r="I34" s="168"/>
    </row>
    <row r="35" spans="1:9">
      <c r="A35" s="165" t="s">
        <v>115</v>
      </c>
      <c r="B35" s="170">
        <v>90.050000000000011</v>
      </c>
      <c r="C35" s="163" t="s">
        <v>92</v>
      </c>
      <c r="D35" s="164"/>
      <c r="E35" s="117"/>
      <c r="F35" s="167"/>
      <c r="G35" s="119"/>
      <c r="H35" s="168"/>
      <c r="I35" s="168"/>
    </row>
    <row r="36" spans="1:9" ht="15.75" thickBot="1">
      <c r="A36" s="171" t="s">
        <v>116</v>
      </c>
      <c r="B36" s="172">
        <v>67.179999999999978</v>
      </c>
      <c r="C36" s="173" t="s">
        <v>92</v>
      </c>
      <c r="D36" s="164"/>
      <c r="E36" s="117"/>
      <c r="F36" s="117"/>
      <c r="G36" s="104"/>
    </row>
    <row r="37" spans="1:9">
      <c r="A37" s="165" t="s">
        <v>117</v>
      </c>
      <c r="B37" s="174">
        <f>B32/B33*B34/B35*B36</f>
        <v>69.843700252470299</v>
      </c>
      <c r="C37" s="175" t="s">
        <v>92</v>
      </c>
      <c r="D37" s="176"/>
      <c r="E37" s="117"/>
      <c r="F37" s="117"/>
      <c r="G37" s="104"/>
    </row>
    <row r="38" spans="1:9">
      <c r="A38" s="165" t="s">
        <v>118</v>
      </c>
      <c r="B38" s="116"/>
      <c r="C38" s="117"/>
      <c r="D38" s="118"/>
      <c r="E38" s="117"/>
      <c r="F38" s="117"/>
      <c r="G38" s="104"/>
    </row>
    <row r="39" spans="1:9">
      <c r="A39" s="165" t="s">
        <v>119</v>
      </c>
      <c r="E39" s="117"/>
      <c r="F39" s="117"/>
      <c r="G39" s="104"/>
    </row>
    <row r="40" spans="1:9">
      <c r="A40" s="165" t="s">
        <v>120</v>
      </c>
      <c r="B40" s="116"/>
      <c r="C40" s="117"/>
      <c r="D40" s="118"/>
      <c r="E40" s="117"/>
      <c r="F40" s="117"/>
      <c r="G40" s="104"/>
    </row>
    <row r="41" spans="1:9">
      <c r="A41" s="179"/>
      <c r="B41" s="116"/>
      <c r="C41" s="117"/>
      <c r="D41" s="118"/>
      <c r="E41" s="117"/>
      <c r="F41" s="117"/>
      <c r="G41" s="104"/>
    </row>
    <row r="42" spans="1:9">
      <c r="A42" s="179"/>
      <c r="B42" s="116"/>
      <c r="C42" s="117"/>
      <c r="D42" s="118"/>
      <c r="E42" s="117"/>
      <c r="F42" s="117"/>
      <c r="G42" s="104"/>
    </row>
    <row r="43" spans="1:9">
      <c r="A43" s="179"/>
      <c r="B43" s="116"/>
      <c r="C43" s="117"/>
      <c r="D43" s="118"/>
      <c r="E43" s="117"/>
      <c r="F43" s="117"/>
      <c r="G43" s="104"/>
    </row>
    <row r="44" spans="1:9">
      <c r="A44" s="104"/>
      <c r="B44" s="116"/>
      <c r="C44" s="117"/>
      <c r="D44" s="118"/>
      <c r="E44" s="117"/>
      <c r="F44" s="117"/>
      <c r="G44" s="104"/>
    </row>
    <row r="45" spans="1:9">
      <c r="A45" s="104"/>
      <c r="B45" s="116"/>
      <c r="C45" s="117"/>
      <c r="D45" s="118"/>
      <c r="E45" s="117"/>
      <c r="F45" s="117"/>
      <c r="G45" s="104"/>
    </row>
  </sheetData>
  <mergeCells count="4">
    <mergeCell ref="A1:F1"/>
    <mergeCell ref="A2:F2"/>
    <mergeCell ref="B4:C4"/>
    <mergeCell ref="E4:F4"/>
  </mergeCells>
  <pageMargins left="0.7" right="0.7" top="0.75" bottom="0.75" header="0.3" footer="0.3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1"/>
  <sheetViews>
    <sheetView zoomScale="90" zoomScaleNormal="90" workbookViewId="0">
      <pane ySplit="5" topLeftCell="A44" activePane="bottomLeft" state="frozen"/>
      <selection activeCell="P21" sqref="P21"/>
      <selection pane="bottomLeft" activeCell="P21" sqref="P21"/>
    </sheetView>
  </sheetViews>
  <sheetFormatPr defaultRowHeight="14.25"/>
  <cols>
    <col min="1" max="1" width="17.5703125" style="28" customWidth="1"/>
    <col min="2" max="2" width="17.28515625" style="28" customWidth="1"/>
    <col min="3" max="3" width="15.28515625" style="28" customWidth="1"/>
    <col min="4" max="4" width="17" style="28" customWidth="1"/>
    <col min="5" max="5" width="15.7109375" style="28" bestFit="1" customWidth="1"/>
    <col min="6" max="6" width="17" style="28" bestFit="1" customWidth="1"/>
    <col min="7" max="7" width="16.85546875" style="28" customWidth="1"/>
    <col min="8" max="8" width="9.28515625" style="28" customWidth="1"/>
    <col min="9" max="9" width="1.42578125" style="28" customWidth="1"/>
    <col min="10" max="10" width="16.42578125" style="28" customWidth="1"/>
    <col min="11" max="11" width="2.7109375" style="28" customWidth="1"/>
    <col min="12" max="16384" width="9.140625" style="28"/>
  </cols>
  <sheetData>
    <row r="1" spans="1:134" s="22" customFormat="1" ht="12.75" customHeight="1">
      <c r="A1" s="18" t="s">
        <v>10</v>
      </c>
      <c r="B1" s="18"/>
      <c r="C1" s="18"/>
      <c r="D1" s="19"/>
      <c r="E1" s="18"/>
      <c r="F1" s="18"/>
      <c r="G1" s="18"/>
      <c r="H1" s="20"/>
      <c r="I1" s="21"/>
      <c r="J1" s="21"/>
    </row>
    <row r="2" spans="1:134" s="23" customFormat="1" ht="12.75" customHeight="1">
      <c r="A2" s="18" t="s">
        <v>11</v>
      </c>
      <c r="B2" s="18"/>
      <c r="C2" s="18"/>
      <c r="D2" s="19"/>
      <c r="E2" s="18"/>
      <c r="F2" s="18"/>
      <c r="G2" s="18"/>
      <c r="H2" s="20"/>
      <c r="I2" s="21"/>
      <c r="J2" s="21"/>
    </row>
    <row r="3" spans="1:134" s="23" customFormat="1" ht="12.75" customHeight="1">
      <c r="A3" s="188" t="s">
        <v>73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134">
      <c r="A4" s="24"/>
      <c r="B4" s="25"/>
      <c r="C4" s="25"/>
      <c r="D4" s="25"/>
      <c r="E4" s="29"/>
      <c r="F4" s="30" t="s">
        <v>12</v>
      </c>
      <c r="G4" s="30"/>
      <c r="H4" s="31"/>
      <c r="I4" s="27"/>
      <c r="J4" s="32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</row>
    <row r="5" spans="1:134" s="22" customFormat="1" ht="51" customHeight="1">
      <c r="A5" s="33"/>
      <c r="B5" s="34" t="s">
        <v>13</v>
      </c>
      <c r="C5" s="34" t="s">
        <v>14</v>
      </c>
      <c r="D5" s="34" t="s">
        <v>15</v>
      </c>
      <c r="E5" s="34" t="s">
        <v>16</v>
      </c>
      <c r="F5" s="34" t="s">
        <v>17</v>
      </c>
      <c r="G5" s="34" t="s">
        <v>18</v>
      </c>
      <c r="H5" s="35" t="s">
        <v>19</v>
      </c>
      <c r="I5" s="36"/>
      <c r="J5" s="35" t="s">
        <v>20</v>
      </c>
    </row>
    <row r="6" spans="1:134">
      <c r="A6" s="37"/>
      <c r="B6" s="38"/>
      <c r="C6" s="38"/>
      <c r="D6" s="38"/>
      <c r="E6" s="38"/>
      <c r="F6" s="38"/>
      <c r="G6" s="38"/>
      <c r="H6" s="39"/>
      <c r="I6" s="27"/>
      <c r="J6" s="40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6"/>
      <c r="EA6" s="26"/>
      <c r="EB6" s="26"/>
      <c r="EC6" s="27"/>
      <c r="ED6" s="27"/>
    </row>
    <row r="7" spans="1:134">
      <c r="A7" s="41" t="s">
        <v>33</v>
      </c>
      <c r="B7" s="66">
        <v>43638929.749999993</v>
      </c>
      <c r="C7" s="66">
        <v>3865060.19</v>
      </c>
      <c r="D7" s="66">
        <v>-54147493.57</v>
      </c>
      <c r="E7" s="66">
        <v>-428385</v>
      </c>
      <c r="F7" s="63">
        <v>-8770676.345999999</v>
      </c>
      <c r="G7" s="63">
        <v>-4905616.1559999995</v>
      </c>
      <c r="H7" s="43"/>
      <c r="I7" s="27"/>
      <c r="J7" s="72"/>
    </row>
    <row r="8" spans="1:134" ht="9" customHeight="1">
      <c r="A8" s="41"/>
      <c r="B8" s="64"/>
      <c r="C8" s="64"/>
      <c r="D8" s="64"/>
      <c r="E8" s="64"/>
      <c r="F8" s="65"/>
      <c r="G8" s="65"/>
      <c r="H8" s="43"/>
      <c r="I8" s="27"/>
      <c r="J8" s="72"/>
    </row>
    <row r="9" spans="1:134">
      <c r="A9" s="41" t="s">
        <v>34</v>
      </c>
      <c r="B9" s="66">
        <v>44887095</v>
      </c>
      <c r="C9" s="66">
        <v>781573.44000000018</v>
      </c>
      <c r="D9" s="66">
        <v>-47901079.229999989</v>
      </c>
      <c r="E9" s="66">
        <v>-1154860</v>
      </c>
      <c r="F9" s="65">
        <v>-12939520.576000005</v>
      </c>
      <c r="G9" s="65">
        <v>-8292886.9460000051</v>
      </c>
      <c r="H9" s="97">
        <v>7.8299999999999995E-2</v>
      </c>
      <c r="I9" s="27"/>
      <c r="J9" s="72">
        <v>3416696</v>
      </c>
    </row>
    <row r="10" spans="1:134" ht="9" customHeight="1">
      <c r="A10" s="41"/>
      <c r="B10" s="64"/>
      <c r="C10" s="64"/>
      <c r="D10" s="64"/>
      <c r="E10" s="64"/>
      <c r="F10" s="65"/>
      <c r="G10" s="65"/>
      <c r="H10" s="43"/>
      <c r="I10" s="27"/>
      <c r="J10" s="72"/>
    </row>
    <row r="11" spans="1:134" hidden="1">
      <c r="A11" s="44" t="s">
        <v>21</v>
      </c>
      <c r="B11" s="62">
        <v>2239835.92</v>
      </c>
      <c r="C11" s="63">
        <v>468371.4</v>
      </c>
      <c r="D11" s="62">
        <v>-3769989.72</v>
      </c>
      <c r="E11" s="62">
        <f>ROUND((((B11+D11)/2)+F9)*(7.83%/12),0)</f>
        <v>-89422</v>
      </c>
      <c r="F11" s="63">
        <f>+F9+B11+D11+E11</f>
        <v>-14559096.376000006</v>
      </c>
      <c r="G11" s="62">
        <f>SUM(C11)+$C$7+$C$9+F11</f>
        <v>-9444091.3460000046</v>
      </c>
      <c r="H11" s="42">
        <v>7.7700000000000005E-2</v>
      </c>
      <c r="I11" s="27"/>
      <c r="J11" s="62">
        <f>+J9+E11</f>
        <v>3327274</v>
      </c>
    </row>
    <row r="12" spans="1:134" hidden="1">
      <c r="A12" s="45" t="s">
        <v>22</v>
      </c>
      <c r="B12" s="62">
        <v>1840981.91</v>
      </c>
      <c r="C12" s="63">
        <v>556090.38</v>
      </c>
      <c r="D12" s="62">
        <v>-3595521.42</v>
      </c>
      <c r="E12" s="62">
        <f t="shared" ref="E12:E18" si="0">ROUND((((B12+D12)/2)+F11)*(7.83%/12),0)</f>
        <v>-100722</v>
      </c>
      <c r="F12" s="63">
        <f t="shared" ref="F12:F22" si="1">+F11+B12+D12+E12</f>
        <v>-16414357.886000006</v>
      </c>
      <c r="G12" s="62">
        <f>SUM(C11:C12)+$C$7+$C$9+F12</f>
        <v>-10743262.476000005</v>
      </c>
      <c r="H12" s="42">
        <v>7.7700000000000005E-2</v>
      </c>
      <c r="I12" s="27"/>
      <c r="J12" s="62">
        <f t="shared" ref="J12:J17" si="2">+J11+E12</f>
        <v>3226552</v>
      </c>
    </row>
    <row r="13" spans="1:134" hidden="1">
      <c r="A13" s="46" t="s">
        <v>23</v>
      </c>
      <c r="B13" s="62">
        <v>4105879.7</v>
      </c>
      <c r="C13" s="63">
        <v>-378161.72</v>
      </c>
      <c r="D13" s="62">
        <v>-3171663.13</v>
      </c>
      <c r="E13" s="62">
        <f t="shared" si="0"/>
        <v>-104056</v>
      </c>
      <c r="F13" s="63">
        <f t="shared" si="1"/>
        <v>-15584197.316000003</v>
      </c>
      <c r="G13" s="62">
        <f>SUM(C11:C13)+$C$7+$C$9+F13</f>
        <v>-10291263.626000002</v>
      </c>
      <c r="H13" s="42">
        <v>7.7700000000000005E-2</v>
      </c>
      <c r="I13" s="47"/>
      <c r="J13" s="62">
        <f t="shared" si="2"/>
        <v>3122496</v>
      </c>
    </row>
    <row r="14" spans="1:134" hidden="1">
      <c r="A14" s="44" t="s">
        <v>24</v>
      </c>
      <c r="B14" s="62">
        <v>3968473.7</v>
      </c>
      <c r="C14" s="63">
        <v>55405.23</v>
      </c>
      <c r="D14" s="62">
        <v>-2745404.79</v>
      </c>
      <c r="E14" s="62">
        <f t="shared" si="0"/>
        <v>-97697</v>
      </c>
      <c r="F14" s="63">
        <f t="shared" si="1"/>
        <v>-14458825.406000003</v>
      </c>
      <c r="G14" s="62">
        <f>SUM(C11:C14)+$C$7+$C$9+F14</f>
        <v>-9110486.4860000014</v>
      </c>
      <c r="H14" s="42">
        <v>7.7700000000000005E-2</v>
      </c>
      <c r="I14" s="27"/>
      <c r="J14" s="62">
        <f t="shared" si="2"/>
        <v>3024799</v>
      </c>
    </row>
    <row r="15" spans="1:134" hidden="1">
      <c r="A15" s="44" t="s">
        <v>25</v>
      </c>
      <c r="B15" s="62">
        <v>4432566.2699999996</v>
      </c>
      <c r="C15" s="63">
        <v>-1259705.19</v>
      </c>
      <c r="D15" s="62">
        <v>-2876432.82</v>
      </c>
      <c r="E15" s="62">
        <f t="shared" si="0"/>
        <v>-89267</v>
      </c>
      <c r="F15" s="63">
        <f t="shared" si="1"/>
        <v>-12991958.956000004</v>
      </c>
      <c r="G15" s="62">
        <f>SUM(C11:C15)+$C$7+$C$9+F15</f>
        <v>-8903325.2260000035</v>
      </c>
      <c r="H15" s="42">
        <v>7.7700000000000005E-2</v>
      </c>
      <c r="I15" s="27"/>
      <c r="J15" s="62">
        <f t="shared" si="2"/>
        <v>2935532</v>
      </c>
    </row>
    <row r="16" spans="1:134" hidden="1">
      <c r="A16" s="45" t="s">
        <v>26</v>
      </c>
      <c r="B16" s="62">
        <v>3151913.14</v>
      </c>
      <c r="C16" s="63">
        <v>209875.65</v>
      </c>
      <c r="D16" s="62">
        <v>-3561547.17</v>
      </c>
      <c r="E16" s="62">
        <f t="shared" si="0"/>
        <v>-86109</v>
      </c>
      <c r="F16" s="63">
        <f t="shared" si="1"/>
        <v>-13487701.986000003</v>
      </c>
      <c r="G16" s="62">
        <f>SUM(C11:C16)+$C$7+$C$9+F16</f>
        <v>-9189192.6060000025</v>
      </c>
      <c r="H16" s="42">
        <v>7.7700000000000005E-2</v>
      </c>
      <c r="I16" s="27"/>
      <c r="J16" s="62">
        <f t="shared" si="2"/>
        <v>2849423</v>
      </c>
    </row>
    <row r="17" spans="1:10" hidden="1">
      <c r="A17" s="44" t="s">
        <v>27</v>
      </c>
      <c r="B17" s="62">
        <v>4851756.74</v>
      </c>
      <c r="C17" s="62">
        <v>-244503.08</v>
      </c>
      <c r="D17" s="62">
        <v>-4488209.18</v>
      </c>
      <c r="E17" s="62">
        <f t="shared" si="0"/>
        <v>-86821</v>
      </c>
      <c r="F17" s="62">
        <f t="shared" si="1"/>
        <v>-13210975.426000003</v>
      </c>
      <c r="G17" s="62">
        <f>SUM(C11:C17)+$C$7+$C$9+F17</f>
        <v>-9156969.126000002</v>
      </c>
      <c r="H17" s="42">
        <v>7.7700000000000005E-2</v>
      </c>
      <c r="I17" s="48"/>
      <c r="J17" s="62">
        <f t="shared" si="2"/>
        <v>2762602</v>
      </c>
    </row>
    <row r="18" spans="1:10" hidden="1">
      <c r="A18" s="44" t="s">
        <v>28</v>
      </c>
      <c r="B18" s="62">
        <v>3159027.16</v>
      </c>
      <c r="C18" s="62">
        <v>3252542.93</v>
      </c>
      <c r="D18" s="62">
        <v>-4740990.0199999996</v>
      </c>
      <c r="E18" s="62">
        <f t="shared" si="0"/>
        <v>-91363</v>
      </c>
      <c r="F18" s="62">
        <f t="shared" si="1"/>
        <v>-14884301.286000002</v>
      </c>
      <c r="G18" s="62">
        <f>SUM(C11:C18)+$C$7+$C$9+F18</f>
        <v>-7577752.0560000008</v>
      </c>
      <c r="H18" s="42">
        <v>7.7700000000000005E-2</v>
      </c>
      <c r="I18" s="48"/>
      <c r="J18" s="62">
        <f>+J17+E18</f>
        <v>2671239</v>
      </c>
    </row>
    <row r="19" spans="1:10" hidden="1">
      <c r="A19" s="44" t="s">
        <v>29</v>
      </c>
      <c r="B19" s="62">
        <v>2652617.64</v>
      </c>
      <c r="C19" s="62">
        <v>64462.7</v>
      </c>
      <c r="D19" s="62">
        <v>-4427712.4000000004</v>
      </c>
      <c r="E19" s="62">
        <f>ROUND((((B19+D19)/2)+F18)*(7.83%/12),0)</f>
        <v>-102911</v>
      </c>
      <c r="F19" s="62">
        <f t="shared" si="1"/>
        <v>-16762307.046000002</v>
      </c>
      <c r="G19" s="62">
        <f>SUM(C11:C19)+$C$7+$C$9+F19</f>
        <v>-9391295.1160000004</v>
      </c>
      <c r="H19" s="42">
        <v>7.7700000000000005E-2</v>
      </c>
      <c r="I19" s="48"/>
      <c r="J19" s="62">
        <f>+J18+E19</f>
        <v>2568328</v>
      </c>
    </row>
    <row r="20" spans="1:10" hidden="1">
      <c r="A20" s="44" t="s">
        <v>30</v>
      </c>
      <c r="B20" s="62">
        <v>5504239.0499999998</v>
      </c>
      <c r="C20" s="62">
        <v>-904371.67</v>
      </c>
      <c r="D20" s="62">
        <v>-4114849.64</v>
      </c>
      <c r="E20" s="62">
        <f>ROUND((((B20+D20)/2)+F19)*(7.83%/12),0)</f>
        <v>-104841</v>
      </c>
      <c r="F20" s="62">
        <f t="shared" si="1"/>
        <v>-15477758.636000004</v>
      </c>
      <c r="G20" s="62">
        <f>SUM(C11:C20)+$C$7+$C$9+F20</f>
        <v>-9011118.376000002</v>
      </c>
      <c r="H20" s="42">
        <v>7.7700000000000005E-2</v>
      </c>
      <c r="I20" s="48"/>
      <c r="J20" s="62">
        <f>+J19+E20</f>
        <v>2463487</v>
      </c>
    </row>
    <row r="21" spans="1:10" hidden="1">
      <c r="A21" s="44" t="s">
        <v>31</v>
      </c>
      <c r="B21" s="62">
        <v>3263631.97</v>
      </c>
      <c r="C21" s="62">
        <v>1139336.82</v>
      </c>
      <c r="D21" s="62">
        <v>-3868999.04</v>
      </c>
      <c r="E21" s="62">
        <v>-94611</v>
      </c>
      <c r="F21" s="62">
        <f t="shared" si="1"/>
        <v>-16177736.706000004</v>
      </c>
      <c r="G21" s="62">
        <f>SUM(C11:C21)+$C$7+$C$9+F21</f>
        <v>-8571759.626000002</v>
      </c>
      <c r="H21" s="42">
        <v>7.7700000000000005E-2</v>
      </c>
      <c r="I21" s="48"/>
      <c r="J21" s="62">
        <f>+J20+E21</f>
        <v>2368876</v>
      </c>
    </row>
    <row r="22" spans="1:10" hidden="1">
      <c r="A22" s="44" t="s">
        <v>32</v>
      </c>
      <c r="B22" s="62">
        <v>11905939.859999999</v>
      </c>
      <c r="C22" s="62">
        <v>-4945115.43</v>
      </c>
      <c r="D22" s="62">
        <v>-4580101.47</v>
      </c>
      <c r="E22" s="62">
        <f>ROUND((((B22+D22)/2)+F21)*(7.77%/12),0)</f>
        <v>-81033</v>
      </c>
      <c r="F22" s="62">
        <f t="shared" si="1"/>
        <v>-8932931.3160000034</v>
      </c>
      <c r="G22" s="62">
        <f>SUM(C11:C22)+$C$7+$C$9+F22</f>
        <v>-6272069.6660000021</v>
      </c>
      <c r="H22" s="42">
        <v>7.7700000000000005E-2</v>
      </c>
      <c r="I22" s="48"/>
      <c r="J22" s="62">
        <f>+J21+E22</f>
        <v>2287843</v>
      </c>
    </row>
    <row r="23" spans="1:10">
      <c r="A23" s="41" t="s">
        <v>35</v>
      </c>
      <c r="B23" s="73">
        <f>SUM(B11:B22)</f>
        <v>51076863.060000002</v>
      </c>
      <c r="C23" s="73">
        <f>SUM(C11:C22)</f>
        <v>-1985771.9799999986</v>
      </c>
      <c r="D23" s="73">
        <f>SUM(D11:D22)</f>
        <v>-45941420.799999997</v>
      </c>
      <c r="E23" s="73">
        <f>SUM(E11:E22)</f>
        <v>-1128853</v>
      </c>
      <c r="F23" s="74">
        <v>-8932931.3160000034</v>
      </c>
      <c r="G23" s="74">
        <v>-6272069.6660000021</v>
      </c>
      <c r="H23" s="97">
        <v>7.7700000000000005E-2</v>
      </c>
      <c r="I23" s="48"/>
      <c r="J23" s="72">
        <v>2287843</v>
      </c>
    </row>
    <row r="24" spans="1:10">
      <c r="A24" s="41"/>
      <c r="B24" s="76"/>
      <c r="C24" s="76"/>
      <c r="D24" s="76"/>
      <c r="E24" s="76"/>
      <c r="F24" s="74"/>
      <c r="G24" s="74"/>
      <c r="H24" s="75"/>
      <c r="I24" s="48"/>
      <c r="J24" s="72"/>
    </row>
    <row r="25" spans="1:10">
      <c r="A25" s="44" t="s">
        <v>21</v>
      </c>
      <c r="B25" s="62">
        <v>4196557.4000000004</v>
      </c>
      <c r="C25" s="62">
        <v>1838939.81</v>
      </c>
      <c r="D25" s="62">
        <v>-4530672.1500000004</v>
      </c>
      <c r="E25" s="62">
        <f>ROUND((((B25+D25)/2)+F22)*(7.77%/12),0)</f>
        <v>-58922</v>
      </c>
      <c r="F25" s="62">
        <f>+F22+B25+D25+E25</f>
        <v>-9325968.0660000034</v>
      </c>
      <c r="G25" s="62">
        <f>SUM(C25)+$C$7+$C$9+$C$23+F25</f>
        <v>-4826166.6060000015</v>
      </c>
      <c r="H25" s="42">
        <v>7.7600000000000002E-2</v>
      </c>
      <c r="I25" s="48"/>
      <c r="J25" s="62">
        <f>+J22+E25</f>
        <v>2228921</v>
      </c>
    </row>
    <row r="26" spans="1:10">
      <c r="A26" s="45" t="s">
        <v>22</v>
      </c>
      <c r="B26" s="62">
        <v>7301899.2400000002</v>
      </c>
      <c r="C26" s="62">
        <v>-719294.72</v>
      </c>
      <c r="D26" s="62">
        <v>-3936377.67</v>
      </c>
      <c r="E26" s="62">
        <f t="shared" ref="E26:E35" si="3">ROUND((((B26+D26)/2)+F25)*(7.77%/12),0)</f>
        <v>-49490</v>
      </c>
      <c r="F26" s="62">
        <f t="shared" ref="F26:F36" si="4">+F25+B26+D26+E26</f>
        <v>-6009936.4960000031</v>
      </c>
      <c r="G26" s="62">
        <f>SUM(C25:C26)+$C$7+$C$9+$C$23+F26</f>
        <v>-2229429.756000001</v>
      </c>
      <c r="H26" s="42">
        <v>7.7600000000000002E-2</v>
      </c>
      <c r="I26" s="48"/>
      <c r="J26" s="62">
        <f t="shared" ref="J26:J31" si="5">+J25+E26</f>
        <v>2179431</v>
      </c>
    </row>
    <row r="27" spans="1:10">
      <c r="A27" s="46" t="s">
        <v>23</v>
      </c>
      <c r="B27" s="62">
        <v>9513000.9499999993</v>
      </c>
      <c r="C27" s="62">
        <v>107508.32</v>
      </c>
      <c r="D27" s="62">
        <v>-4826683.72</v>
      </c>
      <c r="E27" s="62">
        <f t="shared" si="3"/>
        <v>-23742</v>
      </c>
      <c r="F27" s="62">
        <f t="shared" si="4"/>
        <v>-1347361.2660000036</v>
      </c>
      <c r="G27" s="62">
        <f>SUM(C25:C27)+$C$7+$C$9+$C$23+F27</f>
        <v>2540653.7939999979</v>
      </c>
      <c r="H27" s="42">
        <v>7.7600000000000002E-2</v>
      </c>
      <c r="I27" s="47"/>
      <c r="J27" s="62">
        <f t="shared" si="5"/>
        <v>2155689</v>
      </c>
    </row>
    <row r="28" spans="1:10">
      <c r="A28" s="44" t="s">
        <v>24</v>
      </c>
      <c r="B28" s="62">
        <v>8332524.4299999997</v>
      </c>
      <c r="C28" s="62">
        <v>-364021.59</v>
      </c>
      <c r="D28" s="62">
        <v>-4024107.75</v>
      </c>
      <c r="E28" s="62">
        <f t="shared" si="3"/>
        <v>5224</v>
      </c>
      <c r="F28" s="62">
        <f t="shared" si="4"/>
        <v>2966279.4139999961</v>
      </c>
      <c r="G28" s="62">
        <f>SUM(C25:C28)+$C$7+$C$9+$C$23+F28</f>
        <v>6490272.8839999977</v>
      </c>
      <c r="H28" s="42">
        <v>7.7600000000000002E-2</v>
      </c>
      <c r="I28" s="48"/>
      <c r="J28" s="62">
        <f t="shared" si="5"/>
        <v>2160913</v>
      </c>
    </row>
    <row r="29" spans="1:10">
      <c r="A29" s="45" t="s">
        <v>25</v>
      </c>
      <c r="B29" s="62">
        <v>5867664.04</v>
      </c>
      <c r="C29" s="62">
        <v>86444.05</v>
      </c>
      <c r="D29" s="62">
        <v>-4206797.6900000004</v>
      </c>
      <c r="E29" s="62">
        <f t="shared" si="3"/>
        <v>24584</v>
      </c>
      <c r="F29" s="62">
        <f t="shared" si="4"/>
        <v>4651729.7639999958</v>
      </c>
      <c r="G29" s="62">
        <f>SUM(C25:C29)+$C$7+$C$9+$C$23+F29</f>
        <v>8262167.2839999981</v>
      </c>
      <c r="H29" s="42">
        <v>7.7600000000000002E-2</v>
      </c>
      <c r="I29" s="48"/>
      <c r="J29" s="62">
        <f t="shared" si="5"/>
        <v>2185497</v>
      </c>
    </row>
    <row r="30" spans="1:10">
      <c r="A30" s="45" t="s">
        <v>26</v>
      </c>
      <c r="B30" s="62">
        <v>9395350.6799999997</v>
      </c>
      <c r="C30" s="62">
        <v>-224949.94</v>
      </c>
      <c r="D30" s="62">
        <v>-5230146.9000000004</v>
      </c>
      <c r="E30" s="62">
        <f t="shared" si="3"/>
        <v>43605</v>
      </c>
      <c r="F30" s="62">
        <f t="shared" si="4"/>
        <v>8860538.5439999942</v>
      </c>
      <c r="G30" s="62">
        <f>SUM(C25:C30)+$C$7+$C$9+$C$23+F30</f>
        <v>12246026.123999996</v>
      </c>
      <c r="H30" s="42">
        <v>7.7600000000000002E-2</v>
      </c>
      <c r="I30" s="48"/>
      <c r="J30" s="62">
        <f t="shared" si="5"/>
        <v>2229102</v>
      </c>
    </row>
    <row r="31" spans="1:10">
      <c r="A31" s="44" t="s">
        <v>27</v>
      </c>
      <c r="B31" s="62">
        <v>6005272.6799999997</v>
      </c>
      <c r="C31" s="62">
        <v>707312.72</v>
      </c>
      <c r="D31" s="62">
        <v>-6293445.3200000003</v>
      </c>
      <c r="E31" s="62">
        <f t="shared" si="3"/>
        <v>56439</v>
      </c>
      <c r="F31" s="62">
        <f t="shared" si="4"/>
        <v>8628804.9039999936</v>
      </c>
      <c r="G31" s="62">
        <f>SUM(C25:C31)+$C$7+$C$9+$C$23+F31</f>
        <v>12721605.203999996</v>
      </c>
      <c r="H31" s="42">
        <v>7.7600000000000002E-2</v>
      </c>
      <c r="I31" s="48"/>
      <c r="J31" s="62">
        <f t="shared" si="5"/>
        <v>2285541</v>
      </c>
    </row>
    <row r="32" spans="1:10">
      <c r="A32" s="44" t="s">
        <v>28</v>
      </c>
      <c r="B32" s="62">
        <v>5839647.3200000003</v>
      </c>
      <c r="C32" s="62">
        <v>1966034.46</v>
      </c>
      <c r="D32" s="62">
        <v>-6733047.1699999999</v>
      </c>
      <c r="E32" s="62">
        <f t="shared" si="3"/>
        <v>52979</v>
      </c>
      <c r="F32" s="62">
        <f t="shared" si="4"/>
        <v>7788384.053999994</v>
      </c>
      <c r="G32" s="62">
        <f>SUM(C25:C32)+$C$7+$C$9+$C$23+F32</f>
        <v>13847218.813999996</v>
      </c>
      <c r="H32" s="42">
        <v>7.7600000000000002E-2</v>
      </c>
      <c r="I32" s="48"/>
      <c r="J32" s="62">
        <f>+J31+E32</f>
        <v>2338520</v>
      </c>
    </row>
    <row r="33" spans="1:10">
      <c r="A33" s="44" t="s">
        <v>29</v>
      </c>
      <c r="B33" s="62">
        <v>4767034.04</v>
      </c>
      <c r="C33" s="62">
        <v>334494.95</v>
      </c>
      <c r="D33" s="62">
        <v>-5742216.3899999997</v>
      </c>
      <c r="E33" s="62">
        <f t="shared" si="3"/>
        <v>47273</v>
      </c>
      <c r="F33" s="62">
        <f t="shared" si="4"/>
        <v>6860474.7039999934</v>
      </c>
      <c r="G33" s="62">
        <f>SUM(C25:C33)+$C$7+$C$9+$C$23+F33</f>
        <v>13253804.413999995</v>
      </c>
      <c r="H33" s="42">
        <v>7.7600000000000002E-2</v>
      </c>
      <c r="I33" s="48"/>
      <c r="J33" s="62">
        <f>+J32+E33</f>
        <v>2385793</v>
      </c>
    </row>
    <row r="34" spans="1:10">
      <c r="A34" s="44" t="s">
        <v>30</v>
      </c>
      <c r="B34" s="62">
        <v>5954205.6799999997</v>
      </c>
      <c r="C34" s="62">
        <v>-1449084.99</v>
      </c>
      <c r="D34" s="62">
        <v>-4844019.55</v>
      </c>
      <c r="E34" s="62">
        <f t="shared" si="3"/>
        <v>48016</v>
      </c>
      <c r="F34" s="62">
        <f t="shared" si="4"/>
        <v>8018676.8339999923</v>
      </c>
      <c r="G34" s="62">
        <f>SUM(C25:C34)+$C$7+$C$9+$C$23+F34</f>
        <v>12962921.553999994</v>
      </c>
      <c r="H34" s="42">
        <v>7.7600000000000002E-2</v>
      </c>
      <c r="I34" s="48"/>
      <c r="J34" s="62">
        <f>+J33+E34</f>
        <v>2433809</v>
      </c>
    </row>
    <row r="35" spans="1:10">
      <c r="A35" s="44" t="s">
        <v>31</v>
      </c>
      <c r="B35" s="62">
        <v>8026170.0499999998</v>
      </c>
      <c r="C35" s="62">
        <v>-832510.46</v>
      </c>
      <c r="D35" s="62">
        <v>-4253145.43</v>
      </c>
      <c r="E35" s="62">
        <f t="shared" si="3"/>
        <v>64136</v>
      </c>
      <c r="F35" s="62">
        <f t="shared" si="4"/>
        <v>11855837.453999992</v>
      </c>
      <c r="G35" s="62">
        <f>SUM(C25:C35)+$C$7+$C$9+$C$23+F35</f>
        <v>15967571.713999994</v>
      </c>
      <c r="H35" s="42">
        <v>7.7600000000000002E-2</v>
      </c>
      <c r="I35" s="48"/>
      <c r="J35" s="62">
        <f>+J34+E35</f>
        <v>2497945</v>
      </c>
    </row>
    <row r="36" spans="1:10">
      <c r="A36" s="44" t="s">
        <v>32</v>
      </c>
      <c r="B36" s="62">
        <v>6528307.1600000001</v>
      </c>
      <c r="C36" s="62">
        <v>572303.66</v>
      </c>
      <c r="D36" s="62">
        <v>-4736239.2699999996</v>
      </c>
      <c r="E36" s="62">
        <v>82192</v>
      </c>
      <c r="F36" s="62">
        <f t="shared" si="4"/>
        <v>13730097.343999993</v>
      </c>
      <c r="G36" s="62">
        <f>SUM(C25:C36)+$C$7+$C$9+$C$23+F36</f>
        <v>18414135.263999995</v>
      </c>
      <c r="H36" s="42">
        <v>7.7600000000000002E-2</v>
      </c>
      <c r="I36" s="48"/>
      <c r="J36" s="62">
        <f>+J35+E36</f>
        <v>2580137</v>
      </c>
    </row>
    <row r="37" spans="1:10">
      <c r="A37" s="41" t="s">
        <v>36</v>
      </c>
      <c r="B37" s="66">
        <f>SUM(B25:B36)</f>
        <v>81727633.670000002</v>
      </c>
      <c r="C37" s="66">
        <f>SUM(C25:C36)</f>
        <v>2023176.2700000005</v>
      </c>
      <c r="D37" s="66">
        <f>SUM(D25:D36)</f>
        <v>-59356899.010000005</v>
      </c>
      <c r="E37" s="73">
        <f>SUM(E25:E36)</f>
        <v>292294</v>
      </c>
      <c r="F37" s="74"/>
      <c r="G37" s="74"/>
      <c r="H37" s="75"/>
      <c r="I37" s="48"/>
      <c r="J37" s="72"/>
    </row>
    <row r="38" spans="1:10">
      <c r="B38" s="69"/>
      <c r="C38" s="69"/>
      <c r="D38" s="69"/>
      <c r="E38" s="77"/>
      <c r="F38" s="77"/>
      <c r="G38" s="77"/>
      <c r="H38" s="78"/>
      <c r="I38" s="78"/>
      <c r="J38" s="77"/>
    </row>
    <row r="39" spans="1:10">
      <c r="A39" s="44" t="s">
        <v>21</v>
      </c>
      <c r="B39" s="62">
        <v>3318076.89</v>
      </c>
      <c r="C39" s="62">
        <v>97753.14</v>
      </c>
      <c r="D39" s="62">
        <v>-4853002.2699999996</v>
      </c>
      <c r="E39" s="62">
        <f>ROUND((((B39+D39)/2)+F36)*(7.76%/12),0)-71</f>
        <v>83754</v>
      </c>
      <c r="F39" s="62">
        <f>+F36+B39+D39+E39</f>
        <v>12278925.963999994</v>
      </c>
      <c r="G39" s="62">
        <f>SUM(C39)+$C$7+$C$9+$C$23+F39+C37</f>
        <v>17060717.023999996</v>
      </c>
      <c r="H39" s="42">
        <v>7.7600000000000002E-2</v>
      </c>
      <c r="I39" s="48"/>
      <c r="J39" s="62">
        <f>+J36+E39</f>
        <v>2663891</v>
      </c>
    </row>
    <row r="40" spans="1:10">
      <c r="A40" s="45" t="s">
        <v>22</v>
      </c>
      <c r="B40" s="62">
        <v>3457488.39</v>
      </c>
      <c r="C40" s="62">
        <v>774323.81</v>
      </c>
      <c r="D40" s="62">
        <v>-4566382.75</v>
      </c>
      <c r="E40" s="62">
        <f>ROUND((((B40+D40)/2)+F39)*(7.76%/12),0)-145</f>
        <v>75673</v>
      </c>
      <c r="F40" s="62">
        <f t="shared" ref="F40:F50" si="6">+F39+B40+D40+E40</f>
        <v>11245704.603999995</v>
      </c>
      <c r="G40" s="62">
        <f>SUM(C39:C40)+$C$7+$C$9+$C$23+F40+C37</f>
        <v>16801819.473999996</v>
      </c>
      <c r="H40" s="42">
        <v>7.7600000000000002E-2</v>
      </c>
      <c r="I40" s="48"/>
      <c r="J40" s="62">
        <f t="shared" ref="J40:J45" si="7">+J39+E40</f>
        <v>2739564</v>
      </c>
    </row>
    <row r="41" spans="1:10">
      <c r="A41" s="46" t="s">
        <v>23</v>
      </c>
      <c r="B41" s="62">
        <v>6337484.4500000002</v>
      </c>
      <c r="C41" s="62">
        <v>-1655767.62</v>
      </c>
      <c r="D41" s="62">
        <v>-4692272.12</v>
      </c>
      <c r="E41" s="62">
        <f>ROUND((((B41+D41)/2)+F40)*(7.76%/12),0)+218</f>
        <v>78260</v>
      </c>
      <c r="F41" s="62">
        <f t="shared" si="6"/>
        <v>12969176.933999993</v>
      </c>
      <c r="G41" s="62">
        <f>SUM(C39:C41)+$C$7+$C$9+$C$23+F41+C37</f>
        <v>16869524.183999993</v>
      </c>
      <c r="H41" s="42">
        <v>7.7600000000000002E-2</v>
      </c>
      <c r="I41" s="47"/>
      <c r="J41" s="62">
        <f t="shared" si="7"/>
        <v>2817824</v>
      </c>
    </row>
    <row r="42" spans="1:10">
      <c r="A42" s="44" t="s">
        <v>24</v>
      </c>
      <c r="B42" s="62">
        <v>6266841.8499999996</v>
      </c>
      <c r="C42" s="62">
        <v>-54610.2</v>
      </c>
      <c r="D42" s="62">
        <v>-4546601.7699999996</v>
      </c>
      <c r="E42" s="62">
        <f t="shared" ref="E42:E50" si="8">ROUND((((B42+D42)/2)+F41)*(7.76%/12),0)</f>
        <v>89429</v>
      </c>
      <c r="F42" s="62">
        <f t="shared" si="6"/>
        <v>14778846.013999995</v>
      </c>
      <c r="G42" s="62">
        <f>SUM(C39:C42)+$C$7+$C$9+$C$23+F42+C37</f>
        <v>18624583.063999996</v>
      </c>
      <c r="H42" s="42">
        <v>7.7600000000000002E-2</v>
      </c>
      <c r="I42" s="48"/>
      <c r="J42" s="62">
        <f t="shared" si="7"/>
        <v>2907253</v>
      </c>
    </row>
    <row r="43" spans="1:10">
      <c r="A43" s="45" t="s">
        <v>25</v>
      </c>
      <c r="B43" s="62">
        <v>4339625.5199999996</v>
      </c>
      <c r="C43" s="62">
        <v>424983.98</v>
      </c>
      <c r="D43" s="62">
        <v>-4905098.67</v>
      </c>
      <c r="E43" s="62">
        <f t="shared" si="8"/>
        <v>93742</v>
      </c>
      <c r="F43" s="62">
        <f t="shared" si="6"/>
        <v>14307114.863999994</v>
      </c>
      <c r="G43" s="62">
        <f>SUM(C39:C43)+$C$7+$C$9+$C$23+F43+C37</f>
        <v>18577835.893999998</v>
      </c>
      <c r="H43" s="42">
        <v>7.7600000000000002E-2</v>
      </c>
      <c r="I43" s="48"/>
      <c r="J43" s="62">
        <f t="shared" si="7"/>
        <v>3000995</v>
      </c>
    </row>
    <row r="44" spans="1:10">
      <c r="A44" s="45" t="s">
        <v>26</v>
      </c>
      <c r="B44" s="62">
        <v>6359044.46</v>
      </c>
      <c r="C44" s="62">
        <v>-316592.64000000001</v>
      </c>
      <c r="D44" s="62">
        <v>-5996971.2199999997</v>
      </c>
      <c r="E44" s="62">
        <f t="shared" si="8"/>
        <v>93690</v>
      </c>
      <c r="F44" s="62">
        <f t="shared" si="6"/>
        <v>14762878.103999995</v>
      </c>
      <c r="G44" s="62">
        <f>SUM(C39:C44)+$C$7+$C$9+$C$23+F44+C37</f>
        <v>18717006.493999995</v>
      </c>
      <c r="H44" s="42">
        <v>7.7600000000000002E-2</v>
      </c>
      <c r="I44" s="48"/>
      <c r="J44" s="62">
        <f t="shared" si="7"/>
        <v>3094685</v>
      </c>
    </row>
    <row r="45" spans="1:10">
      <c r="A45" s="44" t="s">
        <v>27</v>
      </c>
      <c r="B45" s="62">
        <v>4432790.5999999996</v>
      </c>
      <c r="C45" s="62">
        <v>1038998.71</v>
      </c>
      <c r="D45" s="62">
        <v>-7896361.6799999997</v>
      </c>
      <c r="E45" s="62">
        <f t="shared" si="8"/>
        <v>84268</v>
      </c>
      <c r="F45" s="62">
        <f t="shared" si="6"/>
        <v>11383575.023999996</v>
      </c>
      <c r="G45" s="62">
        <f>SUM(C39:C45)+$C$7+$C$9+$C$23+F45+C37</f>
        <v>16376702.123999998</v>
      </c>
      <c r="H45" s="42">
        <v>7.7600000000000002E-2</v>
      </c>
      <c r="I45" s="48"/>
      <c r="J45" s="62">
        <f t="shared" si="7"/>
        <v>3178953</v>
      </c>
    </row>
    <row r="46" spans="1:10">
      <c r="A46" s="44" t="s">
        <v>28</v>
      </c>
      <c r="B46" s="62">
        <v>5145653.0199999996</v>
      </c>
      <c r="C46" s="62">
        <v>1071909.69</v>
      </c>
      <c r="D46" s="62">
        <v>-7295459.5800000001</v>
      </c>
      <c r="E46" s="62">
        <f t="shared" si="8"/>
        <v>66663</v>
      </c>
      <c r="F46" s="62">
        <f t="shared" si="6"/>
        <v>9300431.463999996</v>
      </c>
      <c r="G46" s="62">
        <f>SUM(C39:C46)+$C$7+$C$9+$C$23+F46+C37</f>
        <v>15365468.253999997</v>
      </c>
      <c r="H46" s="42">
        <v>7.7600000000000002E-2</v>
      </c>
      <c r="I46" s="48"/>
      <c r="J46" s="62">
        <f>+J45+E46</f>
        <v>3245616</v>
      </c>
    </row>
    <row r="47" spans="1:10">
      <c r="A47" s="44" t="s">
        <v>29</v>
      </c>
      <c r="B47" s="62">
        <v>6483484.71</v>
      </c>
      <c r="C47" s="62">
        <v>-1307725.3</v>
      </c>
      <c r="D47" s="62">
        <v>-7124727.3899999997</v>
      </c>
      <c r="E47" s="62">
        <f t="shared" si="8"/>
        <v>58069</v>
      </c>
      <c r="F47" s="62">
        <f t="shared" si="6"/>
        <v>8717257.7839999944</v>
      </c>
      <c r="G47" s="67">
        <f>SUM(C39:C47)+$C$7+$C$9+$C$23+F47+C37</f>
        <v>13474569.273999996</v>
      </c>
      <c r="H47" s="42">
        <v>7.7600000000000002E-2</v>
      </c>
      <c r="I47" s="48"/>
      <c r="J47" s="62">
        <f>+J46+E47</f>
        <v>3303685</v>
      </c>
    </row>
    <row r="48" spans="1:10">
      <c r="A48" s="44" t="s">
        <v>30</v>
      </c>
      <c r="B48" s="68">
        <f>+'Projected Exp - Attachment 3'!E30</f>
        <v>4404358.3333333312</v>
      </c>
      <c r="C48" s="63"/>
      <c r="D48" s="68">
        <v>-5242805.777309767</v>
      </c>
      <c r="E48" s="62">
        <f t="shared" si="8"/>
        <v>53661</v>
      </c>
      <c r="F48" s="62">
        <f t="shared" si="6"/>
        <v>7932471.3400235595</v>
      </c>
      <c r="G48" s="62">
        <f>SUM(C39:C48)+$C$7+$C$9+$C$23+F48+C37</f>
        <v>12689782.830023561</v>
      </c>
      <c r="H48" s="42">
        <v>7.7600000000000002E-2</v>
      </c>
      <c r="I48" s="48"/>
      <c r="J48" s="62">
        <f>+J47+E48</f>
        <v>3357346</v>
      </c>
    </row>
    <row r="49" spans="1:10">
      <c r="A49" s="44" t="s">
        <v>31</v>
      </c>
      <c r="B49" s="68">
        <f>+'Projected Exp - Attachment 3'!F30</f>
        <v>6261307.3333333312</v>
      </c>
      <c r="C49" s="63"/>
      <c r="D49" s="68">
        <v>-5267424.9325506054</v>
      </c>
      <c r="E49" s="62">
        <f t="shared" si="8"/>
        <v>54510</v>
      </c>
      <c r="F49" s="62">
        <f t="shared" si="6"/>
        <v>8980863.7408062853</v>
      </c>
      <c r="G49" s="62">
        <f>SUM(C39:C49)+$C$7+$C$9+$C$23+F49+C37</f>
        <v>13738175.230806287</v>
      </c>
      <c r="H49" s="42">
        <v>7.7600000000000002E-2</v>
      </c>
      <c r="I49" s="48"/>
      <c r="J49" s="62">
        <f>+J48+E49</f>
        <v>3411856</v>
      </c>
    </row>
    <row r="50" spans="1:10">
      <c r="A50" s="44" t="s">
        <v>32</v>
      </c>
      <c r="B50" s="68">
        <f>+'Projected Exp - Attachment 3'!G30</f>
        <v>4376603.3333333321</v>
      </c>
      <c r="C50" s="63"/>
      <c r="D50" s="68">
        <v>-5714059.6908879913</v>
      </c>
      <c r="E50" s="62">
        <f t="shared" si="8"/>
        <v>53752</v>
      </c>
      <c r="F50" s="62">
        <f t="shared" si="6"/>
        <v>7697159.383251626</v>
      </c>
      <c r="G50" s="62">
        <f>SUM(C39:C50)+$C$7+$C$9+$C$23+F50+C37</f>
        <v>12454470.873251628</v>
      </c>
      <c r="H50" s="42">
        <v>7.7600000000000002E-2</v>
      </c>
      <c r="I50" s="48"/>
      <c r="J50" s="62">
        <f>+J49+E50</f>
        <v>3465608</v>
      </c>
    </row>
    <row r="51" spans="1:10">
      <c r="A51" s="41" t="s">
        <v>40</v>
      </c>
      <c r="B51" s="66">
        <f>SUM(B39:B50)</f>
        <v>61182758.889999986</v>
      </c>
      <c r="C51" s="66">
        <f>SUM(C39:C50)</f>
        <v>73273.569999999832</v>
      </c>
      <c r="D51" s="66">
        <f>SUM(D39:D50)</f>
        <v>-68101167.85074836</v>
      </c>
      <c r="E51" s="73">
        <f>SUM(E39:E50)</f>
        <v>885471</v>
      </c>
      <c r="F51" s="74"/>
      <c r="G51" s="74"/>
      <c r="H51" s="75"/>
      <c r="I51" s="48"/>
      <c r="J51" s="72"/>
    </row>
    <row r="52" spans="1:10">
      <c r="B52" s="69"/>
      <c r="C52" s="69"/>
      <c r="D52" s="69"/>
      <c r="E52" s="77"/>
      <c r="F52" s="77"/>
      <c r="G52" s="77"/>
      <c r="H52" s="78"/>
      <c r="I52" s="78"/>
      <c r="J52" s="77"/>
    </row>
    <row r="53" spans="1:10">
      <c r="A53" s="44" t="s">
        <v>21</v>
      </c>
      <c r="B53" s="68">
        <f>+'Projected Exp - Attachment 3'!M30</f>
        <v>4928146.5562500004</v>
      </c>
      <c r="C53" s="63"/>
      <c r="D53" s="68">
        <v>-5576887.1434421325</v>
      </c>
      <c r="E53" s="62">
        <f>ROUND((((B53+D53)/2)+F50)*(7.76%/12),0)</f>
        <v>47677</v>
      </c>
      <c r="F53" s="62">
        <f>+F50+B53+D53+E53</f>
        <v>7096095.7960594939</v>
      </c>
      <c r="G53" s="62">
        <f>SUM(C53)+$C$7+$C$9+$C$23+F53+C51+C37</f>
        <v>11853407.286059495</v>
      </c>
      <c r="H53" s="42">
        <v>7.7600000000000002E-2</v>
      </c>
      <c r="I53" s="42">
        <v>7.7600000000000002E-2</v>
      </c>
      <c r="J53" s="62">
        <f>+J50+E53</f>
        <v>3513285</v>
      </c>
    </row>
    <row r="54" spans="1:10">
      <c r="A54" s="45" t="s">
        <v>22</v>
      </c>
      <c r="B54" s="68">
        <f>+'Projected Exp - Attachment 3'!N30</f>
        <v>4519598.5562500004</v>
      </c>
      <c r="C54" s="63"/>
      <c r="D54" s="68">
        <v>-5079331.4438157035</v>
      </c>
      <c r="E54" s="62">
        <f t="shared" ref="E54:E64" si="9">ROUND((((B54+D54)/2)+F53)*(7.76%/12),0)</f>
        <v>44078</v>
      </c>
      <c r="F54" s="62">
        <f t="shared" ref="F54:F64" si="10">+F53+B54+D54+E54</f>
        <v>6580440.9084937917</v>
      </c>
      <c r="G54" s="62">
        <f>SUM(C53:C54)+$C$7+$C$9+$C$23+F54+C51+C37</f>
        <v>11337752.398493793</v>
      </c>
      <c r="H54" s="42">
        <v>7.7600000000000002E-2</v>
      </c>
      <c r="I54" s="42">
        <v>7.7600000000000002E-2</v>
      </c>
      <c r="J54" s="62">
        <f t="shared" ref="J54:J59" si="11">+J53+E54</f>
        <v>3557363</v>
      </c>
    </row>
    <row r="55" spans="1:10">
      <c r="A55" s="46" t="s">
        <v>23</v>
      </c>
      <c r="B55" s="68">
        <f>+'Projected Exp - Attachment 3'!O30</f>
        <v>4937832.5562500004</v>
      </c>
      <c r="C55" s="63"/>
      <c r="D55" s="68">
        <v>-5106788.6927688075</v>
      </c>
      <c r="E55" s="62">
        <f t="shared" si="9"/>
        <v>42007</v>
      </c>
      <c r="F55" s="62">
        <f t="shared" si="10"/>
        <v>6453491.7719749855</v>
      </c>
      <c r="G55" s="62">
        <f>SUM(C53:C55)+$C$7+$C$9+$C$23+F55+C51+C37</f>
        <v>11210803.261974987</v>
      </c>
      <c r="H55" s="42">
        <v>7.7600000000000002E-2</v>
      </c>
      <c r="I55" s="42">
        <v>7.7600000000000002E-2</v>
      </c>
      <c r="J55" s="62">
        <f t="shared" si="11"/>
        <v>3599370</v>
      </c>
    </row>
    <row r="56" spans="1:10">
      <c r="A56" s="44" t="s">
        <v>24</v>
      </c>
      <c r="B56" s="68">
        <f>+'Projected Exp - Attachment 3'!P30</f>
        <v>5985415.5562500004</v>
      </c>
      <c r="C56" s="63"/>
      <c r="D56" s="68">
        <v>-4807667.784090329</v>
      </c>
      <c r="E56" s="62">
        <f t="shared" si="9"/>
        <v>45541</v>
      </c>
      <c r="F56" s="62">
        <f t="shared" si="10"/>
        <v>7676780.5441346578</v>
      </c>
      <c r="G56" s="62">
        <f>SUM(C53:C56)+$C$7+$C$9+$C$23+F56+C51+C37</f>
        <v>12434092.03413466</v>
      </c>
      <c r="H56" s="42">
        <v>7.7600000000000002E-2</v>
      </c>
      <c r="I56" s="42">
        <v>7.7600000000000002E-2</v>
      </c>
      <c r="J56" s="62">
        <f t="shared" si="11"/>
        <v>3644911</v>
      </c>
    </row>
    <row r="57" spans="1:10">
      <c r="A57" s="45" t="s">
        <v>25</v>
      </c>
      <c r="B57" s="68">
        <f>+'Projected Exp - Attachment 3'!Q30</f>
        <v>4820341.5562500004</v>
      </c>
      <c r="C57" s="62"/>
      <c r="D57" s="68">
        <v>-5719401.1671464471</v>
      </c>
      <c r="E57" s="62">
        <f t="shared" si="9"/>
        <v>46736</v>
      </c>
      <c r="F57" s="62">
        <f t="shared" si="10"/>
        <v>6824456.9332382111</v>
      </c>
      <c r="G57" s="62">
        <f>SUM(C53:C57)+$C$7+$C$9+$C$23+F57+C51+C37</f>
        <v>11581768.423238214</v>
      </c>
      <c r="H57" s="42">
        <v>7.7600000000000002E-2</v>
      </c>
      <c r="I57" s="42">
        <v>7.7600000000000002E-2</v>
      </c>
      <c r="J57" s="62">
        <f t="shared" si="11"/>
        <v>3691647</v>
      </c>
    </row>
    <row r="58" spans="1:10">
      <c r="A58" s="45" t="s">
        <v>26</v>
      </c>
      <c r="B58" s="68">
        <f>+'Projected Exp - Attachment 3'!R30</f>
        <v>4857718.5562500004</v>
      </c>
      <c r="C58" s="62"/>
      <c r="D58" s="68">
        <v>-6364341.9715104261</v>
      </c>
      <c r="E58" s="62">
        <f t="shared" si="9"/>
        <v>39260</v>
      </c>
      <c r="F58" s="62">
        <f t="shared" si="10"/>
        <v>5357093.5179777844</v>
      </c>
      <c r="G58" s="62">
        <f>SUM(C53:C58)+$C$7+$C$9+$C$23+F58+C51+C37</f>
        <v>10114405.007977787</v>
      </c>
      <c r="H58" s="42">
        <v>7.7600000000000002E-2</v>
      </c>
      <c r="I58" s="42">
        <v>7.7600000000000002E-2</v>
      </c>
      <c r="J58" s="62">
        <f t="shared" si="11"/>
        <v>3730907</v>
      </c>
    </row>
    <row r="59" spans="1:10">
      <c r="A59" s="44" t="s">
        <v>27</v>
      </c>
      <c r="B59" s="68">
        <f>+'Projected Exp - Attachment 3'!S30</f>
        <v>5482177.5562500004</v>
      </c>
      <c r="C59" s="63"/>
      <c r="D59" s="68">
        <v>-7880763.233209989</v>
      </c>
      <c r="E59" s="62">
        <f t="shared" si="9"/>
        <v>26887</v>
      </c>
      <c r="F59" s="62">
        <f t="shared" si="10"/>
        <v>2985394.8410177948</v>
      </c>
      <c r="G59" s="62">
        <f>SUM(C53:C59)+$C$7+$C$9+$C$23+F59+C51+C37</f>
        <v>7742706.3310177969</v>
      </c>
      <c r="H59" s="42">
        <v>7.7600000000000002E-2</v>
      </c>
      <c r="I59" s="42">
        <v>7.7600000000000002E-2</v>
      </c>
      <c r="J59" s="62">
        <f t="shared" si="11"/>
        <v>3757794</v>
      </c>
    </row>
    <row r="60" spans="1:10">
      <c r="A60" s="44" t="s">
        <v>28</v>
      </c>
      <c r="B60" s="68">
        <f>+'Projected Exp - Attachment 3'!T30</f>
        <v>4797942.5562500004</v>
      </c>
      <c r="C60" s="63"/>
      <c r="D60" s="68">
        <v>-7547041.0206687376</v>
      </c>
      <c r="E60" s="62">
        <f t="shared" si="9"/>
        <v>10417</v>
      </c>
      <c r="F60" s="62">
        <f t="shared" si="10"/>
        <v>246713.37659905758</v>
      </c>
      <c r="G60" s="62">
        <f>SUM(C53:C60)+$C$7+$C$9+$C$23+F60+C51+C37</f>
        <v>5004024.8665990587</v>
      </c>
      <c r="H60" s="42">
        <v>7.7600000000000002E-2</v>
      </c>
      <c r="I60" s="42">
        <v>7.7600000000000002E-2</v>
      </c>
      <c r="J60" s="62">
        <f>+J59+E60</f>
        <v>3768211</v>
      </c>
    </row>
    <row r="61" spans="1:10">
      <c r="A61" s="44" t="s">
        <v>29</v>
      </c>
      <c r="B61" s="68">
        <f>+'Projected Exp - Attachment 3'!U30</f>
        <v>5923057.25</v>
      </c>
      <c r="C61" s="63"/>
      <c r="D61" s="68">
        <v>-6140666.6673494028</v>
      </c>
      <c r="E61" s="62">
        <f t="shared" si="9"/>
        <v>892</v>
      </c>
      <c r="F61" s="62">
        <f t="shared" si="10"/>
        <v>29995.959249654785</v>
      </c>
      <c r="G61" s="62">
        <f>SUM(C53:C61)+$C$7+$C$9+$C$23+F61+C51+C37</f>
        <v>4787307.4492496569</v>
      </c>
      <c r="H61" s="42">
        <v>7.7600000000000002E-2</v>
      </c>
      <c r="I61" s="42">
        <v>7.7600000000000002E-2</v>
      </c>
      <c r="J61" s="62">
        <f>+J60+E61</f>
        <v>3769103</v>
      </c>
    </row>
    <row r="62" spans="1:10">
      <c r="A62" s="44" t="s">
        <v>30</v>
      </c>
      <c r="B62" s="68">
        <f>+'Projected Exp - Attachment 3'!V30</f>
        <v>5522570.25</v>
      </c>
      <c r="C62" s="63"/>
      <c r="D62" s="68">
        <v>-5019062.147390468</v>
      </c>
      <c r="E62" s="62">
        <f t="shared" si="9"/>
        <v>1822</v>
      </c>
      <c r="F62" s="62">
        <f t="shared" si="10"/>
        <v>535326.06185918674</v>
      </c>
      <c r="G62" s="62">
        <f>SUM(C53:C62)+$C$7+$C$9+$C$23+F62+C51+C37</f>
        <v>5292637.5518591888</v>
      </c>
      <c r="H62" s="42">
        <v>7.7600000000000002E-2</v>
      </c>
      <c r="I62" s="42">
        <v>7.7600000000000002E-2</v>
      </c>
      <c r="J62" s="62">
        <f>+J61+E62</f>
        <v>3770925</v>
      </c>
    </row>
    <row r="63" spans="1:10">
      <c r="A63" s="44" t="s">
        <v>31</v>
      </c>
      <c r="B63" s="68">
        <f>+'Projected Exp - Attachment 3'!W30</f>
        <v>7639414.25</v>
      </c>
      <c r="C63" s="63"/>
      <c r="D63" s="68">
        <v>-5082275.9164756304</v>
      </c>
      <c r="E63" s="62">
        <f t="shared" si="9"/>
        <v>11730</v>
      </c>
      <c r="F63" s="62">
        <f t="shared" si="10"/>
        <v>3104194.3953835564</v>
      </c>
      <c r="G63" s="62">
        <f>SUM(C53:C63)+$C$7+$C$9+$C$23+F63+C51+C37</f>
        <v>7861505.8853835585</v>
      </c>
      <c r="H63" s="42">
        <v>7.7600000000000002E-2</v>
      </c>
      <c r="I63" s="42">
        <v>7.7600000000000002E-2</v>
      </c>
      <c r="J63" s="62">
        <f>+J62+E63</f>
        <v>3782655</v>
      </c>
    </row>
    <row r="64" spans="1:10">
      <c r="A64" s="44" t="s">
        <v>32</v>
      </c>
      <c r="B64" s="68">
        <f>+'Projected Exp - Attachment 3'!X30</f>
        <v>5885597.25</v>
      </c>
      <c r="C64" s="63"/>
      <c r="D64" s="68">
        <v>-5606981.0891759377</v>
      </c>
      <c r="E64" s="62">
        <f t="shared" si="9"/>
        <v>20975</v>
      </c>
      <c r="F64" s="62">
        <f t="shared" si="10"/>
        <v>3403785.5562076177</v>
      </c>
      <c r="G64" s="62">
        <f>SUM(C53:C64)+$C$7+$C$9+$C$23+F64+C51+C37</f>
        <v>8161097.0462076189</v>
      </c>
      <c r="H64" s="42">
        <v>7.7600000000000002E-2</v>
      </c>
      <c r="I64" s="42">
        <v>7.7600000000000002E-2</v>
      </c>
      <c r="J64" s="62">
        <f>+J63+E64</f>
        <v>3803630</v>
      </c>
    </row>
    <row r="65" spans="1:10">
      <c r="A65" s="41" t="s">
        <v>53</v>
      </c>
      <c r="B65" s="66">
        <f>SUM(B53:B64)</f>
        <v>65299812.449999996</v>
      </c>
      <c r="C65" s="66">
        <f>SUM(C53:C64)</f>
        <v>0</v>
      </c>
      <c r="D65" s="66">
        <f>SUM(D53:D64)</f>
        <v>-69931208.277044013</v>
      </c>
      <c r="E65" s="73">
        <f>SUM(E53:E64)</f>
        <v>338022</v>
      </c>
      <c r="F65" s="74"/>
      <c r="G65" s="74"/>
      <c r="H65" s="75"/>
      <c r="I65" s="48"/>
      <c r="J65" s="72"/>
    </row>
    <row r="66" spans="1:10">
      <c r="A66" s="44" t="s">
        <v>65</v>
      </c>
      <c r="B66" s="69"/>
      <c r="C66" s="98">
        <f>+C51+C37+C23+C9+C7</f>
        <v>4757311.4900000021</v>
      </c>
      <c r="D66" s="69"/>
      <c r="E66" s="77"/>
      <c r="F66" s="77"/>
      <c r="G66" s="77"/>
      <c r="H66" s="78"/>
      <c r="I66" s="78"/>
      <c r="J66" s="77"/>
    </row>
    <row r="67" spans="1:10">
      <c r="B67" s="69"/>
      <c r="C67" s="99"/>
      <c r="D67" s="69"/>
      <c r="E67" s="77"/>
      <c r="F67" s="77"/>
      <c r="G67" s="77"/>
      <c r="H67" s="78"/>
      <c r="I67" s="78"/>
      <c r="J67" s="77"/>
    </row>
    <row r="68" spans="1:10">
      <c r="A68" s="49" t="s">
        <v>67</v>
      </c>
      <c r="B68" s="69"/>
      <c r="C68" s="69"/>
      <c r="D68" s="69"/>
      <c r="E68" s="69"/>
      <c r="F68" s="69"/>
      <c r="G68" s="69">
        <f>+G47</f>
        <v>13474569.273999996</v>
      </c>
      <c r="J68" s="69"/>
    </row>
    <row r="69" spans="1:10">
      <c r="A69" s="50"/>
      <c r="B69" s="69"/>
      <c r="C69" s="69"/>
      <c r="D69" s="69"/>
      <c r="E69" s="69"/>
      <c r="F69" s="69"/>
      <c r="G69" s="69"/>
      <c r="J69" s="69"/>
    </row>
    <row r="70" spans="1:10">
      <c r="A70" s="49" t="s">
        <v>54</v>
      </c>
      <c r="B70" s="69"/>
      <c r="C70" s="69"/>
      <c r="D70" s="69"/>
      <c r="E70" s="69"/>
      <c r="F70" s="69"/>
      <c r="G70" s="69">
        <f>+SUM(B48:B50)+SUM(B53:B64)</f>
        <v>80342081.449999988</v>
      </c>
      <c r="J70" s="69"/>
    </row>
    <row r="71" spans="1:10">
      <c r="A71" s="49" t="s">
        <v>55</v>
      </c>
      <c r="B71" s="69"/>
      <c r="C71" s="69"/>
      <c r="D71" s="69"/>
      <c r="E71" s="69"/>
      <c r="F71" s="69"/>
      <c r="G71" s="69">
        <f>+SUM(E48:E50)+SUM(E53:E64)</f>
        <v>499945</v>
      </c>
    </row>
    <row r="72" spans="1:10">
      <c r="A72" s="49" t="s">
        <v>56</v>
      </c>
      <c r="B72" s="69"/>
      <c r="C72" s="69"/>
      <c r="D72" s="69"/>
      <c r="E72" s="69"/>
      <c r="F72" s="69"/>
      <c r="G72" s="70">
        <f>SUM(G70:G71)</f>
        <v>80842026.449999988</v>
      </c>
    </row>
    <row r="73" spans="1:10">
      <c r="A73" s="50"/>
      <c r="B73" s="69"/>
      <c r="C73" s="69"/>
      <c r="D73" s="69"/>
      <c r="E73" s="69"/>
      <c r="F73" s="69"/>
      <c r="G73" s="69"/>
    </row>
    <row r="74" spans="1:10">
      <c r="A74" s="49" t="s">
        <v>57</v>
      </c>
      <c r="B74" s="69"/>
      <c r="C74" s="69"/>
      <c r="D74" s="69"/>
      <c r="E74" s="69"/>
      <c r="F74" s="69"/>
      <c r="G74" s="69">
        <f>SUM(D48:D50)+SUM(D53:D64)</f>
        <v>-86155498.67779237</v>
      </c>
    </row>
    <row r="75" spans="1:10">
      <c r="A75" s="51"/>
      <c r="B75" s="69"/>
      <c r="C75" s="69"/>
      <c r="D75" s="69"/>
      <c r="E75" s="69"/>
      <c r="F75" s="69"/>
      <c r="G75" s="69"/>
    </row>
    <row r="76" spans="1:10" ht="15" thickBot="1">
      <c r="A76" s="49" t="s">
        <v>58</v>
      </c>
      <c r="B76" s="69"/>
      <c r="C76" s="69"/>
      <c r="D76" s="69"/>
      <c r="E76" s="69"/>
      <c r="F76" s="69"/>
      <c r="G76" s="71">
        <f>+G68+G72+G74</f>
        <v>8161097.0462076068</v>
      </c>
    </row>
    <row r="77" spans="1:10" ht="15" thickTop="1">
      <c r="A77" s="50"/>
      <c r="B77" s="69"/>
      <c r="C77" s="69"/>
      <c r="D77" s="69"/>
      <c r="E77" s="69"/>
      <c r="F77" s="69"/>
      <c r="G77" s="69"/>
    </row>
    <row r="78" spans="1:10">
      <c r="A78" s="52" t="s">
        <v>39</v>
      </c>
      <c r="B78" s="69"/>
      <c r="C78" s="69"/>
      <c r="D78" s="69"/>
      <c r="E78" s="69"/>
      <c r="F78" s="69"/>
      <c r="G78" s="69"/>
    </row>
    <row r="79" spans="1:10">
      <c r="A79" s="52" t="s">
        <v>68</v>
      </c>
      <c r="B79" s="69"/>
      <c r="C79" s="77"/>
      <c r="D79" s="77"/>
      <c r="E79" s="69"/>
      <c r="F79" s="69"/>
      <c r="G79" s="69"/>
    </row>
    <row r="80" spans="1:10">
      <c r="A80" s="52" t="s">
        <v>75</v>
      </c>
      <c r="B80" s="77"/>
      <c r="C80" s="77"/>
      <c r="D80" s="77"/>
      <c r="E80" s="77"/>
      <c r="F80" s="77"/>
      <c r="G80" s="69"/>
    </row>
    <row r="81" spans="1:7" ht="14.25" customHeight="1">
      <c r="A81" s="52" t="s">
        <v>74</v>
      </c>
      <c r="B81" s="77"/>
      <c r="C81" s="77"/>
      <c r="D81" s="77"/>
      <c r="E81" s="77"/>
      <c r="F81" s="77"/>
      <c r="G81" s="69"/>
    </row>
  </sheetData>
  <mergeCells count="1">
    <mergeCell ref="A3:J3"/>
  </mergeCells>
  <pageMargins left="0.7" right="0.45" top="0.75" bottom="0.75" header="0.3" footer="0.3"/>
  <pageSetup scale="65" orientation="portrait" r:id="rId1"/>
  <ignoredErrors>
    <ignoredError sqref="J12:J22 J25:J36 E12:E20 F50:G50 J39:J50 E25:G25 G11 E22:G22 F12:F21 E31:F35 E26:F28 E29:F29 C37:E37 B23:E23 B37:B38 B51:D51 E51 F36:G36 E30:F30 F39:G39 F40 F41 F42 F43 F44 F45 F46 F47:G47 F48:G48 F49:G49 E43:E50 E64:F64 J53:J64 E39:E42 E53:F53 E54:F54 E55:F55 E56:F56 E57:F57 E58:F58 E59:F59 E60:F60 E61:F61 E62:F62 E63:F63 G53:G64 B48:B50 B53:B64 C66 D52 D65" unlockedFormula="1"/>
    <ignoredError sqref="G12:G21 G26:G30 G31:G35 G41:G42 G40 G45:G46 G44 G43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38"/>
  <sheetViews>
    <sheetView tabSelected="1" zoomScaleNormal="100" zoomScaleSheetLayoutView="85" workbookViewId="0">
      <pane xSplit="1" ySplit="4" topLeftCell="B5" activePane="bottomRight" state="frozen"/>
      <selection activeCell="P21" sqref="P21"/>
      <selection pane="topRight" activeCell="P21" sqref="P21"/>
      <selection pane="bottomLeft" activeCell="P21" sqref="P21"/>
      <selection pane="bottomRight" activeCell="P21" sqref="P21"/>
    </sheetView>
  </sheetViews>
  <sheetFormatPr defaultRowHeight="12.75" outlineLevelCol="1"/>
  <cols>
    <col min="1" max="1" width="48.42578125" style="1" customWidth="1"/>
    <col min="2" max="2" width="14.42578125" style="56" customWidth="1" outlineLevel="1"/>
    <col min="3" max="3" width="11.42578125" style="56" customWidth="1" outlineLevel="1"/>
    <col min="4" max="4" width="11.42578125" style="56" customWidth="1"/>
    <col min="5" max="6" width="11.5703125" style="1" bestFit="1" customWidth="1"/>
    <col min="7" max="7" width="12" style="1" customWidth="1"/>
    <col min="8" max="8" width="14.28515625" style="1" customWidth="1"/>
    <col min="9" max="10" width="12.140625" style="1" bestFit="1" customWidth="1"/>
    <col min="11" max="11" width="12.140625" style="1" customWidth="1"/>
    <col min="12" max="12" width="1.5703125" style="1" customWidth="1"/>
    <col min="13" max="13" width="11.140625" style="1" customWidth="1" outlineLevel="1"/>
    <col min="14" max="14" width="11.85546875" style="1" customWidth="1" outlineLevel="1"/>
    <col min="15" max="24" width="11.140625" style="1" customWidth="1" outlineLevel="1"/>
    <col min="25" max="25" width="12.140625" style="1" bestFit="1" customWidth="1"/>
    <col min="26" max="26" width="1.7109375" style="1" customWidth="1"/>
    <col min="27" max="27" width="13" style="1" bestFit="1" customWidth="1"/>
    <col min="28" max="28" width="9.140625" style="1" customWidth="1"/>
    <col min="29" max="29" width="12.140625" style="1" bestFit="1" customWidth="1"/>
    <col min="30" max="16384" width="9.140625" style="1"/>
  </cols>
  <sheetData>
    <row r="1" spans="1:37" ht="15.75">
      <c r="A1" s="114" t="s">
        <v>86</v>
      </c>
      <c r="B1" s="53"/>
      <c r="C1" s="53"/>
      <c r="D1" s="53"/>
    </row>
    <row r="2" spans="1:37" ht="15.75">
      <c r="A2" s="114" t="s">
        <v>5</v>
      </c>
      <c r="B2" s="54"/>
      <c r="C2" s="54"/>
      <c r="D2" s="54"/>
      <c r="N2" s="5" t="s">
        <v>61</v>
      </c>
    </row>
    <row r="3" spans="1:37">
      <c r="B3" s="55" t="s">
        <v>8</v>
      </c>
      <c r="C3" s="55" t="s">
        <v>37</v>
      </c>
      <c r="D3" s="55" t="s">
        <v>64</v>
      </c>
      <c r="H3" s="15" t="s">
        <v>9</v>
      </c>
      <c r="I3" s="180" t="s">
        <v>60</v>
      </c>
      <c r="J3" s="180" t="s">
        <v>66</v>
      </c>
      <c r="K3" s="180" t="s">
        <v>71</v>
      </c>
      <c r="Y3" s="9" t="s">
        <v>6</v>
      </c>
      <c r="AA3" s="182" t="s">
        <v>63</v>
      </c>
    </row>
    <row r="4" spans="1:37">
      <c r="B4" s="59" t="s">
        <v>69</v>
      </c>
      <c r="C4" s="59" t="s">
        <v>70</v>
      </c>
      <c r="D4" s="59" t="s">
        <v>69</v>
      </c>
      <c r="E4" s="13">
        <v>42278</v>
      </c>
      <c r="F4" s="13">
        <v>42309</v>
      </c>
      <c r="G4" s="13">
        <v>42339</v>
      </c>
      <c r="H4" s="14" t="s">
        <v>59</v>
      </c>
      <c r="I4" s="181" t="s">
        <v>38</v>
      </c>
      <c r="J4" s="181" t="s">
        <v>38</v>
      </c>
      <c r="K4" s="181" t="s">
        <v>38</v>
      </c>
      <c r="L4" s="11"/>
      <c r="M4" s="13">
        <v>42370</v>
      </c>
      <c r="N4" s="13">
        <v>42401</v>
      </c>
      <c r="O4" s="13">
        <v>42430</v>
      </c>
      <c r="P4" s="13">
        <v>42461</v>
      </c>
      <c r="Q4" s="13">
        <v>42491</v>
      </c>
      <c r="R4" s="13">
        <v>42522</v>
      </c>
      <c r="S4" s="13">
        <v>42552</v>
      </c>
      <c r="T4" s="13">
        <v>42583</v>
      </c>
      <c r="U4" s="13">
        <v>42614</v>
      </c>
      <c r="V4" s="13">
        <v>42644</v>
      </c>
      <c r="W4" s="13">
        <v>42675</v>
      </c>
      <c r="X4" s="13">
        <v>42705</v>
      </c>
      <c r="Y4" s="13" t="s">
        <v>62</v>
      </c>
      <c r="Z4" s="10"/>
      <c r="AA4" s="181" t="s">
        <v>38</v>
      </c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>
      <c r="E5" s="11"/>
      <c r="F5" s="11"/>
      <c r="G5" s="11"/>
      <c r="H5" s="12"/>
      <c r="I5" s="12"/>
      <c r="J5" s="12"/>
      <c r="K5" s="12"/>
      <c r="L5" s="10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0"/>
      <c r="AA5" s="2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>
      <c r="A6" s="5" t="s">
        <v>0</v>
      </c>
      <c r="B6" s="57"/>
      <c r="C6" s="57"/>
      <c r="D6" s="57"/>
      <c r="E6" s="10"/>
      <c r="F6" s="10"/>
      <c r="G6" s="10"/>
      <c r="H6" s="10"/>
      <c r="I6" s="10"/>
      <c r="J6" s="10"/>
      <c r="K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AA6" s="2"/>
    </row>
    <row r="7" spans="1:37">
      <c r="A7" s="8" t="s">
        <v>49</v>
      </c>
      <c r="B7" s="58">
        <v>1734825.83</v>
      </c>
      <c r="C7" s="58">
        <v>531970</v>
      </c>
      <c r="D7" s="58">
        <f t="shared" ref="D7:D12" si="0">SUM(B7:C7)</f>
        <v>2266795.83</v>
      </c>
      <c r="E7" s="85">
        <v>170000</v>
      </c>
      <c r="F7" s="85">
        <v>2293212</v>
      </c>
      <c r="G7" s="85">
        <v>190000</v>
      </c>
      <c r="H7" s="4">
        <f t="shared" ref="H7:H12" si="1">SUM(D7:G7)</f>
        <v>4920007.83</v>
      </c>
      <c r="I7" s="4">
        <v>4950008</v>
      </c>
      <c r="J7" s="4">
        <v>4950008</v>
      </c>
      <c r="K7" s="4">
        <f>+J7-30000</f>
        <v>4920008</v>
      </c>
      <c r="M7" s="4">
        <v>323823</v>
      </c>
      <c r="N7" s="4">
        <v>323823</v>
      </c>
      <c r="O7" s="4">
        <v>323823</v>
      </c>
      <c r="P7" s="4">
        <v>323823</v>
      </c>
      <c r="Q7" s="4">
        <v>323823</v>
      </c>
      <c r="R7" s="4">
        <v>323823</v>
      </c>
      <c r="S7" s="4">
        <v>323828</v>
      </c>
      <c r="T7" s="4">
        <v>323823</v>
      </c>
      <c r="U7" s="4">
        <v>323823</v>
      </c>
      <c r="V7" s="4">
        <v>323823</v>
      </c>
      <c r="W7" s="4">
        <v>2743823</v>
      </c>
      <c r="X7" s="4">
        <v>323823</v>
      </c>
      <c r="Y7" s="92">
        <f t="shared" ref="Y7:Y12" si="2">SUM(M7:X7)</f>
        <v>6305881</v>
      </c>
      <c r="AA7" s="2">
        <v>6305881</v>
      </c>
    </row>
    <row r="8" spans="1:37">
      <c r="A8" s="8" t="s">
        <v>1</v>
      </c>
      <c r="B8" s="58">
        <v>47796.56</v>
      </c>
      <c r="C8" s="58">
        <v>6177</v>
      </c>
      <c r="D8" s="58">
        <f t="shared" si="0"/>
        <v>53973.56</v>
      </c>
      <c r="E8" s="83">
        <f>+(+$K$8-$D$8)/3</f>
        <v>5342.1466666666674</v>
      </c>
      <c r="F8" s="83">
        <f>+(+$K$8-$D$8)/3</f>
        <v>5342.1466666666674</v>
      </c>
      <c r="G8" s="83">
        <f>+(+$K$8-$D$8)/3</f>
        <v>5342.1466666666674</v>
      </c>
      <c r="H8" s="4">
        <f t="shared" si="1"/>
        <v>70000</v>
      </c>
      <c r="I8" s="4">
        <v>180000</v>
      </c>
      <c r="J8" s="4">
        <v>135000</v>
      </c>
      <c r="K8" s="4">
        <v>70000</v>
      </c>
      <c r="M8" s="2">
        <f>+$AA$8/12</f>
        <v>11250</v>
      </c>
      <c r="N8" s="2">
        <f t="shared" ref="N8:X8" si="3">+$AA$8/12</f>
        <v>11250</v>
      </c>
      <c r="O8" s="2">
        <f t="shared" si="3"/>
        <v>11250</v>
      </c>
      <c r="P8" s="2">
        <f t="shared" si="3"/>
        <v>11250</v>
      </c>
      <c r="Q8" s="2">
        <f t="shared" si="3"/>
        <v>11250</v>
      </c>
      <c r="R8" s="2">
        <f t="shared" si="3"/>
        <v>11250</v>
      </c>
      <c r="S8" s="2">
        <f t="shared" si="3"/>
        <v>11250</v>
      </c>
      <c r="T8" s="2">
        <f t="shared" si="3"/>
        <v>11250</v>
      </c>
      <c r="U8" s="2">
        <f t="shared" si="3"/>
        <v>11250</v>
      </c>
      <c r="V8" s="2">
        <f t="shared" si="3"/>
        <v>11250</v>
      </c>
      <c r="W8" s="2">
        <f t="shared" si="3"/>
        <v>11250</v>
      </c>
      <c r="X8" s="2">
        <f t="shared" si="3"/>
        <v>11250</v>
      </c>
      <c r="Y8" s="92">
        <f t="shared" si="2"/>
        <v>135000</v>
      </c>
      <c r="AA8" s="2">
        <v>135000</v>
      </c>
    </row>
    <row r="9" spans="1:37">
      <c r="A9" s="8" t="s">
        <v>2</v>
      </c>
      <c r="B9" s="58">
        <v>1449535.11</v>
      </c>
      <c r="C9" s="58">
        <v>177857.24</v>
      </c>
      <c r="D9" s="58">
        <f t="shared" si="0"/>
        <v>1627392.35</v>
      </c>
      <c r="E9" s="83">
        <f>(1846827-$D$9)/3</f>
        <v>73144.883333333302</v>
      </c>
      <c r="F9" s="83">
        <f>(1846827-$D$9)/3</f>
        <v>73144.883333333302</v>
      </c>
      <c r="G9" s="83">
        <f>(1846827-$D$9)/3</f>
        <v>73144.883333333302</v>
      </c>
      <c r="H9" s="4">
        <f t="shared" si="1"/>
        <v>1846827</v>
      </c>
      <c r="I9" s="4">
        <v>1570000</v>
      </c>
      <c r="J9" s="4">
        <f>1570000+230482+40000</f>
        <v>1840482</v>
      </c>
      <c r="K9" s="4">
        <v>1846827</v>
      </c>
      <c r="M9" s="2">
        <v>129542</v>
      </c>
      <c r="N9" s="2">
        <v>119542</v>
      </c>
      <c r="O9" s="2">
        <v>129541</v>
      </c>
      <c r="P9" s="2">
        <v>119542</v>
      </c>
      <c r="Q9" s="2">
        <v>129542</v>
      </c>
      <c r="R9" s="2">
        <v>154542</v>
      </c>
      <c r="S9" s="2">
        <v>144542</v>
      </c>
      <c r="T9" s="2">
        <v>144542</v>
      </c>
      <c r="U9" s="2">
        <v>154542</v>
      </c>
      <c r="V9" s="2">
        <v>154542</v>
      </c>
      <c r="W9" s="2">
        <v>149542</v>
      </c>
      <c r="X9" s="2">
        <v>205544</v>
      </c>
      <c r="Y9" s="92">
        <f t="shared" si="2"/>
        <v>1735505</v>
      </c>
      <c r="AA9" s="2">
        <v>1735505</v>
      </c>
    </row>
    <row r="10" spans="1:37">
      <c r="A10" s="8" t="s">
        <v>7</v>
      </c>
      <c r="B10" s="58">
        <v>2053760.65</v>
      </c>
      <c r="C10" s="58"/>
      <c r="D10" s="58">
        <f t="shared" si="0"/>
        <v>2053760.65</v>
      </c>
      <c r="E10" s="85">
        <v>12000</v>
      </c>
      <c r="F10" s="85">
        <v>230907</v>
      </c>
      <c r="G10" s="85">
        <v>450000</v>
      </c>
      <c r="H10" s="4">
        <f t="shared" si="1"/>
        <v>2746667.65</v>
      </c>
      <c r="I10" s="4">
        <f>853626+1830472</f>
        <v>2684098</v>
      </c>
      <c r="J10" s="4">
        <v>2776668</v>
      </c>
      <c r="K10" s="4">
        <f>+J10-30000</f>
        <v>2746668</v>
      </c>
      <c r="M10" s="2">
        <v>712153</v>
      </c>
      <c r="N10" s="2">
        <v>2465</v>
      </c>
      <c r="O10" s="2">
        <v>2465</v>
      </c>
      <c r="P10" s="2">
        <v>636709</v>
      </c>
      <c r="Q10" s="2">
        <v>2465</v>
      </c>
      <c r="R10" s="2">
        <v>2465</v>
      </c>
      <c r="S10" s="2">
        <v>636709</v>
      </c>
      <c r="T10" s="2">
        <v>2465</v>
      </c>
      <c r="U10" s="2">
        <v>2460</v>
      </c>
      <c r="V10" s="2">
        <v>636709</v>
      </c>
      <c r="W10" s="2">
        <v>2465</v>
      </c>
      <c r="X10" s="2">
        <v>2465</v>
      </c>
      <c r="Y10" s="92">
        <f>SUM(M10:X10)</f>
        <v>2641995</v>
      </c>
      <c r="AA10" s="2">
        <v>2641995</v>
      </c>
    </row>
    <row r="11" spans="1:37">
      <c r="A11" s="8" t="s">
        <v>41</v>
      </c>
      <c r="B11" s="58">
        <v>791408.57</v>
      </c>
      <c r="C11" s="58">
        <v>287995.76</v>
      </c>
      <c r="D11" s="58">
        <f t="shared" si="0"/>
        <v>1079404.33</v>
      </c>
      <c r="E11" s="85">
        <v>107343</v>
      </c>
      <c r="F11" s="87">
        <v>94431</v>
      </c>
      <c r="G11" s="87">
        <v>81518</v>
      </c>
      <c r="H11" s="4">
        <f t="shared" si="1"/>
        <v>1362696.33</v>
      </c>
      <c r="I11" s="4">
        <v>2169592</v>
      </c>
      <c r="J11" s="4">
        <v>1502265</v>
      </c>
      <c r="K11" s="4">
        <v>1362696</v>
      </c>
      <c r="M11" s="2">
        <v>82724</v>
      </c>
      <c r="N11" s="2">
        <v>67596</v>
      </c>
      <c r="O11" s="2">
        <v>112981</v>
      </c>
      <c r="P11" s="2">
        <v>128110</v>
      </c>
      <c r="Q11" s="2">
        <v>158367</v>
      </c>
      <c r="R11" s="2">
        <v>158367</v>
      </c>
      <c r="S11" s="2">
        <v>188623</v>
      </c>
      <c r="T11" s="2">
        <v>173495</v>
      </c>
      <c r="U11" s="2">
        <v>158369</v>
      </c>
      <c r="V11" s="2">
        <v>143238</v>
      </c>
      <c r="W11" s="2">
        <v>112981</v>
      </c>
      <c r="X11" s="2">
        <v>112978</v>
      </c>
      <c r="Y11" s="92">
        <f t="shared" si="2"/>
        <v>1597829</v>
      </c>
      <c r="AA11" s="2">
        <v>1597829</v>
      </c>
    </row>
    <row r="12" spans="1:37">
      <c r="A12" s="8" t="s">
        <v>42</v>
      </c>
      <c r="B12" s="58">
        <v>15370854.800000001</v>
      </c>
      <c r="C12" s="58">
        <v>1931656.08</v>
      </c>
      <c r="D12" s="58">
        <f t="shared" si="0"/>
        <v>17302510.880000003</v>
      </c>
      <c r="E12" s="83">
        <f>(20347816-$D$12)/3</f>
        <v>1015101.7066666657</v>
      </c>
      <c r="F12" s="83">
        <f>(20347816-$D$12)/3</f>
        <v>1015101.7066666657</v>
      </c>
      <c r="G12" s="83">
        <f>(20347816-$D$12)/3</f>
        <v>1015101.7066666657</v>
      </c>
      <c r="H12" s="4">
        <f t="shared" si="1"/>
        <v>20347816.000000004</v>
      </c>
      <c r="I12" s="4">
        <v>20347816</v>
      </c>
      <c r="J12" s="4">
        <v>20347816</v>
      </c>
      <c r="K12" s="4">
        <v>20347816</v>
      </c>
      <c r="M12" s="2">
        <v>522780</v>
      </c>
      <c r="N12" s="2">
        <v>849048</v>
      </c>
      <c r="O12" s="2">
        <v>1211898</v>
      </c>
      <c r="P12" s="2">
        <v>1620107</v>
      </c>
      <c r="Q12" s="2">
        <v>1049020</v>
      </c>
      <c r="R12" s="2">
        <v>1061397</v>
      </c>
      <c r="S12" s="2">
        <v>1031351</v>
      </c>
      <c r="T12" s="2">
        <v>996493</v>
      </c>
      <c r="U12" s="2">
        <v>1231059</v>
      </c>
      <c r="V12" s="2">
        <v>1114155</v>
      </c>
      <c r="W12" s="2">
        <v>1480500</v>
      </c>
      <c r="X12" s="2">
        <v>2090688</v>
      </c>
      <c r="Y12" s="92">
        <f t="shared" si="2"/>
        <v>14258496</v>
      </c>
      <c r="AA12" s="2">
        <v>14258496</v>
      </c>
    </row>
    <row r="13" spans="1:37">
      <c r="A13" s="9"/>
      <c r="B13" s="82">
        <f t="shared" ref="B13:K13" si="4">SUM(B7:B12)</f>
        <v>21448181.520000003</v>
      </c>
      <c r="C13" s="82">
        <f t="shared" si="4"/>
        <v>2935656.08</v>
      </c>
      <c r="D13" s="82">
        <f t="shared" si="4"/>
        <v>24383837.600000001</v>
      </c>
      <c r="E13" s="3">
        <f t="shared" si="4"/>
        <v>1382931.7366666656</v>
      </c>
      <c r="F13" s="3">
        <f t="shared" si="4"/>
        <v>3712138.7366666654</v>
      </c>
      <c r="G13" s="3">
        <f t="shared" si="4"/>
        <v>1815106.7366666659</v>
      </c>
      <c r="H13" s="3">
        <f t="shared" si="4"/>
        <v>31294014.810000002</v>
      </c>
      <c r="I13" s="3">
        <f t="shared" si="4"/>
        <v>31901514</v>
      </c>
      <c r="J13" s="3">
        <f t="shared" si="4"/>
        <v>31552239</v>
      </c>
      <c r="K13" s="3">
        <f t="shared" si="4"/>
        <v>31294015</v>
      </c>
      <c r="M13" s="3">
        <f t="shared" ref="M13:Y13" si="5">SUM(M7:M12)</f>
        <v>1782272</v>
      </c>
      <c r="N13" s="3">
        <f t="shared" si="5"/>
        <v>1373724</v>
      </c>
      <c r="O13" s="3">
        <f t="shared" si="5"/>
        <v>1791958</v>
      </c>
      <c r="P13" s="3">
        <f t="shared" si="5"/>
        <v>2839541</v>
      </c>
      <c r="Q13" s="3">
        <f t="shared" si="5"/>
        <v>1674467</v>
      </c>
      <c r="R13" s="3">
        <f t="shared" si="5"/>
        <v>1711844</v>
      </c>
      <c r="S13" s="3">
        <f t="shared" si="5"/>
        <v>2336303</v>
      </c>
      <c r="T13" s="3">
        <f t="shared" si="5"/>
        <v>1652068</v>
      </c>
      <c r="U13" s="3">
        <f t="shared" si="5"/>
        <v>1881503</v>
      </c>
      <c r="V13" s="3">
        <f t="shared" si="5"/>
        <v>2383717</v>
      </c>
      <c r="W13" s="3">
        <f t="shared" si="5"/>
        <v>4500561</v>
      </c>
      <c r="X13" s="3">
        <f t="shared" si="5"/>
        <v>2746748</v>
      </c>
      <c r="Y13" s="90">
        <f t="shared" si="5"/>
        <v>26674706</v>
      </c>
      <c r="AA13" s="90">
        <f>SUM(AA7:AA12)</f>
        <v>26674706</v>
      </c>
    </row>
    <row r="14" spans="1:37">
      <c r="B14" s="58"/>
      <c r="C14" s="58"/>
      <c r="D14" s="58"/>
      <c r="E14" s="2"/>
      <c r="F14" s="2"/>
      <c r="G14" s="2"/>
      <c r="H14" s="2"/>
      <c r="I14" s="2"/>
      <c r="J14" s="2"/>
      <c r="K14" s="2"/>
      <c r="M14" s="91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7"/>
      <c r="AA14" s="2"/>
    </row>
    <row r="15" spans="1:37">
      <c r="A15" s="5" t="s">
        <v>43</v>
      </c>
      <c r="B15" s="57"/>
      <c r="C15" s="57"/>
      <c r="D15" s="57"/>
      <c r="E15" s="2"/>
      <c r="F15" s="2"/>
      <c r="G15" s="2"/>
      <c r="H15" s="2"/>
      <c r="I15" s="2"/>
      <c r="J15" s="2"/>
      <c r="K15" s="2"/>
      <c r="M15" s="2" t="s">
        <v>4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7"/>
      <c r="AA15" s="2"/>
    </row>
    <row r="16" spans="1:37">
      <c r="A16" s="79" t="s">
        <v>44</v>
      </c>
      <c r="B16" s="58">
        <f>14548677.33+(3968576.53*0.64)</f>
        <v>17088566.3092</v>
      </c>
      <c r="C16" s="58">
        <f>125723.94+212217.33+1333976.92</f>
        <v>1671918.19</v>
      </c>
      <c r="D16" s="58">
        <f>SUM(B16:C16)</f>
        <v>18760484.499200001</v>
      </c>
      <c r="E16" s="83">
        <f>(20480000-$D$16)/3</f>
        <v>573171.83359999955</v>
      </c>
      <c r="F16" s="83">
        <f>(20480000-$D$16)/3</f>
        <v>573171.83359999955</v>
      </c>
      <c r="G16" s="83">
        <f>(20480000-$D$16)/3</f>
        <v>573171.83359999955</v>
      </c>
      <c r="H16" s="4">
        <f>SUM(D16:G16)</f>
        <v>20480000</v>
      </c>
      <c r="I16" s="4">
        <v>16127023</v>
      </c>
      <c r="J16" s="4">
        <f>29000000*0.7</f>
        <v>20300000</v>
      </c>
      <c r="K16" s="4">
        <f>32000000*0.64</f>
        <v>20480000</v>
      </c>
      <c r="M16" s="2">
        <f>+$AA$16/12</f>
        <v>1950341.39</v>
      </c>
      <c r="N16" s="2">
        <f t="shared" ref="N16:X16" si="6">+$AA$16/12</f>
        <v>1950341.39</v>
      </c>
      <c r="O16" s="2">
        <f t="shared" si="6"/>
        <v>1950341.39</v>
      </c>
      <c r="P16" s="2">
        <f t="shared" si="6"/>
        <v>1950341.39</v>
      </c>
      <c r="Q16" s="2">
        <f t="shared" si="6"/>
        <v>1950341.39</v>
      </c>
      <c r="R16" s="2">
        <f t="shared" si="6"/>
        <v>1950341.39</v>
      </c>
      <c r="S16" s="2">
        <f t="shared" si="6"/>
        <v>1950341.39</v>
      </c>
      <c r="T16" s="2">
        <f t="shared" si="6"/>
        <v>1950341.39</v>
      </c>
      <c r="U16" s="2">
        <f t="shared" si="6"/>
        <v>1950341.39</v>
      </c>
      <c r="V16" s="2">
        <f t="shared" si="6"/>
        <v>1950341.39</v>
      </c>
      <c r="W16" s="2">
        <f t="shared" si="6"/>
        <v>1950341.39</v>
      </c>
      <c r="X16" s="2">
        <f t="shared" si="6"/>
        <v>1950341.39</v>
      </c>
      <c r="Y16" s="92">
        <f>SUM(M16:X16)</f>
        <v>23404096.680000003</v>
      </c>
      <c r="AA16" s="2">
        <v>23404096.68</v>
      </c>
      <c r="AC16" s="60"/>
    </row>
    <row r="17" spans="1:29">
      <c r="A17" s="9"/>
      <c r="B17" s="82">
        <f t="shared" ref="B17:K17" si="7">SUM(B16:B16)</f>
        <v>17088566.3092</v>
      </c>
      <c r="C17" s="82">
        <f t="shared" si="7"/>
        <v>1671918.19</v>
      </c>
      <c r="D17" s="82">
        <f t="shared" si="7"/>
        <v>18760484.499200001</v>
      </c>
      <c r="E17" s="82">
        <f t="shared" si="7"/>
        <v>573171.83359999955</v>
      </c>
      <c r="F17" s="82">
        <f t="shared" si="7"/>
        <v>573171.83359999955</v>
      </c>
      <c r="G17" s="82">
        <f t="shared" si="7"/>
        <v>573171.83359999955</v>
      </c>
      <c r="H17" s="82">
        <f t="shared" si="7"/>
        <v>20480000</v>
      </c>
      <c r="I17" s="82">
        <f t="shared" si="7"/>
        <v>16127023</v>
      </c>
      <c r="J17" s="82">
        <f t="shared" si="7"/>
        <v>20300000</v>
      </c>
      <c r="K17" s="82">
        <f t="shared" si="7"/>
        <v>20480000</v>
      </c>
      <c r="M17" s="3">
        <f t="shared" ref="M17:Y17" si="8">SUM(M16:M16)</f>
        <v>1950341.39</v>
      </c>
      <c r="N17" s="3">
        <f t="shared" si="8"/>
        <v>1950341.39</v>
      </c>
      <c r="O17" s="3">
        <f t="shared" si="8"/>
        <v>1950341.39</v>
      </c>
      <c r="P17" s="3">
        <f t="shared" si="8"/>
        <v>1950341.39</v>
      </c>
      <c r="Q17" s="3">
        <f t="shared" si="8"/>
        <v>1950341.39</v>
      </c>
      <c r="R17" s="3">
        <f t="shared" si="8"/>
        <v>1950341.39</v>
      </c>
      <c r="S17" s="3">
        <f t="shared" si="8"/>
        <v>1950341.39</v>
      </c>
      <c r="T17" s="3">
        <f t="shared" si="8"/>
        <v>1950341.39</v>
      </c>
      <c r="U17" s="3">
        <f t="shared" si="8"/>
        <v>1950341.39</v>
      </c>
      <c r="V17" s="3">
        <f t="shared" si="8"/>
        <v>1950341.39</v>
      </c>
      <c r="W17" s="3">
        <f t="shared" si="8"/>
        <v>1950341.39</v>
      </c>
      <c r="X17" s="3">
        <f t="shared" si="8"/>
        <v>1950341.39</v>
      </c>
      <c r="Y17" s="90">
        <f t="shared" si="8"/>
        <v>23404096.680000003</v>
      </c>
      <c r="AA17" s="90">
        <f>SUM(AA16:AA16)</f>
        <v>23404096.68</v>
      </c>
      <c r="AC17" s="60"/>
    </row>
    <row r="18" spans="1:29">
      <c r="B18" s="58"/>
      <c r="C18" s="58"/>
      <c r="D18" s="58"/>
      <c r="E18" s="2"/>
      <c r="F18" s="2"/>
      <c r="G18" s="2"/>
      <c r="H18" s="2"/>
      <c r="I18" s="2"/>
      <c r="J18" s="2"/>
      <c r="K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7"/>
      <c r="AA18" s="2"/>
      <c r="AC18" s="60"/>
    </row>
    <row r="19" spans="1:29">
      <c r="A19" s="5" t="s">
        <v>77</v>
      </c>
      <c r="B19" s="57"/>
      <c r="C19" s="57"/>
      <c r="D19" s="57"/>
      <c r="E19" s="2"/>
      <c r="F19" s="2"/>
      <c r="G19" s="2"/>
      <c r="H19" s="2"/>
      <c r="I19" s="2"/>
      <c r="J19" s="2"/>
      <c r="K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7"/>
      <c r="AA19" s="2"/>
      <c r="AC19" s="60"/>
    </row>
    <row r="20" spans="1:29">
      <c r="A20" s="80" t="s">
        <v>44</v>
      </c>
      <c r="B20" s="58">
        <f>4649054.74+(3968576.53*0.36)</f>
        <v>6077742.2907999996</v>
      </c>
      <c r="C20" s="58">
        <v>141798.23000000001</v>
      </c>
      <c r="D20" s="58">
        <f>SUM(B20:C20)</f>
        <v>6219540.5208000001</v>
      </c>
      <c r="E20" s="83">
        <f>(11520000-$D$20)/3</f>
        <v>1766819.8263999999</v>
      </c>
      <c r="F20" s="83">
        <f>(11520000-$D$20)/3</f>
        <v>1766819.8263999999</v>
      </c>
      <c r="G20" s="83">
        <f>(11520000-$D$20)/3</f>
        <v>1766819.8263999999</v>
      </c>
      <c r="H20" s="4">
        <f>SUM(D20:G20)</f>
        <v>11520000</v>
      </c>
      <c r="I20" s="4">
        <v>8683778</v>
      </c>
      <c r="J20" s="4">
        <f>29000000*0.3</f>
        <v>8700000</v>
      </c>
      <c r="K20" s="4">
        <f>32000000*0.36</f>
        <v>11520000</v>
      </c>
      <c r="M20" s="2">
        <f>+$AA$20/12</f>
        <v>963524.61</v>
      </c>
      <c r="N20" s="2">
        <f t="shared" ref="N20:X20" si="9">+$AA$20/12</f>
        <v>963524.61</v>
      </c>
      <c r="O20" s="2">
        <f t="shared" si="9"/>
        <v>963524.61</v>
      </c>
      <c r="P20" s="2">
        <f t="shared" si="9"/>
        <v>963524.61</v>
      </c>
      <c r="Q20" s="2">
        <f t="shared" si="9"/>
        <v>963524.61</v>
      </c>
      <c r="R20" s="2">
        <f t="shared" si="9"/>
        <v>963524.61</v>
      </c>
      <c r="S20" s="2">
        <f t="shared" si="9"/>
        <v>963524.61</v>
      </c>
      <c r="T20" s="2">
        <f t="shared" si="9"/>
        <v>963524.61</v>
      </c>
      <c r="U20" s="2">
        <f t="shared" si="9"/>
        <v>963524.61</v>
      </c>
      <c r="V20" s="2">
        <f t="shared" si="9"/>
        <v>963524.61</v>
      </c>
      <c r="W20" s="2">
        <f t="shared" si="9"/>
        <v>963524.61</v>
      </c>
      <c r="X20" s="2">
        <f t="shared" si="9"/>
        <v>963524.61</v>
      </c>
      <c r="Y20" s="92">
        <f>SUM(M20:X20)</f>
        <v>11562295.319999998</v>
      </c>
      <c r="AA20" s="2">
        <v>11562295.32</v>
      </c>
      <c r="AC20" s="60"/>
    </row>
    <row r="21" spans="1:29">
      <c r="A21" s="80" t="s">
        <v>45</v>
      </c>
      <c r="B21" s="58">
        <v>15180.19</v>
      </c>
      <c r="C21" s="58"/>
      <c r="D21" s="58">
        <f>SUM(B21:C21)</f>
        <v>15180.19</v>
      </c>
      <c r="E21" s="84">
        <v>480258</v>
      </c>
      <c r="F21" s="83">
        <v>3000</v>
      </c>
      <c r="G21" s="83">
        <v>2500</v>
      </c>
      <c r="H21" s="4">
        <f>SUM(D21:G21)</f>
        <v>500938.19</v>
      </c>
      <c r="I21" s="4">
        <v>1400002</v>
      </c>
      <c r="J21" s="4">
        <v>940938</v>
      </c>
      <c r="K21" s="4">
        <f>+J21-440000</f>
        <v>500938</v>
      </c>
      <c r="M21" s="2">
        <v>4167</v>
      </c>
      <c r="N21" s="2">
        <v>4167</v>
      </c>
      <c r="O21" s="2">
        <v>4167</v>
      </c>
      <c r="P21" s="2">
        <v>4167</v>
      </c>
      <c r="Q21" s="2">
        <v>4167</v>
      </c>
      <c r="R21" s="2">
        <v>4167</v>
      </c>
      <c r="S21" s="2">
        <v>4167</v>
      </c>
      <c r="T21" s="2">
        <v>4167</v>
      </c>
      <c r="U21" s="2">
        <v>906868</v>
      </c>
      <c r="V21" s="2">
        <v>4167</v>
      </c>
      <c r="W21" s="2">
        <v>4167</v>
      </c>
      <c r="X21" s="2">
        <v>4163</v>
      </c>
      <c r="Y21" s="92">
        <f>SUM(M21:X21)</f>
        <v>952701</v>
      </c>
      <c r="AA21" s="2">
        <v>952701</v>
      </c>
      <c r="AC21" s="60"/>
    </row>
    <row r="22" spans="1:29">
      <c r="A22" s="9"/>
      <c r="B22" s="82">
        <f t="shared" ref="B22:K22" si="10">SUM(B20:B21)</f>
        <v>6092922.4808</v>
      </c>
      <c r="C22" s="82">
        <f t="shared" si="10"/>
        <v>141798.23000000001</v>
      </c>
      <c r="D22" s="82">
        <f t="shared" si="10"/>
        <v>6234720.7108000005</v>
      </c>
      <c r="E22" s="3">
        <f t="shared" si="10"/>
        <v>2247077.8263999997</v>
      </c>
      <c r="F22" s="3">
        <f t="shared" si="10"/>
        <v>1769819.8263999999</v>
      </c>
      <c r="G22" s="3">
        <f t="shared" si="10"/>
        <v>1769319.8263999999</v>
      </c>
      <c r="H22" s="3">
        <f t="shared" si="10"/>
        <v>12020938.189999999</v>
      </c>
      <c r="I22" s="3">
        <f t="shared" si="10"/>
        <v>10083780</v>
      </c>
      <c r="J22" s="3">
        <f t="shared" si="10"/>
        <v>9640938</v>
      </c>
      <c r="K22" s="3">
        <f t="shared" si="10"/>
        <v>12020938</v>
      </c>
      <c r="M22" s="3">
        <f t="shared" ref="M22:Y22" si="11">SUM(M20:M21)</f>
        <v>967691.61</v>
      </c>
      <c r="N22" s="3">
        <f t="shared" si="11"/>
        <v>967691.61</v>
      </c>
      <c r="O22" s="3">
        <f t="shared" si="11"/>
        <v>967691.61</v>
      </c>
      <c r="P22" s="3">
        <f t="shared" si="11"/>
        <v>967691.61</v>
      </c>
      <c r="Q22" s="3">
        <f t="shared" si="11"/>
        <v>967691.61</v>
      </c>
      <c r="R22" s="3">
        <f t="shared" si="11"/>
        <v>967691.61</v>
      </c>
      <c r="S22" s="3">
        <f t="shared" si="11"/>
        <v>967691.61</v>
      </c>
      <c r="T22" s="3">
        <f t="shared" si="11"/>
        <v>967691.61</v>
      </c>
      <c r="U22" s="3">
        <f t="shared" si="11"/>
        <v>1870392.6099999999</v>
      </c>
      <c r="V22" s="3">
        <f t="shared" si="11"/>
        <v>967691.61</v>
      </c>
      <c r="W22" s="3">
        <f t="shared" si="11"/>
        <v>967691.61</v>
      </c>
      <c r="X22" s="3">
        <f t="shared" si="11"/>
        <v>967687.61</v>
      </c>
      <c r="Y22" s="90">
        <f t="shared" si="11"/>
        <v>12514996.319999998</v>
      </c>
      <c r="AA22" s="90">
        <f>SUM(AA20:AA21)</f>
        <v>12514996.32</v>
      </c>
      <c r="AC22" s="60"/>
    </row>
    <row r="23" spans="1:29">
      <c r="A23" s="9"/>
      <c r="B23" s="57"/>
      <c r="C23" s="57"/>
      <c r="D23" s="57"/>
      <c r="E23" s="4"/>
      <c r="F23" s="4"/>
      <c r="G23" s="4"/>
      <c r="H23" s="4"/>
      <c r="I23" s="4"/>
      <c r="J23" s="4"/>
      <c r="K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92"/>
      <c r="AA23" s="2"/>
      <c r="AC23" s="60"/>
    </row>
    <row r="24" spans="1:29">
      <c r="A24" s="8" t="s">
        <v>46</v>
      </c>
      <c r="B24" s="58">
        <v>1289469.19</v>
      </c>
      <c r="C24" s="58"/>
      <c r="D24" s="58">
        <f t="shared" ref="D24:D27" si="12">SUM(B24:C24)</f>
        <v>1289469.19</v>
      </c>
      <c r="E24" s="83">
        <f>(1620000-$D$24)/3</f>
        <v>110176.93666666669</v>
      </c>
      <c r="F24" s="83">
        <f>(1620000-$D$24)/3</f>
        <v>110176.93666666669</v>
      </c>
      <c r="G24" s="83">
        <f>(1620000-$D$24)/3</f>
        <v>110176.93666666669</v>
      </c>
      <c r="H24" s="4">
        <f>SUM(D24:G24)</f>
        <v>1620000.0000000002</v>
      </c>
      <c r="I24" s="4">
        <v>1620000</v>
      </c>
      <c r="J24" s="4">
        <v>1620000</v>
      </c>
      <c r="K24" s="4">
        <f>+J24</f>
        <v>1620000</v>
      </c>
      <c r="M24" s="2">
        <f>+$AA$24/12</f>
        <v>116666.66666666667</v>
      </c>
      <c r="N24" s="2">
        <f t="shared" ref="N24:X24" si="13">+$AA$24/12</f>
        <v>116666.66666666667</v>
      </c>
      <c r="O24" s="2">
        <f t="shared" si="13"/>
        <v>116666.66666666667</v>
      </c>
      <c r="P24" s="2">
        <f t="shared" si="13"/>
        <v>116666.66666666667</v>
      </c>
      <c r="Q24" s="2">
        <f t="shared" si="13"/>
        <v>116666.66666666667</v>
      </c>
      <c r="R24" s="2">
        <f t="shared" si="13"/>
        <v>116666.66666666667</v>
      </c>
      <c r="S24" s="2">
        <f t="shared" si="13"/>
        <v>116666.66666666667</v>
      </c>
      <c r="T24" s="2">
        <f t="shared" si="13"/>
        <v>116666.66666666667</v>
      </c>
      <c r="U24" s="2">
        <f t="shared" si="13"/>
        <v>116666.66666666667</v>
      </c>
      <c r="V24" s="2">
        <f t="shared" si="13"/>
        <v>116666.66666666667</v>
      </c>
      <c r="W24" s="2">
        <f t="shared" si="13"/>
        <v>116666.66666666667</v>
      </c>
      <c r="X24" s="2">
        <f t="shared" si="13"/>
        <v>116666.66666666667</v>
      </c>
      <c r="Y24" s="92">
        <f>SUM(M24:X24)</f>
        <v>1400000.0000000002</v>
      </c>
      <c r="AA24" s="2">
        <v>1400000</v>
      </c>
      <c r="AC24" s="89"/>
    </row>
    <row r="25" spans="1:29">
      <c r="A25" s="81" t="s">
        <v>47</v>
      </c>
      <c r="B25" s="58">
        <v>215185.06</v>
      </c>
      <c r="C25" s="58">
        <v>7938</v>
      </c>
      <c r="D25" s="58">
        <f t="shared" si="12"/>
        <v>223123.06</v>
      </c>
      <c r="E25" s="83">
        <v>6000</v>
      </c>
      <c r="F25" s="83">
        <v>6000</v>
      </c>
      <c r="G25" s="86">
        <v>42203</v>
      </c>
      <c r="H25" s="4">
        <f>SUM(D25:G25)</f>
        <v>277326.06</v>
      </c>
      <c r="I25" s="4">
        <v>191430</v>
      </c>
      <c r="J25" s="4">
        <v>277326</v>
      </c>
      <c r="K25" s="4">
        <f>+J25</f>
        <v>277326</v>
      </c>
      <c r="M25" s="2">
        <f>+$AA$25/12</f>
        <v>18321</v>
      </c>
      <c r="N25" s="2">
        <f t="shared" ref="N25:X25" si="14">+$AA$25/12</f>
        <v>18321</v>
      </c>
      <c r="O25" s="2">
        <f t="shared" si="14"/>
        <v>18321</v>
      </c>
      <c r="P25" s="2">
        <f t="shared" si="14"/>
        <v>18321</v>
      </c>
      <c r="Q25" s="2">
        <f t="shared" si="14"/>
        <v>18321</v>
      </c>
      <c r="R25" s="2">
        <f t="shared" si="14"/>
        <v>18321</v>
      </c>
      <c r="S25" s="2">
        <f t="shared" si="14"/>
        <v>18321</v>
      </c>
      <c r="T25" s="2">
        <f t="shared" si="14"/>
        <v>18321</v>
      </c>
      <c r="U25" s="2">
        <f t="shared" si="14"/>
        <v>18321</v>
      </c>
      <c r="V25" s="2">
        <f t="shared" si="14"/>
        <v>18321</v>
      </c>
      <c r="W25" s="2">
        <f t="shared" si="14"/>
        <v>18321</v>
      </c>
      <c r="X25" s="2">
        <f t="shared" si="14"/>
        <v>18321</v>
      </c>
      <c r="Y25" s="92">
        <f>SUM(M25:X25)</f>
        <v>219852</v>
      </c>
      <c r="AA25" s="2">
        <v>219852</v>
      </c>
      <c r="AC25" s="89"/>
    </row>
    <row r="26" spans="1:29">
      <c r="A26" s="8" t="s">
        <v>48</v>
      </c>
      <c r="B26" s="58"/>
      <c r="C26" s="58"/>
      <c r="D26" s="58">
        <f t="shared" si="12"/>
        <v>0</v>
      </c>
      <c r="E26" s="83">
        <v>85000</v>
      </c>
      <c r="F26" s="83">
        <v>85000</v>
      </c>
      <c r="G26" s="83">
        <v>60000</v>
      </c>
      <c r="H26" s="4">
        <f>SUM(D26:G26)</f>
        <v>230000</v>
      </c>
      <c r="I26" s="4">
        <v>1032000</v>
      </c>
      <c r="J26" s="4">
        <f>725000+20000</f>
        <v>745000</v>
      </c>
      <c r="K26" s="4">
        <v>230000</v>
      </c>
      <c r="M26" s="2">
        <f>+$AA$26/12</f>
        <v>85832.583333333328</v>
      </c>
      <c r="N26" s="2">
        <f t="shared" ref="N26:X26" si="15">+$AA$26/12</f>
        <v>85832.583333333328</v>
      </c>
      <c r="O26" s="2">
        <f t="shared" si="15"/>
        <v>85832.583333333328</v>
      </c>
      <c r="P26" s="2">
        <f t="shared" si="15"/>
        <v>85832.583333333328</v>
      </c>
      <c r="Q26" s="2">
        <f t="shared" si="15"/>
        <v>85832.583333333328</v>
      </c>
      <c r="R26" s="2">
        <f t="shared" si="15"/>
        <v>85832.583333333328</v>
      </c>
      <c r="S26" s="2">
        <f t="shared" si="15"/>
        <v>85832.583333333328</v>
      </c>
      <c r="T26" s="2">
        <f t="shared" si="15"/>
        <v>85832.583333333328</v>
      </c>
      <c r="U26" s="2">
        <f t="shared" si="15"/>
        <v>85832.583333333328</v>
      </c>
      <c r="V26" s="2">
        <f t="shared" si="15"/>
        <v>85832.583333333328</v>
      </c>
      <c r="W26" s="2">
        <f t="shared" si="15"/>
        <v>85832.583333333328</v>
      </c>
      <c r="X26" s="2">
        <f t="shared" si="15"/>
        <v>85832.583333333328</v>
      </c>
      <c r="Y26" s="92">
        <f>SUM(M26:X26)</f>
        <v>1029991.0000000001</v>
      </c>
      <c r="AA26" s="2">
        <v>1029991</v>
      </c>
      <c r="AC26" s="89"/>
    </row>
    <row r="27" spans="1:29">
      <c r="A27" s="8" t="s">
        <v>50</v>
      </c>
      <c r="B27" s="58">
        <v>6165.33</v>
      </c>
      <c r="C27" s="58"/>
      <c r="D27" s="58">
        <f t="shared" si="12"/>
        <v>6165.33</v>
      </c>
      <c r="E27" s="86"/>
      <c r="F27" s="86"/>
      <c r="G27" s="86"/>
      <c r="H27" s="4">
        <f>SUM(D27:G27)</f>
        <v>6165.33</v>
      </c>
      <c r="I27" s="4"/>
      <c r="J27" s="4">
        <v>6076</v>
      </c>
      <c r="K27" s="4">
        <v>6165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92">
        <f>SUM(M27:X27)</f>
        <v>0</v>
      </c>
      <c r="Z27" s="10"/>
      <c r="AA27" s="2"/>
    </row>
    <row r="28" spans="1:29">
      <c r="A28" s="8" t="s">
        <v>76</v>
      </c>
      <c r="B28" s="58"/>
      <c r="C28" s="58"/>
      <c r="D28" s="58"/>
      <c r="E28" s="86"/>
      <c r="F28" s="86">
        <v>5000</v>
      </c>
      <c r="G28" s="86">
        <v>6625</v>
      </c>
      <c r="H28" s="4">
        <f>SUM(D28:G28)</f>
        <v>11625</v>
      </c>
      <c r="I28" s="4"/>
      <c r="J28" s="4"/>
      <c r="K28" s="4">
        <f>75000*0.155</f>
        <v>11625</v>
      </c>
      <c r="M28" s="4">
        <f>+$AA$28/8</f>
        <v>7021.3062499999996</v>
      </c>
      <c r="N28" s="4">
        <f t="shared" ref="N28:T28" si="16">+$AA$28/8</f>
        <v>7021.3062499999996</v>
      </c>
      <c r="O28" s="4">
        <f t="shared" si="16"/>
        <v>7021.3062499999996</v>
      </c>
      <c r="P28" s="4">
        <f t="shared" si="16"/>
        <v>7021.3062499999996</v>
      </c>
      <c r="Q28" s="4">
        <f t="shared" si="16"/>
        <v>7021.3062499999996</v>
      </c>
      <c r="R28" s="4">
        <f t="shared" si="16"/>
        <v>7021.3062499999996</v>
      </c>
      <c r="S28" s="4">
        <f t="shared" si="16"/>
        <v>7021.3062499999996</v>
      </c>
      <c r="T28" s="4">
        <f t="shared" si="16"/>
        <v>7021.3062499999996</v>
      </c>
      <c r="U28" s="4"/>
      <c r="V28" s="4"/>
      <c r="W28" s="4"/>
      <c r="X28" s="4"/>
      <c r="Y28" s="92">
        <f>SUM(M28:X28)</f>
        <v>56170.450000000004</v>
      </c>
      <c r="Z28" s="10"/>
      <c r="AA28" s="2">
        <v>56170.45</v>
      </c>
    </row>
    <row r="29" spans="1:29">
      <c r="B29" s="58"/>
      <c r="C29" s="58"/>
      <c r="D29" s="58"/>
      <c r="E29" s="60"/>
      <c r="F29" s="60"/>
      <c r="G29" s="60"/>
      <c r="H29" s="2"/>
      <c r="I29" s="2"/>
      <c r="J29" s="2"/>
      <c r="K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7"/>
      <c r="Z29" s="10"/>
      <c r="AA29" s="2">
        <v>0</v>
      </c>
    </row>
    <row r="30" spans="1:29">
      <c r="A30" s="7" t="s">
        <v>3</v>
      </c>
      <c r="B30" s="82">
        <f t="shared" ref="B30:Y30" si="17">+B13+B17+B22+SUM(B24:B29)</f>
        <v>46140489.890000001</v>
      </c>
      <c r="C30" s="82">
        <f t="shared" si="17"/>
        <v>4757310.5</v>
      </c>
      <c r="D30" s="82">
        <f t="shared" si="17"/>
        <v>50897800.390000001</v>
      </c>
      <c r="E30" s="82">
        <f t="shared" si="17"/>
        <v>4404358.3333333312</v>
      </c>
      <c r="F30" s="82">
        <f t="shared" si="17"/>
        <v>6261307.3333333312</v>
      </c>
      <c r="G30" s="82">
        <f t="shared" si="17"/>
        <v>4376603.3333333321</v>
      </c>
      <c r="H30" s="82">
        <f t="shared" si="17"/>
        <v>65940069.390000001</v>
      </c>
      <c r="I30" s="82">
        <f t="shared" si="17"/>
        <v>60955747</v>
      </c>
      <c r="J30" s="82">
        <f t="shared" si="17"/>
        <v>64141579</v>
      </c>
      <c r="K30" s="82">
        <f t="shared" si="17"/>
        <v>65940069</v>
      </c>
      <c r="L30" s="82">
        <f t="shared" si="17"/>
        <v>0</v>
      </c>
      <c r="M30" s="82">
        <f t="shared" si="17"/>
        <v>4928146.5562500004</v>
      </c>
      <c r="N30" s="82">
        <f t="shared" si="17"/>
        <v>4519598.5562500004</v>
      </c>
      <c r="O30" s="82">
        <f t="shared" si="17"/>
        <v>4937832.5562500004</v>
      </c>
      <c r="P30" s="82">
        <f t="shared" si="17"/>
        <v>5985415.5562500004</v>
      </c>
      <c r="Q30" s="82">
        <f t="shared" si="17"/>
        <v>4820341.5562500004</v>
      </c>
      <c r="R30" s="82">
        <f t="shared" si="17"/>
        <v>4857718.5562500004</v>
      </c>
      <c r="S30" s="82">
        <f t="shared" si="17"/>
        <v>5482177.5562500004</v>
      </c>
      <c r="T30" s="82">
        <f t="shared" si="17"/>
        <v>4797942.5562500004</v>
      </c>
      <c r="U30" s="82">
        <f t="shared" si="17"/>
        <v>5923057.25</v>
      </c>
      <c r="V30" s="82">
        <f t="shared" si="17"/>
        <v>5522570.25</v>
      </c>
      <c r="W30" s="82">
        <f t="shared" si="17"/>
        <v>7639414.25</v>
      </c>
      <c r="X30" s="82">
        <f t="shared" si="17"/>
        <v>5885597.25</v>
      </c>
      <c r="Y30" s="82">
        <f t="shared" si="17"/>
        <v>65299812.45000001</v>
      </c>
      <c r="Z30" s="10"/>
      <c r="AA30" s="82">
        <f>+AA13+AA17+AA22+SUM(AA24:AA29)</f>
        <v>65299812.450000003</v>
      </c>
    </row>
    <row r="31" spans="1:29" s="5" customFormat="1">
      <c r="B31" s="57"/>
      <c r="C31" s="57"/>
      <c r="D31" s="57"/>
      <c r="E31" s="6"/>
      <c r="F31" s="6"/>
      <c r="G31" s="6"/>
      <c r="H31" s="6"/>
      <c r="I31" s="6"/>
      <c r="J31" s="6"/>
      <c r="K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93"/>
      <c r="Z31" s="61"/>
      <c r="AA31" s="2"/>
    </row>
    <row r="32" spans="1:29">
      <c r="A32" s="88"/>
      <c r="B32" s="57"/>
      <c r="C32" s="57"/>
      <c r="D32" s="57"/>
      <c r="E32" s="2"/>
      <c r="F32" s="2"/>
      <c r="G32" s="100" t="s">
        <v>51</v>
      </c>
      <c r="H32" s="95">
        <f>+'Balancing Acct-Attachment 2'!B51</f>
        <v>61182758.889999986</v>
      </c>
      <c r="I32" s="4"/>
      <c r="J32" s="4"/>
      <c r="K32" s="4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92"/>
      <c r="AA32" s="56"/>
    </row>
    <row r="33" spans="1:27">
      <c r="E33" s="2"/>
      <c r="F33" s="2"/>
      <c r="G33" s="94" t="s">
        <v>52</v>
      </c>
      <c r="H33" s="96">
        <f>+H30-H32</f>
        <v>4757310.5000000149</v>
      </c>
      <c r="M33" s="2"/>
      <c r="N33" s="2"/>
      <c r="O33" s="2"/>
      <c r="P33" s="2"/>
      <c r="Q33" s="2"/>
      <c r="R33" s="2"/>
      <c r="S33" s="2"/>
      <c r="T33" s="2"/>
      <c r="U33" s="2"/>
      <c r="AA33" s="56"/>
    </row>
    <row r="34" spans="1:27">
      <c r="A34" s="5" t="s">
        <v>39</v>
      </c>
      <c r="M34" s="16"/>
    </row>
    <row r="35" spans="1:27">
      <c r="A35" s="1" t="s">
        <v>72</v>
      </c>
    </row>
    <row r="36" spans="1:27">
      <c r="A36" s="1" t="s">
        <v>121</v>
      </c>
    </row>
    <row r="37" spans="1:27">
      <c r="A37" s="1" t="s">
        <v>122</v>
      </c>
    </row>
    <row r="38" spans="1:27">
      <c r="A38" s="1" t="s">
        <v>123</v>
      </c>
    </row>
  </sheetData>
  <pageMargins left="0.25" right="0.25" top="1" bottom="1" header="0.5" footer="0.5"/>
  <pageSetup scale="60" fitToWidth="0" orientation="landscape" horizontalDpi="300" verticalDpi="300" r:id="rId1"/>
  <headerFooter alignWithMargins="0"/>
  <colBreaks count="1" manualBreakCount="1">
    <brk id="12" max="42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workbookViewId="0">
      <selection activeCell="P21" sqref="P21"/>
    </sheetView>
  </sheetViews>
  <sheetFormatPr defaultRowHeight="15"/>
  <cols>
    <col min="1" max="1" width="31.42578125" customWidth="1"/>
    <col min="2" max="13" width="7.7109375" customWidth="1"/>
    <col min="14" max="14" width="6.28515625" customWidth="1"/>
    <col min="15" max="15" width="7.140625" customWidth="1"/>
  </cols>
  <sheetData>
    <row r="1" spans="1:16" ht="15.75">
      <c r="A1" s="183" t="s">
        <v>85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6" ht="15.75">
      <c r="A2" s="183" t="s">
        <v>78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6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6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6">
      <c r="A5" s="105" t="s">
        <v>79</v>
      </c>
      <c r="B5" s="106">
        <v>42520</v>
      </c>
      <c r="C5" s="106">
        <v>42527</v>
      </c>
      <c r="D5" s="106">
        <v>42534</v>
      </c>
      <c r="E5" s="106">
        <v>42541</v>
      </c>
      <c r="F5" s="106">
        <v>42548</v>
      </c>
      <c r="G5" s="106">
        <v>42555</v>
      </c>
      <c r="H5" s="106">
        <v>42562</v>
      </c>
      <c r="I5" s="106">
        <v>42569</v>
      </c>
      <c r="J5" s="106">
        <v>42576</v>
      </c>
      <c r="K5" s="106">
        <v>42583</v>
      </c>
      <c r="L5" s="106">
        <v>42590</v>
      </c>
      <c r="M5" s="106">
        <v>42597</v>
      </c>
      <c r="N5" s="104"/>
    </row>
    <row r="6" spans="1:16">
      <c r="A6" s="107" t="s">
        <v>80</v>
      </c>
      <c r="B6" s="108">
        <f>B8*B7</f>
        <v>14.605</v>
      </c>
      <c r="C6" s="108">
        <f t="shared" ref="C6:M6" si="0">C8*C7</f>
        <v>13.334999999999999</v>
      </c>
      <c r="D6" s="108">
        <f t="shared" si="0"/>
        <v>13.0175</v>
      </c>
      <c r="E6" s="108">
        <f t="shared" si="0"/>
        <v>14.922499999999999</v>
      </c>
      <c r="F6" s="108">
        <f t="shared" si="0"/>
        <v>19.05</v>
      </c>
      <c r="G6" s="108">
        <f t="shared" si="0"/>
        <v>19.05</v>
      </c>
      <c r="H6" s="108">
        <f t="shared" si="0"/>
        <v>17.145</v>
      </c>
      <c r="I6" s="108">
        <f t="shared" si="0"/>
        <v>15.557499999999999</v>
      </c>
      <c r="J6" s="108">
        <f t="shared" si="0"/>
        <v>16.827500000000001</v>
      </c>
      <c r="K6" s="108">
        <f t="shared" si="0"/>
        <v>18.0975</v>
      </c>
      <c r="L6" s="108">
        <f t="shared" si="0"/>
        <v>17.145</v>
      </c>
      <c r="M6" s="108">
        <f t="shared" si="0"/>
        <v>17.145</v>
      </c>
      <c r="N6" s="104"/>
    </row>
    <row r="7" spans="1:16">
      <c r="A7" s="109" t="s">
        <v>81</v>
      </c>
      <c r="B7" s="108">
        <v>31.75</v>
      </c>
      <c r="C7" s="108">
        <v>31.75</v>
      </c>
      <c r="D7" s="108">
        <v>31.75</v>
      </c>
      <c r="E7" s="108">
        <v>31.75</v>
      </c>
      <c r="F7" s="108">
        <v>31.75</v>
      </c>
      <c r="G7" s="108">
        <v>31.75</v>
      </c>
      <c r="H7" s="108">
        <v>31.75</v>
      </c>
      <c r="I7" s="108">
        <v>31.75</v>
      </c>
      <c r="J7" s="108">
        <v>31.75</v>
      </c>
      <c r="K7" s="108">
        <v>31.75</v>
      </c>
      <c r="L7" s="108">
        <v>31.75</v>
      </c>
      <c r="M7" s="108">
        <v>31.75</v>
      </c>
      <c r="N7" s="104"/>
    </row>
    <row r="8" spans="1:16">
      <c r="A8" s="110" t="s">
        <v>82</v>
      </c>
      <c r="B8" s="111">
        <v>0.46</v>
      </c>
      <c r="C8" s="111">
        <v>0.42</v>
      </c>
      <c r="D8" s="111">
        <v>0.41</v>
      </c>
      <c r="E8" s="111">
        <v>0.47</v>
      </c>
      <c r="F8" s="111">
        <v>0.6</v>
      </c>
      <c r="G8" s="111">
        <v>0.6</v>
      </c>
      <c r="H8" s="111">
        <v>0.54</v>
      </c>
      <c r="I8" s="111">
        <v>0.49</v>
      </c>
      <c r="J8" s="111">
        <v>0.53</v>
      </c>
      <c r="K8" s="111">
        <v>0.56999999999999995</v>
      </c>
      <c r="L8" s="111">
        <v>0.54</v>
      </c>
      <c r="M8" s="111">
        <v>0.54</v>
      </c>
      <c r="N8" s="112"/>
      <c r="O8" s="101"/>
      <c r="P8" s="102"/>
    </row>
    <row r="9" spans="1:16">
      <c r="A9" s="104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01"/>
    </row>
    <row r="10" spans="1:16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</row>
    <row r="11" spans="1:16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</row>
    <row r="12" spans="1:16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</row>
    <row r="13" spans="1:16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</row>
    <row r="14" spans="1:16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</row>
    <row r="15" spans="1:16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</row>
    <row r="16" spans="1:16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</row>
    <row r="17" spans="1:14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</row>
    <row r="18" spans="1:14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</row>
    <row r="19" spans="1:14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</row>
    <row r="20" spans="1:14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</row>
    <row r="21" spans="1:14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</row>
    <row r="22" spans="1:14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</row>
    <row r="23" spans="1:14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</row>
    <row r="24" spans="1:14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</row>
    <row r="25" spans="1:14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</row>
    <row r="26" spans="1:14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</row>
    <row r="27" spans="1:14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</row>
    <row r="28" spans="1:14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</row>
    <row r="29" spans="1:14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</row>
    <row r="30" spans="1:14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</row>
    <row r="31" spans="1:14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</row>
    <row r="32" spans="1:14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1:14">
      <c r="A33" s="113" t="s">
        <v>83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</row>
    <row r="34" spans="1:14">
      <c r="A34" s="104" t="s">
        <v>124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</row>
    <row r="35" spans="1:14">
      <c r="A35" s="104" t="s">
        <v>84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</row>
    <row r="36" spans="1:14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</row>
    <row r="37" spans="1:14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</row>
  </sheetData>
  <mergeCells count="2">
    <mergeCell ref="A1:N1"/>
    <mergeCell ref="A2:N2"/>
  </mergeCells>
  <pageMargins left="0.7" right="0.7" top="0.75" bottom="0.75" header="0.3" footer="0.3"/>
  <pageSetup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Savigns Forecast-Attachment 1</vt:lpstr>
      <vt:lpstr>Balancing Acct-Attachment 2</vt:lpstr>
      <vt:lpstr>Projected Exp - Attachment 3</vt:lpstr>
      <vt:lpstr>Irr Prgm Impact - Attachment 4</vt:lpstr>
      <vt:lpstr>'Balancing Acct-Attachment 2'!Print_Titles</vt:lpstr>
      <vt:lpstr>'Projected Exp - Attachment 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2010-11-01T19:40:29Z</dcterms:created>
  <dcterms:modified xsi:type="dcterms:W3CDTF">2015-11-02T18:30:03Z</dcterms:modified>
  <cp:contentStatus/>
</cp:coreProperties>
</file>