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170" yWindow="360" windowWidth="14460" windowHeight="5610"/>
  </bookViews>
  <sheets>
    <sheet name="Balancing acct" sheetId="3" r:id="rId1"/>
    <sheet name="Projected Expense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0">'Balancing acct'!$4:$4</definedName>
    <definedName name="_xlnm.Print_Titles" localSheetId="1">'Projected Expense'!$A:$A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 iterate="1"/>
</workbook>
</file>

<file path=xl/calcChain.xml><?xml version="1.0" encoding="utf-8"?>
<calcChain xmlns="http://schemas.openxmlformats.org/spreadsheetml/2006/main">
  <c r="AB12" i="2" l="1"/>
  <c r="N16" i="2"/>
  <c r="N7" i="2"/>
  <c r="AB27" i="2" l="1"/>
  <c r="C78" i="3" l="1"/>
  <c r="D78" i="3"/>
  <c r="N22" i="2" l="1"/>
  <c r="N17" i="2"/>
  <c r="N13" i="2"/>
  <c r="C16" i="2"/>
  <c r="C10" i="2"/>
  <c r="C26" i="2"/>
  <c r="C20" i="2"/>
  <c r="D7" i="2"/>
  <c r="B20" i="2"/>
  <c r="B16" i="2"/>
  <c r="B24" i="2"/>
  <c r="N29" i="2" l="1"/>
  <c r="G88" i="3" l="1"/>
  <c r="D27" i="2" l="1"/>
  <c r="D26" i="2"/>
  <c r="L26" i="2" s="1"/>
  <c r="D25" i="2"/>
  <c r="D24" i="2"/>
  <c r="L24" i="2" s="1"/>
  <c r="D21" i="2"/>
  <c r="D12" i="2"/>
  <c r="D11" i="2"/>
  <c r="L11" i="2" s="1"/>
  <c r="D10" i="2"/>
  <c r="D8" i="2"/>
  <c r="L27" i="2" l="1"/>
  <c r="O29" i="2"/>
  <c r="D9" i="2"/>
  <c r="D16" i="2"/>
  <c r="D20" i="2"/>
  <c r="D13" i="2" l="1"/>
  <c r="D22" i="2"/>
  <c r="D17" i="2"/>
  <c r="L16" i="2" l="1"/>
  <c r="L20" i="2"/>
  <c r="D29" i="2"/>
  <c r="E13" i="2"/>
  <c r="D64" i="3" l="1"/>
  <c r="C64" i="3"/>
  <c r="E10" i="3"/>
  <c r="J10" i="3" s="1"/>
  <c r="F10" i="3" l="1"/>
  <c r="AB10" i="2"/>
  <c r="AB7" i="2" l="1"/>
  <c r="S17" i="2"/>
  <c r="B22" i="2"/>
  <c r="AD13" i="2"/>
  <c r="Y17" i="2" l="1"/>
  <c r="V17" i="2"/>
  <c r="Z17" i="2"/>
  <c r="R17" i="2"/>
  <c r="Q17" i="2"/>
  <c r="AD22" i="2"/>
  <c r="U17" i="2"/>
  <c r="P17" i="2"/>
  <c r="X17" i="2"/>
  <c r="T17" i="2"/>
  <c r="AA17" i="2"/>
  <c r="W17" i="2"/>
  <c r="AD17" i="2"/>
  <c r="L10" i="2"/>
  <c r="AD29" i="2" l="1"/>
  <c r="L25" i="2"/>
  <c r="L12" i="2" l="1"/>
  <c r="L7" i="2"/>
  <c r="M22" i="2"/>
  <c r="M17" i="2"/>
  <c r="M13" i="2"/>
  <c r="E22" i="2"/>
  <c r="E17" i="2"/>
  <c r="M29" i="2" l="1"/>
  <c r="L9" i="2"/>
  <c r="L8" i="2"/>
  <c r="E29" i="2"/>
  <c r="B57" i="3" s="1"/>
  <c r="B17" i="2"/>
  <c r="C50" i="3" l="1"/>
  <c r="D50" i="3" l="1"/>
  <c r="AB26" i="2"/>
  <c r="AB20" i="2" l="1"/>
  <c r="AB25" i="2" l="1"/>
  <c r="K17" i="2" l="1"/>
  <c r="J17" i="2"/>
  <c r="I17" i="2"/>
  <c r="H17" i="2"/>
  <c r="G17" i="2"/>
  <c r="F17" i="2"/>
  <c r="C17" i="2"/>
  <c r="C22" i="2" l="1"/>
  <c r="C13" i="2" l="1"/>
  <c r="C29" i="2" s="1"/>
  <c r="C36" i="3"/>
  <c r="C22" i="3"/>
  <c r="C79" i="3" l="1"/>
  <c r="F22" i="2"/>
  <c r="D22" i="3"/>
  <c r="G22" i="2"/>
  <c r="H22" i="2"/>
  <c r="B13" i="2"/>
  <c r="B29" i="2" s="1"/>
  <c r="F13" i="2"/>
  <c r="G13" i="2"/>
  <c r="H13" i="2"/>
  <c r="G29" i="2" l="1"/>
  <c r="B59" i="3" s="1"/>
  <c r="F29" i="2"/>
  <c r="B58" i="3" s="1"/>
  <c r="H29" i="2"/>
  <c r="B60" i="3" s="1"/>
  <c r="P13" i="2"/>
  <c r="AB24" i="2" l="1"/>
  <c r="AA22" i="2"/>
  <c r="Z22" i="2"/>
  <c r="Y22" i="2"/>
  <c r="X22" i="2"/>
  <c r="W22" i="2"/>
  <c r="V22" i="2"/>
  <c r="U22" i="2"/>
  <c r="T22" i="2"/>
  <c r="S22" i="2"/>
  <c r="R22" i="2"/>
  <c r="Q22" i="2"/>
  <c r="P22" i="2"/>
  <c r="P29" i="2" s="1"/>
  <c r="B66" i="3" s="1"/>
  <c r="K22" i="2"/>
  <c r="J22" i="2"/>
  <c r="AB16" i="2"/>
  <c r="AB17" i="2" s="1"/>
  <c r="AA13" i="2"/>
  <c r="Z13" i="2"/>
  <c r="Y13" i="2"/>
  <c r="X13" i="2"/>
  <c r="W13" i="2"/>
  <c r="V13" i="2"/>
  <c r="U13" i="2"/>
  <c r="T13" i="2"/>
  <c r="S13" i="2"/>
  <c r="R13" i="2"/>
  <c r="Q13" i="2"/>
  <c r="J13" i="2"/>
  <c r="I13" i="2"/>
  <c r="K13" i="2"/>
  <c r="AB11" i="2"/>
  <c r="AB9" i="2"/>
  <c r="AB8" i="2"/>
  <c r="AA29" i="2" l="1"/>
  <c r="B77" i="3" s="1"/>
  <c r="S29" i="2"/>
  <c r="B69" i="3" s="1"/>
  <c r="U29" i="2"/>
  <c r="B71" i="3" s="1"/>
  <c r="Z29" i="2"/>
  <c r="B76" i="3" s="1"/>
  <c r="Y29" i="2"/>
  <c r="B75" i="3" s="1"/>
  <c r="T29" i="2"/>
  <c r="B70" i="3" s="1"/>
  <c r="R29" i="2"/>
  <c r="B68" i="3" s="1"/>
  <c r="Q29" i="2"/>
  <c r="B67" i="3" s="1"/>
  <c r="X29" i="2"/>
  <c r="B74" i="3" s="1"/>
  <c r="W29" i="2"/>
  <c r="B73" i="3" s="1"/>
  <c r="V29" i="2"/>
  <c r="B72" i="3" s="1"/>
  <c r="K29" i="2"/>
  <c r="B63" i="3" s="1"/>
  <c r="J29" i="2"/>
  <c r="B62" i="3" s="1"/>
  <c r="AB13" i="2"/>
  <c r="B36" i="3"/>
  <c r="L13" i="2"/>
  <c r="AB21" i="2"/>
  <c r="B78" i="3" l="1"/>
  <c r="AB22" i="2"/>
  <c r="AB29" i="2" s="1"/>
  <c r="E11" i="3" l="1"/>
  <c r="F11" i="3" s="1"/>
  <c r="G10" i="3"/>
  <c r="E12" i="3" l="1"/>
  <c r="F12" i="3" s="1"/>
  <c r="G11" i="3"/>
  <c r="J11" i="3"/>
  <c r="E13" i="3" l="1"/>
  <c r="G12" i="3"/>
  <c r="J12" i="3"/>
  <c r="J13" i="3" l="1"/>
  <c r="F13" i="3"/>
  <c r="E14" i="3" l="1"/>
  <c r="J14" i="3" s="1"/>
  <c r="G13" i="3"/>
  <c r="F14" i="3" l="1"/>
  <c r="E15" i="3" l="1"/>
  <c r="F15" i="3" s="1"/>
  <c r="G14" i="3"/>
  <c r="G15" i="3" l="1"/>
  <c r="J15" i="3"/>
  <c r="L17" i="2" l="1"/>
  <c r="B22" i="3"/>
  <c r="E16" i="3"/>
  <c r="F16" i="3" s="1"/>
  <c r="J16" i="3" l="1"/>
  <c r="E17" i="3"/>
  <c r="G16" i="3"/>
  <c r="J17" i="3" l="1"/>
  <c r="F17" i="3"/>
  <c r="E18" i="3" s="1"/>
  <c r="J18" i="3" l="1"/>
  <c r="G17" i="3"/>
  <c r="F18" i="3"/>
  <c r="E19" i="3" s="1"/>
  <c r="J19" i="3" l="1"/>
  <c r="G18" i="3"/>
  <c r="F19" i="3"/>
  <c r="J20" i="3" l="1"/>
  <c r="F20" i="3"/>
  <c r="G19" i="3"/>
  <c r="E21" i="3" l="1"/>
  <c r="J21" i="3" s="1"/>
  <c r="G20" i="3"/>
  <c r="E22" i="3" l="1"/>
  <c r="F21" i="3"/>
  <c r="E24" i="3" s="1"/>
  <c r="G21" i="3" l="1"/>
  <c r="D36" i="3" l="1"/>
  <c r="F24" i="3" l="1"/>
  <c r="J24" i="3"/>
  <c r="E25" i="3" l="1"/>
  <c r="F25" i="3" s="1"/>
  <c r="G24" i="3"/>
  <c r="J25" i="3" l="1"/>
  <c r="E26" i="3"/>
  <c r="F26" i="3" s="1"/>
  <c r="G25" i="3"/>
  <c r="E27" i="3" l="1"/>
  <c r="F27" i="3" s="1"/>
  <c r="G26" i="3"/>
  <c r="J26" i="3"/>
  <c r="J27" i="3" l="1"/>
  <c r="E28" i="3"/>
  <c r="G27" i="3"/>
  <c r="J28" i="3" l="1"/>
  <c r="F28" i="3"/>
  <c r="E29" i="3" l="1"/>
  <c r="G28" i="3"/>
  <c r="J29" i="3" l="1"/>
  <c r="F29" i="3"/>
  <c r="G29" i="3" s="1"/>
  <c r="E30" i="3" l="1"/>
  <c r="J30" i="3" l="1"/>
  <c r="F30" i="3"/>
  <c r="E31" i="3" l="1"/>
  <c r="G30" i="3"/>
  <c r="J31" i="3" l="1"/>
  <c r="F31" i="3"/>
  <c r="E32" i="3" l="1"/>
  <c r="G31" i="3"/>
  <c r="J32" i="3" l="1"/>
  <c r="F32" i="3"/>
  <c r="E33" i="3" l="1"/>
  <c r="F33" i="3" s="1"/>
  <c r="G32" i="3"/>
  <c r="E34" i="3" l="1"/>
  <c r="F34" i="3" s="1"/>
  <c r="G33" i="3"/>
  <c r="J33" i="3"/>
  <c r="G34" i="3" l="1"/>
  <c r="J34" i="3"/>
  <c r="J35" i="3" l="1"/>
  <c r="E36" i="3"/>
  <c r="F35" i="3"/>
  <c r="E38" i="3" s="1"/>
  <c r="G35" i="3" l="1"/>
  <c r="F38" i="3" l="1"/>
  <c r="E39" i="3" s="1"/>
  <c r="J38" i="3"/>
  <c r="G38" i="3" l="1"/>
  <c r="J39" i="3" l="1"/>
  <c r="F39" i="3"/>
  <c r="E40" i="3" s="1"/>
  <c r="G39" i="3" l="1"/>
  <c r="F40" i="3" l="1"/>
  <c r="E41" i="3" s="1"/>
  <c r="J40" i="3"/>
  <c r="G40" i="3" l="1"/>
  <c r="F41" i="3"/>
  <c r="E42" i="3" s="1"/>
  <c r="J41" i="3" l="1"/>
  <c r="G41" i="3"/>
  <c r="F42" i="3"/>
  <c r="E43" i="3" s="1"/>
  <c r="G42" i="3" l="1"/>
  <c r="F43" i="3"/>
  <c r="E44" i="3" s="1"/>
  <c r="J42" i="3"/>
  <c r="G43" i="3" l="1"/>
  <c r="F44" i="3"/>
  <c r="E45" i="3" s="1"/>
  <c r="J43" i="3"/>
  <c r="G44" i="3" l="1"/>
  <c r="F45" i="3"/>
  <c r="E46" i="3" s="1"/>
  <c r="J44" i="3"/>
  <c r="J45" i="3" l="1"/>
  <c r="F46" i="3"/>
  <c r="G45" i="3"/>
  <c r="J46" i="3" l="1"/>
  <c r="G46" i="3"/>
  <c r="I22" i="2" l="1"/>
  <c r="I29" i="2" s="1"/>
  <c r="B61" i="3" s="1"/>
  <c r="L21" i="2"/>
  <c r="L22" i="2" s="1"/>
  <c r="L29" i="2" s="1"/>
  <c r="B64" i="3" l="1"/>
  <c r="G84" i="3"/>
  <c r="B50" i="3"/>
  <c r="E47" i="3"/>
  <c r="F47" i="3" s="1"/>
  <c r="E48" i="3" l="1"/>
  <c r="F48" i="3" s="1"/>
  <c r="E49" i="3" s="1"/>
  <c r="G47" i="3"/>
  <c r="J47" i="3"/>
  <c r="J48" i="3" l="1"/>
  <c r="F49" i="3"/>
  <c r="E52" i="3" s="1"/>
  <c r="G48" i="3"/>
  <c r="F52" i="3" l="1"/>
  <c r="E53" i="3" s="1"/>
  <c r="G49" i="3"/>
  <c r="E50" i="3"/>
  <c r="J49" i="3"/>
  <c r="J52" i="3" l="1"/>
  <c r="G52" i="3"/>
  <c r="J53" i="3" l="1"/>
  <c r="F53" i="3"/>
  <c r="E54" i="3" s="1"/>
  <c r="J54" i="3" l="1"/>
  <c r="G53" i="3"/>
  <c r="F54" i="3"/>
  <c r="E55" i="3" s="1"/>
  <c r="G54" i="3" l="1"/>
  <c r="F55" i="3" l="1"/>
  <c r="E56" i="3" s="1"/>
  <c r="J55" i="3"/>
  <c r="G55" i="3" l="1"/>
  <c r="F56" i="3" l="1"/>
  <c r="E57" i="3" s="1"/>
  <c r="J56" i="3"/>
  <c r="F57" i="3" l="1"/>
  <c r="E58" i="3" s="1"/>
  <c r="G56" i="3"/>
  <c r="G82" i="3" s="1"/>
  <c r="F58" i="3" l="1"/>
  <c r="E59" i="3" s="1"/>
  <c r="G57" i="3"/>
  <c r="J57" i="3"/>
  <c r="J58" i="3" l="1"/>
  <c r="G58" i="3"/>
  <c r="J59" i="3" l="1"/>
  <c r="F59" i="3"/>
  <c r="E60" i="3" s="1"/>
  <c r="G59" i="3" l="1"/>
  <c r="F60" i="3"/>
  <c r="E61" i="3" s="1"/>
  <c r="J60" i="3" l="1"/>
  <c r="G60" i="3"/>
  <c r="J61" i="3" l="1"/>
  <c r="F61" i="3"/>
  <c r="G61" i="3" l="1"/>
  <c r="E62" i="3"/>
  <c r="J62" i="3" s="1"/>
  <c r="F62" i="3" l="1"/>
  <c r="E63" i="3" l="1"/>
  <c r="G62" i="3"/>
  <c r="E64" i="3" l="1"/>
  <c r="F63" i="3"/>
  <c r="J63" i="3"/>
  <c r="G63" i="3" l="1"/>
  <c r="E66" i="3"/>
  <c r="F66" i="3" l="1"/>
  <c r="E67" i="3" s="1"/>
  <c r="J66" i="3"/>
  <c r="G66" i="3" l="1"/>
  <c r="F67" i="3"/>
  <c r="G67" i="3" s="1"/>
  <c r="J67" i="3"/>
  <c r="E68" i="3" l="1"/>
  <c r="F68" i="3" s="1"/>
  <c r="G68" i="3" l="1"/>
  <c r="E69" i="3"/>
  <c r="F69" i="3" s="1"/>
  <c r="G69" i="3" s="1"/>
  <c r="J68" i="3"/>
  <c r="J69" i="3" l="1"/>
  <c r="E70" i="3"/>
  <c r="J70" i="3" l="1"/>
  <c r="F70" i="3"/>
  <c r="G70" i="3" l="1"/>
  <c r="E71" i="3"/>
  <c r="J71" i="3" s="1"/>
  <c r="F71" i="3" l="1"/>
  <c r="G71" i="3" s="1"/>
  <c r="E72" i="3" l="1"/>
  <c r="J72" i="3" s="1"/>
  <c r="F72" i="3" l="1"/>
  <c r="G72" i="3" l="1"/>
  <c r="E73" i="3"/>
  <c r="J73" i="3" s="1"/>
  <c r="F73" i="3" l="1"/>
  <c r="G73" i="3" l="1"/>
  <c r="E74" i="3"/>
  <c r="J74" i="3" l="1"/>
  <c r="F74" i="3"/>
  <c r="G74" i="3" l="1"/>
  <c r="E75" i="3"/>
  <c r="J75" i="3" s="1"/>
  <c r="F75" i="3" l="1"/>
  <c r="E76" i="3" l="1"/>
  <c r="F76" i="3" s="1"/>
  <c r="G75" i="3"/>
  <c r="E77" i="3" l="1"/>
  <c r="E78" i="3" s="1"/>
  <c r="G76" i="3"/>
  <c r="J76" i="3"/>
  <c r="G85" i="3" l="1"/>
  <c r="G86" i="3" s="1"/>
  <c r="G90" i="3" s="1"/>
  <c r="F77" i="3"/>
  <c r="G77" i="3" s="1"/>
  <c r="J77" i="3"/>
</calcChain>
</file>

<file path=xl/comments1.xml><?xml version="1.0" encoding="utf-8"?>
<comments xmlns="http://schemas.openxmlformats.org/spreadsheetml/2006/main">
  <authors>
    <author>Author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</rPr>
          <t>EG:</t>
        </r>
        <r>
          <rPr>
            <sz val="9"/>
            <color indexed="81"/>
            <rFont val="Tahoma"/>
            <family val="2"/>
          </rPr>
          <t xml:space="preserve">
Estimated accrual and eval expenditures for rest of year.  YTD incurred expenditures through May of posted invoices are included at the program level.</t>
        </r>
      </text>
    </comment>
  </commentList>
</comments>
</file>

<file path=xl/sharedStrings.xml><?xml version="1.0" encoding="utf-8"?>
<sst xmlns="http://schemas.openxmlformats.org/spreadsheetml/2006/main" count="129" uniqueCount="77">
  <si>
    <t>Residential Programs</t>
  </si>
  <si>
    <t>Low Income (Sch. 118)</t>
  </si>
  <si>
    <t>New Construction (Sch. 110)</t>
  </si>
  <si>
    <t>Total DSM Program Expenditures</t>
  </si>
  <si>
    <t xml:space="preserve"> </t>
  </si>
  <si>
    <t>DSM Program Expenditures &amp; Revenues</t>
  </si>
  <si>
    <t>Jan - Dec</t>
  </si>
  <si>
    <t>Home Energy Reports (Sch N/A)</t>
  </si>
  <si>
    <t>YTD Balance</t>
  </si>
  <si>
    <t>Projected</t>
  </si>
  <si>
    <t>Attachment A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</si>
  <si>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</si>
  <si>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</si>
  <si>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</si>
  <si>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</si>
  <si>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</si>
  <si>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</si>
  <si>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</si>
  <si>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</si>
  <si>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AFUDC Rate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</si>
  <si>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</si>
  <si>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</si>
  <si>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</si>
  <si>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</si>
  <si>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</si>
  <si>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</si>
  <si>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</si>
  <si>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</si>
  <si>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</si>
  <si>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</si>
  <si>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</si>
  <si>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</si>
  <si>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</si>
  <si>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</si>
  <si>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</si>
  <si>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</si>
  <si>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</si>
  <si>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Accrual</t>
  </si>
  <si>
    <t>Notes;</t>
  </si>
  <si>
    <t>Forecast</t>
  </si>
  <si>
    <t>Notes:</t>
  </si>
  <si>
    <t>2015 totals</t>
  </si>
  <si>
    <t>Refrigerator Recycle (Sch. 117)</t>
  </si>
  <si>
    <t>Home Energy Savings Incentive Prgm (Sch. 111)</t>
  </si>
  <si>
    <t>Commercial Sector Programs</t>
  </si>
  <si>
    <t>wattsmart business (Sch. 140)</t>
  </si>
  <si>
    <t>Industrial Sectgor Programs</t>
  </si>
  <si>
    <t>Industrial Irrigation Load Control (Sch. N/A)</t>
  </si>
  <si>
    <t>Outreach and Communications</t>
  </si>
  <si>
    <t>Program Evaluation Cost</t>
  </si>
  <si>
    <t xml:space="preserve">A/C Load Control Program </t>
  </si>
  <si>
    <t>2016 totals</t>
  </si>
  <si>
    <t>for May</t>
  </si>
  <si>
    <t>Accruals added to capture full cost through May</t>
  </si>
  <si>
    <t>Total thru</t>
  </si>
  <si>
    <t>Total Accurals</t>
  </si>
  <si>
    <t>May 2016</t>
  </si>
  <si>
    <t>2016 charges</t>
  </si>
  <si>
    <t>Nov 1, 2015</t>
  </si>
  <si>
    <t>June 2016</t>
  </si>
  <si>
    <t>Jan-May 2016 actuals and used Nov 2015 forecast from filing</t>
  </si>
  <si>
    <t>Bill credits are included in WSB program costs</t>
  </si>
  <si>
    <t>DSM balancing account as of May 31, 2016</t>
  </si>
  <si>
    <t>2016 Potential Study</t>
  </si>
  <si>
    <t>Portfolio (TRL &amp; DSM Central)</t>
  </si>
  <si>
    <t>2017 Totals</t>
  </si>
  <si>
    <t>2017 Budget</t>
  </si>
  <si>
    <t>2017 Forecast used from a draft version, not yet finalized.</t>
  </si>
  <si>
    <t>2017 totals</t>
  </si>
  <si>
    <t>Forecast DSM expenses through December 2017</t>
  </si>
  <si>
    <t>Forecast carrying charges through December 2017</t>
  </si>
  <si>
    <t>Total expenses through December 2017</t>
  </si>
  <si>
    <t>Total DSM surcharge collections through December 2017</t>
  </si>
  <si>
    <t>Forecast DSM balancing account as of December 31, 2017</t>
  </si>
  <si>
    <t xml:space="preserve">   Figures provided through May 2016 are actuals.</t>
  </si>
  <si>
    <t xml:space="preserve">   Rate Recovery estimates reflect the proposed ratesfrom the July 2015 data source.</t>
  </si>
  <si>
    <t>Split for WSB program cost was based on 2015 kWh savings (73% / 27%)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</si>
</sst>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80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7" applyNumberFormat="0" applyAlignment="0" applyProtection="0"/>
    <xf numFmtId="0" fontId="27" fillId="9" borderId="8" applyNumberFormat="0" applyAlignment="0" applyProtection="0"/>
    <xf numFmtId="0" fontId="28" fillId="9" borderId="7" applyNumberFormat="0" applyAlignment="0" applyProtection="0"/>
    <xf numFmtId="0" fontId="29" fillId="0" borderId="9" applyNumberFormat="0" applyFill="0" applyAlignment="0" applyProtection="0"/>
    <xf numFmtId="0" fontId="30" fillId="10" borderId="10" applyNumberFormat="0" applyAlignment="0" applyProtection="0"/>
    <xf numFmtId="0" fontId="31" fillId="0" borderId="0" applyNumberFormat="0" applyFill="0" applyBorder="0" applyAlignment="0" applyProtection="0"/>
    <xf numFmtId="0" fontId="8" fillId="11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5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1" applyFont="1" applyFill="1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/>
    <xf numFmtId="165" fontId="2" fillId="0" borderId="0" xfId="3" applyNumberFormat="1" applyFont="1" applyFill="1" applyBorder="1"/>
    <xf numFmtId="0" fontId="2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/>
    <xf numFmtId="1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 applyProtection="1">
      <protection locked="0"/>
    </xf>
    <xf numFmtId="167" fontId="3" fillId="0" borderId="0" xfId="1" applyNumberFormat="1" applyFont="1" applyFill="1"/>
    <xf numFmtId="168" fontId="3" fillId="0" borderId="0" xfId="2" applyNumberFormat="1" applyFont="1" applyFill="1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ill="1"/>
    <xf numFmtId="0" fontId="3" fillId="0" borderId="0" xfId="80" applyFont="1" applyFill="1" applyAlignment="1">
      <alignment horizontal="left" indent="1"/>
    </xf>
    <xf numFmtId="37" fontId="2" fillId="0" borderId="0" xfId="1" applyNumberFormat="1" applyFont="1" applyFill="1" applyAlignment="1" applyProtection="1">
      <protection locked="0"/>
    </xf>
    <xf numFmtId="37" fontId="2" fillId="0" borderId="0" xfId="1" applyNumberFormat="1" applyFont="1" applyFill="1"/>
    <xf numFmtId="37" fontId="2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0" xfId="1" applyNumberFormat="1" applyFont="1" applyFill="1" applyAlignment="1">
      <alignment horizontal="right"/>
    </xf>
    <xf numFmtId="37" fontId="2" fillId="0" borderId="0" xfId="1" quotePrefix="1" applyNumberFormat="1" applyFont="1" applyFill="1" applyAlignment="1">
      <alignment horizontal="center"/>
    </xf>
    <xf numFmtId="164" fontId="3" fillId="0" borderId="0" xfId="85" applyNumberFormat="1" applyFont="1" applyFill="1"/>
    <xf numFmtId="17" fontId="2" fillId="4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17" fontId="2" fillId="4" borderId="0" xfId="1" applyNumberFormat="1" applyFont="1" applyFill="1" applyAlignment="1">
      <alignment horizontal="center"/>
    </xf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0" fontId="2" fillId="0" borderId="0" xfId="1" applyFont="1" applyFill="1" applyAlignment="1">
      <alignment horizontal="left"/>
    </xf>
    <xf numFmtId="39" fontId="2" fillId="0" borderId="0" xfId="1" quotePrefix="1" applyNumberFormat="1" applyFont="1" applyFill="1" applyBorder="1" applyAlignment="1">
      <alignment horizontal="center"/>
    </xf>
    <xf numFmtId="164" fontId="3" fillId="0" borderId="0" xfId="1" applyNumberFormat="1" applyFont="1" applyFill="1"/>
    <xf numFmtId="168" fontId="3" fillId="0" borderId="2" xfId="2" applyNumberFormat="1" applyFont="1" applyFill="1" applyBorder="1"/>
    <xf numFmtId="168" fontId="3" fillId="0" borderId="0" xfId="2" applyNumberFormat="1" applyFont="1" applyFill="1" applyBorder="1"/>
    <xf numFmtId="168" fontId="2" fillId="0" borderId="0" xfId="3" applyNumberFormat="1" applyFont="1" applyFill="1" applyBorder="1"/>
    <xf numFmtId="0" fontId="3" fillId="0" borderId="0" xfId="1" applyFont="1" applyFill="1" applyAlignment="1">
      <alignment horizontal="right"/>
    </xf>
    <xf numFmtId="3" fontId="3" fillId="0" borderId="0" xfId="2" applyNumberFormat="1" applyFont="1" applyFill="1" applyBorder="1"/>
    <xf numFmtId="3" fontId="3" fillId="0" borderId="0" xfId="1" applyNumberFormat="1" applyFont="1" applyFill="1"/>
    <xf numFmtId="10" fontId="3" fillId="0" borderId="0" xfId="12" applyNumberFormat="1" applyFont="1" applyAlignment="1" applyProtection="1">
      <alignment horizontal="center"/>
      <protection locked="0"/>
    </xf>
    <xf numFmtId="164" fontId="3" fillId="0" borderId="0" xfId="0" applyNumberFormat="1" applyFont="1" applyFill="1"/>
    <xf numFmtId="164" fontId="3" fillId="0" borderId="3" xfId="0" applyNumberFormat="1" applyFont="1" applyFill="1" applyBorder="1"/>
    <xf numFmtId="164" fontId="3" fillId="0" borderId="2" xfId="0" applyNumberFormat="1" applyFont="1" applyFill="1" applyBorder="1"/>
    <xf numFmtId="164" fontId="3" fillId="0" borderId="0" xfId="0" applyNumberFormat="1" applyFont="1"/>
    <xf numFmtId="164" fontId="3" fillId="0" borderId="0" xfId="2" applyNumberFormat="1" applyFont="1" applyFill="1" applyBorder="1"/>
    <xf numFmtId="164" fontId="3" fillId="0" borderId="0" xfId="85" applyNumberFormat="1" applyFont="1" applyFill="1" applyAlignment="1">
      <alignment horizontal="left" indent="1"/>
    </xf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165" fontId="2" fillId="0" borderId="0" xfId="3" applyNumberFormat="1" applyFont="1" applyFill="1" applyBorder="1"/>
    <xf numFmtId="0" fontId="15" fillId="0" borderId="0" xfId="0" applyFont="1"/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164" fontId="3" fillId="0" borderId="0" xfId="85" applyNumberFormat="1" applyFont="1" applyFill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37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Alignment="1">
      <alignment horizontal="left" indent="1"/>
    </xf>
    <xf numFmtId="41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Border="1"/>
    <xf numFmtId="164" fontId="3" fillId="0" borderId="0" xfId="85" applyNumberFormat="1" applyFont="1" applyFill="1" applyAlignment="1">
      <alignment horizontal="right"/>
    </xf>
    <xf numFmtId="43" fontId="3" fillId="0" borderId="0" xfId="2" applyNumberFormat="1" applyFont="1" applyFill="1"/>
    <xf numFmtId="168" fontId="3" fillId="0" borderId="0" xfId="2" applyNumberFormat="1" applyFont="1" applyFill="1" applyBorder="1"/>
    <xf numFmtId="164" fontId="3" fillId="0" borderId="13" xfId="12" applyNumberFormat="1" applyFont="1" applyBorder="1" applyAlignment="1" applyProtection="1">
      <protection locked="0"/>
    </xf>
    <xf numFmtId="5" fontId="0" fillId="0" borderId="0" xfId="279" applyNumberFormat="1" applyFont="1" applyFill="1"/>
    <xf numFmtId="0" fontId="38" fillId="0" borderId="0" xfId="1" applyFont="1" applyFill="1"/>
    <xf numFmtId="5" fontId="0" fillId="0" borderId="0" xfId="279" applyNumberFormat="1" applyFont="1" applyFill="1"/>
    <xf numFmtId="0" fontId="3" fillId="0" borderId="0" xfId="1" applyFont="1" applyFill="1" applyAlignment="1">
      <alignment wrapText="1"/>
    </xf>
  </cellXfs>
  <cellStyles count="280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8"/>
    <cellStyle name="Comma 3 2 2" xfId="178"/>
    <cellStyle name="Comma 3 2 3" xfId="232"/>
    <cellStyle name="Comma 3 3" xfId="177"/>
    <cellStyle name="Comma 3 4" xfId="231"/>
    <cellStyle name="Comma 3 5" xfId="136"/>
    <cellStyle name="Comma 30" xfId="75"/>
    <cellStyle name="Comma 31" xfId="77"/>
    <cellStyle name="Comma 32" xfId="79"/>
    <cellStyle name="Comma 33" xfId="9"/>
    <cellStyle name="Comma 4" xfId="21"/>
    <cellStyle name="Comma 4 2" xfId="170"/>
    <cellStyle name="Comma 4 2 2" xfId="179"/>
    <cellStyle name="Comma 4 2 3" xfId="233"/>
    <cellStyle name="Comma 4 3" xfId="176"/>
    <cellStyle name="Comma 4 4" xfId="226"/>
    <cellStyle name="Comma 4 5" xfId="230"/>
    <cellStyle name="Comma 5" xfId="23"/>
    <cellStyle name="Comma 5 2" xfId="173"/>
    <cellStyle name="Comma 5 2 2" xfId="181"/>
    <cellStyle name="Comma 5 2 3" xfId="235"/>
    <cellStyle name="Comma 5 3" xfId="180"/>
    <cellStyle name="Comma 5 4" xfId="234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9"/>
    <cellStyle name="Currency 3 2 2" xfId="183"/>
    <cellStyle name="Currency 3 2 3" xfId="237"/>
    <cellStyle name="Currency 3 3" xfId="182"/>
    <cellStyle name="Currency 3 4" xfId="236"/>
    <cellStyle name="Currency 3 5" xfId="137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yperlink 2" xfId="129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4"/>
    <cellStyle name="Normal 2 2 2 2" xfId="144"/>
    <cellStyle name="Normal 2 2 2 2 2" xfId="166"/>
    <cellStyle name="Normal 2 2 2 2 2 2" xfId="188"/>
    <cellStyle name="Normal 2 2 2 2 2 3" xfId="242"/>
    <cellStyle name="Normal 2 2 2 2 3" xfId="187"/>
    <cellStyle name="Normal 2 2 2 2 4" xfId="241"/>
    <cellStyle name="Normal 2 2 2 3" xfId="155"/>
    <cellStyle name="Normal 2 2 2 3 2" xfId="189"/>
    <cellStyle name="Normal 2 2 2 3 3" xfId="243"/>
    <cellStyle name="Normal 2 2 2 4" xfId="186"/>
    <cellStyle name="Normal 2 2 2 5" xfId="240"/>
    <cellStyle name="Normal 2 2 3" xfId="140"/>
    <cellStyle name="Normal 2 2 3 2" xfId="162"/>
    <cellStyle name="Normal 2 2 3 2 2" xfId="191"/>
    <cellStyle name="Normal 2 2 3 2 3" xfId="245"/>
    <cellStyle name="Normal 2 2 3 3" xfId="190"/>
    <cellStyle name="Normal 2 2 3 4" xfId="244"/>
    <cellStyle name="Normal 2 2 4" xfId="151"/>
    <cellStyle name="Normal 2 2 4 2" xfId="192"/>
    <cellStyle name="Normal 2 2 4 3" xfId="246"/>
    <cellStyle name="Normal 2 2 5" xfId="185"/>
    <cellStyle name="Normal 2 2 6" xfId="239"/>
    <cellStyle name="Normal 2 2 7" xfId="130"/>
    <cellStyle name="Normal 2 3" xfId="84"/>
    <cellStyle name="Normal 2 3 2" xfId="142"/>
    <cellStyle name="Normal 2 3 2 2" xfId="164"/>
    <cellStyle name="Normal 2 3 2 2 2" xfId="195"/>
    <cellStyle name="Normal 2 3 2 2 3" xfId="249"/>
    <cellStyle name="Normal 2 3 2 3" xfId="194"/>
    <cellStyle name="Normal 2 3 2 4" xfId="248"/>
    <cellStyle name="Normal 2 3 3" xfId="153"/>
    <cellStyle name="Normal 2 3 3 2" xfId="196"/>
    <cellStyle name="Normal 2 3 3 3" xfId="250"/>
    <cellStyle name="Normal 2 3 4" xfId="193"/>
    <cellStyle name="Normal 2 3 5" xfId="247"/>
    <cellStyle name="Normal 2 3 6" xfId="132"/>
    <cellStyle name="Normal 2 4" xfId="14"/>
    <cellStyle name="Normal 2 4 2" xfId="160"/>
    <cellStyle name="Normal 2 4 2 2" xfId="198"/>
    <cellStyle name="Normal 2 4 2 3" xfId="252"/>
    <cellStyle name="Normal 2 4 3" xfId="197"/>
    <cellStyle name="Normal 2 4 4" xfId="251"/>
    <cellStyle name="Normal 2 5" xfId="147"/>
    <cellStyle name="Normal 2 6" xfId="149"/>
    <cellStyle name="Normal 2 6 2" xfId="199"/>
    <cellStyle name="Normal 2 6 3" xfId="253"/>
    <cellStyle name="Normal 2 7" xfId="184"/>
    <cellStyle name="Normal 2 8" xfId="238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5"/>
    <cellStyle name="Normal 3 2 2 2" xfId="145"/>
    <cellStyle name="Normal 3 2 2 2 2" xfId="167"/>
    <cellStyle name="Normal 3 2 2 2 2 2" xfId="204"/>
    <cellStyle name="Normal 3 2 2 2 2 3" xfId="258"/>
    <cellStyle name="Normal 3 2 2 2 3" xfId="203"/>
    <cellStyle name="Normal 3 2 2 2 4" xfId="257"/>
    <cellStyle name="Normal 3 2 2 3" xfId="156"/>
    <cellStyle name="Normal 3 2 2 3 2" xfId="205"/>
    <cellStyle name="Normal 3 2 2 3 3" xfId="259"/>
    <cellStyle name="Normal 3 2 2 4" xfId="202"/>
    <cellStyle name="Normal 3 2 2 5" xfId="256"/>
    <cellStyle name="Normal 3 2 3" xfId="141"/>
    <cellStyle name="Normal 3 2 3 2" xfId="163"/>
    <cellStyle name="Normal 3 2 3 2 2" xfId="207"/>
    <cellStyle name="Normal 3 2 3 2 3" xfId="261"/>
    <cellStyle name="Normal 3 2 3 3" xfId="206"/>
    <cellStyle name="Normal 3 2 3 4" xfId="260"/>
    <cellStyle name="Normal 3 2 4" xfId="152"/>
    <cellStyle name="Normal 3 2 4 2" xfId="208"/>
    <cellStyle name="Normal 3 2 4 3" xfId="262"/>
    <cellStyle name="Normal 3 2 5" xfId="201"/>
    <cellStyle name="Normal 3 2 6" xfId="255"/>
    <cellStyle name="Normal 3 2 7" xfId="131"/>
    <cellStyle name="Normal 3 3" xfId="133"/>
    <cellStyle name="Normal 3 3 2" xfId="143"/>
    <cellStyle name="Normal 3 3 2 2" xfId="165"/>
    <cellStyle name="Normal 3 3 2 2 2" xfId="211"/>
    <cellStyle name="Normal 3 3 2 2 3" xfId="265"/>
    <cellStyle name="Normal 3 3 2 3" xfId="210"/>
    <cellStyle name="Normal 3 3 2 4" xfId="264"/>
    <cellStyle name="Normal 3 3 3" xfId="154"/>
    <cellStyle name="Normal 3 3 3 2" xfId="212"/>
    <cellStyle name="Normal 3 3 3 3" xfId="266"/>
    <cellStyle name="Normal 3 3 4" xfId="209"/>
    <cellStyle name="Normal 3 3 5" xfId="263"/>
    <cellStyle name="Normal 3 4" xfId="139"/>
    <cellStyle name="Normal 3 4 2" xfId="161"/>
    <cellStyle name="Normal 3 4 2 2" xfId="214"/>
    <cellStyle name="Normal 3 4 2 3" xfId="268"/>
    <cellStyle name="Normal 3 4 3" xfId="213"/>
    <cellStyle name="Normal 3 4 4" xfId="267"/>
    <cellStyle name="Normal 3 5" xfId="150"/>
    <cellStyle name="Normal 3 5 2" xfId="215"/>
    <cellStyle name="Normal 3 5 3" xfId="269"/>
    <cellStyle name="Normal 3 6" xfId="200"/>
    <cellStyle name="Normal 3 7" xfId="254"/>
    <cellStyle name="Normal 3 8" xfId="128"/>
    <cellStyle name="Normal 30" xfId="74"/>
    <cellStyle name="Normal 31" xfId="76"/>
    <cellStyle name="Normal 32" xfId="78"/>
    <cellStyle name="Normal 33" xfId="8"/>
    <cellStyle name="Normal 4" xfId="20"/>
    <cellStyle name="Normal 4 2" xfId="138"/>
    <cellStyle name="Normal 5" xfId="22"/>
    <cellStyle name="Normal 5 2" xfId="157"/>
    <cellStyle name="Normal 5 2 2" xfId="217"/>
    <cellStyle name="Normal 5 2 3" xfId="271"/>
    <cellStyle name="Normal 5 3" xfId="216"/>
    <cellStyle name="Normal 5 4" xfId="270"/>
    <cellStyle name="Normal 6" xfId="24"/>
    <cellStyle name="Normal 6 2" xfId="168"/>
    <cellStyle name="Normal 6 2 2" xfId="218"/>
    <cellStyle name="Normal 6 2 3" xfId="272"/>
    <cellStyle name="Normal 6 3" xfId="174"/>
    <cellStyle name="Normal 6 4" xfId="224"/>
    <cellStyle name="Normal 6 5" xfId="228"/>
    <cellStyle name="Normal 7" xfId="26"/>
    <cellStyle name="Normal 7 2" xfId="172"/>
    <cellStyle name="Normal 7 2 2" xfId="220"/>
    <cellStyle name="Normal 7 2 3" xfId="274"/>
    <cellStyle name="Normal 7 3" xfId="219"/>
    <cellStyle name="Normal 7 4" xfId="227"/>
    <cellStyle name="Normal 7 5" xfId="273"/>
    <cellStyle name="Normal 8" xfId="28"/>
    <cellStyle name="Normal 9" xfId="30"/>
    <cellStyle name="Note" xfId="100" builtinId="10" customBuiltin="1"/>
    <cellStyle name="Output" xfId="95" builtinId="21" customBuiltin="1"/>
    <cellStyle name="Percent" xfId="279" builtinId="5"/>
    <cellStyle name="Percent 2" xfId="6"/>
    <cellStyle name="Percent 2 2" xfId="81"/>
    <cellStyle name="Percent 2 3" xfId="65"/>
    <cellStyle name="Percent 3" xfId="16"/>
    <cellStyle name="Percent 3 2" xfId="169"/>
    <cellStyle name="Percent 3 2 2" xfId="221"/>
    <cellStyle name="Percent 3 2 3" xfId="275"/>
    <cellStyle name="Percent 3 3" xfId="175"/>
    <cellStyle name="Percent 3 4" xfId="225"/>
    <cellStyle name="Percent 3 5" xfId="229"/>
    <cellStyle name="Percent 3 6" xfId="146"/>
    <cellStyle name="Percent 4" xfId="148"/>
    <cellStyle name="Percent 4 2" xfId="171"/>
    <cellStyle name="Percent 4 2 2" xfId="223"/>
    <cellStyle name="Percent 4 2 3" xfId="277"/>
    <cellStyle name="Percent 4 3" xfId="222"/>
    <cellStyle name="Percent 4 4" xfId="276"/>
    <cellStyle name="Percent 5" xfId="278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TRANSMISSION RELIABILITY PORTION OF PROJECT 2 2" xfId="12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5"/>
  <sheetViews>
    <sheetView tabSelected="1" zoomScaleNormal="100" workbookViewId="0">
      <selection activeCell="C2" sqref="C2"/>
    </sheetView>
  </sheetViews>
  <sheetFormatPr defaultRowHeight="14.25"/>
  <cols>
    <col min="1" max="1" width="17.5703125" style="29" customWidth="1"/>
    <col min="2" max="2" width="17.28515625" style="29" customWidth="1"/>
    <col min="3" max="3" width="15.28515625" style="29" customWidth="1"/>
    <col min="4" max="4" width="17" style="29" customWidth="1"/>
    <col min="5" max="5" width="15.7109375" style="29" bestFit="1" customWidth="1"/>
    <col min="6" max="6" width="17" style="29" bestFit="1" customWidth="1"/>
    <col min="7" max="7" width="19.140625" style="29" bestFit="1" customWidth="1"/>
    <col min="8" max="8" width="9.28515625" style="29" customWidth="1"/>
    <col min="9" max="9" width="1.42578125" style="29" customWidth="1"/>
    <col min="10" max="10" width="16.42578125" style="29" customWidth="1"/>
    <col min="11" max="11" width="2.7109375" style="29" customWidth="1"/>
    <col min="12" max="16384" width="9.140625" style="29"/>
  </cols>
  <sheetData>
    <row r="1" spans="1:134" s="23" customFormat="1" ht="12.75" customHeight="1">
      <c r="A1" s="19" t="s">
        <v>10</v>
      </c>
      <c r="B1" s="19"/>
      <c r="C1" s="19"/>
      <c r="D1" s="20"/>
      <c r="E1" s="19"/>
      <c r="F1" s="19"/>
      <c r="G1" s="19"/>
      <c r="H1" s="21"/>
      <c r="I1" s="22"/>
      <c r="J1" s="22"/>
    </row>
    <row r="2" spans="1:134" s="24" customFormat="1" ht="12.75" customHeight="1">
      <c r="A2" s="19" t="s">
        <v>11</v>
      </c>
      <c r="B2" s="19"/>
      <c r="C2" s="19"/>
      <c r="D2" s="20"/>
      <c r="E2" s="19"/>
      <c r="F2" s="19"/>
      <c r="G2" s="19"/>
      <c r="H2" s="21"/>
      <c r="I2" s="22"/>
      <c r="J2" s="22"/>
    </row>
    <row r="3" spans="1:134">
      <c r="A3" s="25"/>
      <c r="B3" s="26"/>
      <c r="C3" s="26"/>
      <c r="D3" s="26"/>
      <c r="E3" s="30"/>
      <c r="F3" s="31" t="s">
        <v>12</v>
      </c>
      <c r="G3" s="31"/>
      <c r="H3" s="32"/>
      <c r="I3" s="28"/>
      <c r="J3" s="3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</row>
    <row r="4" spans="1:134" s="23" customFormat="1" ht="51" customHeight="1">
      <c r="A4" s="34"/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7"/>
      <c r="J4" s="36" t="s">
        <v>20</v>
      </c>
    </row>
    <row r="5" spans="1:134">
      <c r="A5" s="38"/>
      <c r="B5" s="39"/>
      <c r="C5" s="39"/>
      <c r="D5" s="39"/>
      <c r="E5" s="39"/>
      <c r="F5" s="39"/>
      <c r="G5" s="39"/>
      <c r="H5" s="40"/>
      <c r="I5" s="28"/>
      <c r="J5" s="4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7"/>
      <c r="EA5" s="27"/>
      <c r="EB5" s="27"/>
      <c r="EC5" s="28"/>
      <c r="ED5" s="28"/>
    </row>
    <row r="6" spans="1:134">
      <c r="A6" s="42" t="s">
        <v>33</v>
      </c>
      <c r="B6" s="66">
        <v>43638929.749999993</v>
      </c>
      <c r="C6" s="66">
        <v>3865060.19</v>
      </c>
      <c r="D6" s="66">
        <v>-54147493.57</v>
      </c>
      <c r="E6" s="66">
        <v>-428385</v>
      </c>
      <c r="F6" s="63">
        <v>-8770676.345999999</v>
      </c>
      <c r="G6" s="63">
        <v>-4905616.1559999995</v>
      </c>
      <c r="H6" s="44"/>
      <c r="I6" s="28"/>
      <c r="J6" s="70"/>
    </row>
    <row r="7" spans="1:134" ht="9" customHeight="1">
      <c r="A7" s="42"/>
      <c r="B7" s="64"/>
      <c r="C7" s="64"/>
      <c r="D7" s="64"/>
      <c r="E7" s="64"/>
      <c r="F7" s="65"/>
      <c r="G7" s="65"/>
      <c r="H7" s="44"/>
      <c r="I7" s="28"/>
      <c r="J7" s="70"/>
    </row>
    <row r="8" spans="1:134">
      <c r="A8" s="42" t="s">
        <v>34</v>
      </c>
      <c r="B8" s="66">
        <v>44887095</v>
      </c>
      <c r="C8" s="66">
        <v>781573.44000000018</v>
      </c>
      <c r="D8" s="66">
        <v>-47901079.229999989</v>
      </c>
      <c r="E8" s="66">
        <v>-1154860</v>
      </c>
      <c r="F8" s="65">
        <v>-12939520.576000005</v>
      </c>
      <c r="G8" s="65">
        <v>-8292886.9460000051</v>
      </c>
      <c r="H8" s="91">
        <v>7.8299999999999995E-2</v>
      </c>
      <c r="I8" s="28"/>
      <c r="J8" s="70">
        <v>3416696</v>
      </c>
    </row>
    <row r="9" spans="1:134">
      <c r="A9" s="42"/>
      <c r="B9" s="64"/>
      <c r="C9" s="64"/>
      <c r="D9" s="64"/>
      <c r="E9" s="64"/>
      <c r="F9" s="65"/>
      <c r="G9" s="65"/>
      <c r="H9" s="44"/>
      <c r="I9" s="28"/>
      <c r="J9" s="70"/>
    </row>
    <row r="10" spans="1:134" hidden="1">
      <c r="A10" s="45" t="s">
        <v>21</v>
      </c>
      <c r="B10" s="62">
        <v>2239835.92</v>
      </c>
      <c r="C10" s="63">
        <v>468371.4</v>
      </c>
      <c r="D10" s="62">
        <v>-3769989.72</v>
      </c>
      <c r="E10" s="62">
        <f>ROUND((((B10+D10)/2)+F8)*(7.83%/12),0)</f>
        <v>-89422</v>
      </c>
      <c r="F10" s="63">
        <f>+F8+B10+D10+E10</f>
        <v>-14559096.376000006</v>
      </c>
      <c r="G10" s="62">
        <f>SUM(C10)+$C$6+$C$8+F10</f>
        <v>-9444091.3460000046</v>
      </c>
      <c r="H10" s="43">
        <v>7.7700000000000005E-2</v>
      </c>
      <c r="I10" s="28"/>
      <c r="J10" s="62">
        <f>+J8+E10</f>
        <v>3327274</v>
      </c>
    </row>
    <row r="11" spans="1:134" hidden="1">
      <c r="A11" s="46" t="s">
        <v>22</v>
      </c>
      <c r="B11" s="62">
        <v>1840981.91</v>
      </c>
      <c r="C11" s="63">
        <v>556090.38</v>
      </c>
      <c r="D11" s="62">
        <v>-3595521.42</v>
      </c>
      <c r="E11" s="62">
        <f t="shared" ref="E11:E17" si="0">ROUND((((B11+D11)/2)+F10)*(7.83%/12),0)</f>
        <v>-100722</v>
      </c>
      <c r="F11" s="63">
        <f t="shared" ref="F11:F21" si="1">+F10+B11+D11+E11</f>
        <v>-16414357.886000006</v>
      </c>
      <c r="G11" s="62">
        <f>SUM(C10:C11)+$C$6+$C$8+F11</f>
        <v>-10743262.476000005</v>
      </c>
      <c r="H11" s="43">
        <v>7.7700000000000005E-2</v>
      </c>
      <c r="I11" s="28"/>
      <c r="J11" s="62">
        <f t="shared" ref="J11:J16" si="2">+J10+E11</f>
        <v>3226552</v>
      </c>
    </row>
    <row r="12" spans="1:134" hidden="1">
      <c r="A12" s="47" t="s">
        <v>23</v>
      </c>
      <c r="B12" s="62">
        <v>4105879.7</v>
      </c>
      <c r="C12" s="63">
        <v>-378161.72</v>
      </c>
      <c r="D12" s="62">
        <v>-3171663.13</v>
      </c>
      <c r="E12" s="62">
        <f t="shared" si="0"/>
        <v>-104056</v>
      </c>
      <c r="F12" s="63">
        <f t="shared" si="1"/>
        <v>-15584197.316000003</v>
      </c>
      <c r="G12" s="62">
        <f>SUM(C10:C12)+$C$6+$C$8+F12</f>
        <v>-10291263.626000002</v>
      </c>
      <c r="H12" s="43">
        <v>7.7700000000000005E-2</v>
      </c>
      <c r="I12" s="48"/>
      <c r="J12" s="62">
        <f t="shared" si="2"/>
        <v>3122496</v>
      </c>
    </row>
    <row r="13" spans="1:134" hidden="1">
      <c r="A13" s="45" t="s">
        <v>24</v>
      </c>
      <c r="B13" s="62">
        <v>3968473.7</v>
      </c>
      <c r="C13" s="63">
        <v>55405.23</v>
      </c>
      <c r="D13" s="62">
        <v>-2745404.79</v>
      </c>
      <c r="E13" s="62">
        <f t="shared" si="0"/>
        <v>-97697</v>
      </c>
      <c r="F13" s="63">
        <f t="shared" si="1"/>
        <v>-14458825.406000003</v>
      </c>
      <c r="G13" s="62">
        <f>SUM(C10:C13)+$C$6+$C$8+F13</f>
        <v>-9110486.4860000014</v>
      </c>
      <c r="H13" s="43">
        <v>7.7700000000000005E-2</v>
      </c>
      <c r="I13" s="28"/>
      <c r="J13" s="62">
        <f t="shared" si="2"/>
        <v>3024799</v>
      </c>
    </row>
    <row r="14" spans="1:134" hidden="1">
      <c r="A14" s="45" t="s">
        <v>25</v>
      </c>
      <c r="B14" s="62">
        <v>4432566.2699999996</v>
      </c>
      <c r="C14" s="63">
        <v>-1259705.19</v>
      </c>
      <c r="D14" s="62">
        <v>-2876432.82</v>
      </c>
      <c r="E14" s="62">
        <f t="shared" si="0"/>
        <v>-89267</v>
      </c>
      <c r="F14" s="63">
        <f t="shared" si="1"/>
        <v>-12991958.956000004</v>
      </c>
      <c r="G14" s="62">
        <f>SUM(C10:C14)+$C$6+$C$8+F14</f>
        <v>-8903325.2260000035</v>
      </c>
      <c r="H14" s="43">
        <v>7.7700000000000005E-2</v>
      </c>
      <c r="I14" s="28"/>
      <c r="J14" s="62">
        <f t="shared" si="2"/>
        <v>2935532</v>
      </c>
    </row>
    <row r="15" spans="1:134" hidden="1">
      <c r="A15" s="46" t="s">
        <v>26</v>
      </c>
      <c r="B15" s="62">
        <v>3151913.14</v>
      </c>
      <c r="C15" s="63">
        <v>209875.65</v>
      </c>
      <c r="D15" s="62">
        <v>-3561547.17</v>
      </c>
      <c r="E15" s="62">
        <f t="shared" si="0"/>
        <v>-86109</v>
      </c>
      <c r="F15" s="63">
        <f t="shared" si="1"/>
        <v>-13487701.986000003</v>
      </c>
      <c r="G15" s="62">
        <f>SUM(C10:C15)+$C$6+$C$8+F15</f>
        <v>-9189192.6060000025</v>
      </c>
      <c r="H15" s="43">
        <v>7.7700000000000005E-2</v>
      </c>
      <c r="I15" s="28"/>
      <c r="J15" s="62">
        <f t="shared" si="2"/>
        <v>2849423</v>
      </c>
    </row>
    <row r="16" spans="1:134" hidden="1">
      <c r="A16" s="45" t="s">
        <v>27</v>
      </c>
      <c r="B16" s="62">
        <v>4851756.74</v>
      </c>
      <c r="C16" s="62">
        <v>-244503.08</v>
      </c>
      <c r="D16" s="62">
        <v>-4488209.18</v>
      </c>
      <c r="E16" s="62">
        <f t="shared" si="0"/>
        <v>-86821</v>
      </c>
      <c r="F16" s="62">
        <f t="shared" si="1"/>
        <v>-13210975.426000003</v>
      </c>
      <c r="G16" s="62">
        <f>SUM(C10:C16)+$C$6+$C$8+F16</f>
        <v>-9156969.126000002</v>
      </c>
      <c r="H16" s="43">
        <v>7.7700000000000005E-2</v>
      </c>
      <c r="I16" s="49"/>
      <c r="J16" s="62">
        <f t="shared" si="2"/>
        <v>2762602</v>
      </c>
    </row>
    <row r="17" spans="1:10" hidden="1">
      <c r="A17" s="45" t="s">
        <v>28</v>
      </c>
      <c r="B17" s="62">
        <v>3159027.16</v>
      </c>
      <c r="C17" s="62">
        <v>3252542.93</v>
      </c>
      <c r="D17" s="62">
        <v>-4740990.0199999996</v>
      </c>
      <c r="E17" s="62">
        <f t="shared" si="0"/>
        <v>-91363</v>
      </c>
      <c r="F17" s="62">
        <f t="shared" si="1"/>
        <v>-14884301.286000002</v>
      </c>
      <c r="G17" s="62">
        <f>SUM(C10:C17)+$C$6+$C$8+F17</f>
        <v>-7577752.0560000008</v>
      </c>
      <c r="H17" s="43">
        <v>7.7700000000000005E-2</v>
      </c>
      <c r="I17" s="49"/>
      <c r="J17" s="62">
        <f>+J16+E17</f>
        <v>2671239</v>
      </c>
    </row>
    <row r="18" spans="1:10" hidden="1">
      <c r="A18" s="45" t="s">
        <v>29</v>
      </c>
      <c r="B18" s="62">
        <v>2652617.64</v>
      </c>
      <c r="C18" s="62">
        <v>64462.7</v>
      </c>
      <c r="D18" s="62">
        <v>-4427712.4000000004</v>
      </c>
      <c r="E18" s="62">
        <f>ROUND((((B18+D18)/2)+F17)*(7.83%/12),0)</f>
        <v>-102911</v>
      </c>
      <c r="F18" s="62">
        <f t="shared" si="1"/>
        <v>-16762307.046000002</v>
      </c>
      <c r="G18" s="62">
        <f>SUM(C10:C18)+$C$6+$C$8+F18</f>
        <v>-9391295.1160000004</v>
      </c>
      <c r="H18" s="43">
        <v>7.7700000000000005E-2</v>
      </c>
      <c r="I18" s="49"/>
      <c r="J18" s="62">
        <f>+J17+E18</f>
        <v>2568328</v>
      </c>
    </row>
    <row r="19" spans="1:10" hidden="1">
      <c r="A19" s="45" t="s">
        <v>30</v>
      </c>
      <c r="B19" s="62">
        <v>5504239.0499999998</v>
      </c>
      <c r="C19" s="62">
        <v>-904371.67</v>
      </c>
      <c r="D19" s="62">
        <v>-4114849.64</v>
      </c>
      <c r="E19" s="62">
        <f>ROUND((((B19+D19)/2)+F18)*(7.83%/12),0)</f>
        <v>-104841</v>
      </c>
      <c r="F19" s="62">
        <f t="shared" si="1"/>
        <v>-15477758.636000004</v>
      </c>
      <c r="G19" s="62">
        <f>SUM(C10:C19)+$C$6+$C$8+F19</f>
        <v>-9011118.376000002</v>
      </c>
      <c r="H19" s="43">
        <v>7.7700000000000005E-2</v>
      </c>
      <c r="I19" s="49"/>
      <c r="J19" s="62">
        <f>+J18+E19</f>
        <v>2463487</v>
      </c>
    </row>
    <row r="20" spans="1:10" hidden="1">
      <c r="A20" s="45" t="s">
        <v>31</v>
      </c>
      <c r="B20" s="62">
        <v>3263631.97</v>
      </c>
      <c r="C20" s="62">
        <v>1139336.82</v>
      </c>
      <c r="D20" s="62">
        <v>-3868999.04</v>
      </c>
      <c r="E20" s="62">
        <v>-94611</v>
      </c>
      <c r="F20" s="62">
        <f t="shared" si="1"/>
        <v>-16177736.706000004</v>
      </c>
      <c r="G20" s="62">
        <f>SUM(C10:C20)+$C$6+$C$8+F20</f>
        <v>-8571759.626000002</v>
      </c>
      <c r="H20" s="43">
        <v>7.7700000000000005E-2</v>
      </c>
      <c r="I20" s="49"/>
      <c r="J20" s="62">
        <f>+J19+E20</f>
        <v>2368876</v>
      </c>
    </row>
    <row r="21" spans="1:10" hidden="1">
      <c r="A21" s="45" t="s">
        <v>32</v>
      </c>
      <c r="B21" s="62">
        <v>11905939.859999999</v>
      </c>
      <c r="C21" s="62">
        <v>-4945115.43</v>
      </c>
      <c r="D21" s="62">
        <v>-4580101.47</v>
      </c>
      <c r="E21" s="62">
        <f>ROUND((((B21+D21)/2)+F20)*(7.77%/12),0)</f>
        <v>-81033</v>
      </c>
      <c r="F21" s="62">
        <f t="shared" si="1"/>
        <v>-8932931.3160000034</v>
      </c>
      <c r="G21" s="62">
        <f>SUM(C10:C21)+$C$6+$C$8+F21</f>
        <v>-6272069.6660000021</v>
      </c>
      <c r="H21" s="43">
        <v>7.7700000000000005E-2</v>
      </c>
      <c r="I21" s="49"/>
      <c r="J21" s="62">
        <f>+J20+E21</f>
        <v>2287843</v>
      </c>
    </row>
    <row r="22" spans="1:10">
      <c r="A22" s="42" t="s">
        <v>35</v>
      </c>
      <c r="B22" s="71">
        <f>SUM(B10:B21)</f>
        <v>51076863.060000002</v>
      </c>
      <c r="C22" s="71">
        <f>SUM(C10:C21)</f>
        <v>-1985771.9799999986</v>
      </c>
      <c r="D22" s="71">
        <f>SUM(D10:D21)</f>
        <v>-45941420.799999997</v>
      </c>
      <c r="E22" s="71">
        <f>SUM(E10:E21)</f>
        <v>-1128853</v>
      </c>
      <c r="F22" s="72">
        <v>-8932931.3160000034</v>
      </c>
      <c r="G22" s="72">
        <v>-6272069.6660000021</v>
      </c>
      <c r="H22" s="43">
        <v>7.7700000000000005E-2</v>
      </c>
      <c r="I22" s="49"/>
      <c r="J22" s="70">
        <v>2287843</v>
      </c>
    </row>
    <row r="23" spans="1:10">
      <c r="A23" s="42"/>
      <c r="B23" s="74"/>
      <c r="C23" s="74"/>
      <c r="D23" s="74"/>
      <c r="E23" s="74"/>
      <c r="F23" s="72"/>
      <c r="G23" s="72"/>
      <c r="H23" s="73"/>
      <c r="I23" s="49"/>
      <c r="J23" s="70"/>
    </row>
    <row r="24" spans="1:10" hidden="1">
      <c r="A24" s="45" t="s">
        <v>21</v>
      </c>
      <c r="B24" s="62">
        <v>4196557.4000000004</v>
      </c>
      <c r="C24" s="62">
        <v>1838939.81</v>
      </c>
      <c r="D24" s="62">
        <v>-4530672.1500000004</v>
      </c>
      <c r="E24" s="62">
        <f>ROUND((((B24+D24)/2)+F21)*(7.77%/12),0)</f>
        <v>-58922</v>
      </c>
      <c r="F24" s="62">
        <f>+F21+B24+D24+E24</f>
        <v>-9325968.0660000034</v>
      </c>
      <c r="G24" s="62">
        <f>SUM(C24)+$C$6+$C$8+$C$22+F24</f>
        <v>-4826166.6060000015</v>
      </c>
      <c r="H24" s="43">
        <v>7.7600000000000002E-2</v>
      </c>
      <c r="I24" s="49"/>
      <c r="J24" s="62">
        <f>+J21+E24</f>
        <v>2228921</v>
      </c>
    </row>
    <row r="25" spans="1:10" hidden="1">
      <c r="A25" s="46" t="s">
        <v>22</v>
      </c>
      <c r="B25" s="62">
        <v>7301899.2400000002</v>
      </c>
      <c r="C25" s="62">
        <v>-719294.72</v>
      </c>
      <c r="D25" s="62">
        <v>-3936377.67</v>
      </c>
      <c r="E25" s="62">
        <f t="shared" ref="E25:E34" si="3">ROUND((((B25+D25)/2)+F24)*(7.77%/12),0)</f>
        <v>-49490</v>
      </c>
      <c r="F25" s="62">
        <f t="shared" ref="F25:F35" si="4">+F24+B25+D25+E25</f>
        <v>-6009936.4960000031</v>
      </c>
      <c r="G25" s="62">
        <f>SUM(C24:C25)+$C$6+$C$8+$C$22+F25</f>
        <v>-2229429.756000001</v>
      </c>
      <c r="H25" s="43">
        <v>7.7600000000000002E-2</v>
      </c>
      <c r="I25" s="49"/>
      <c r="J25" s="62">
        <f t="shared" ref="J25:J30" si="5">+J24+E25</f>
        <v>2179431</v>
      </c>
    </row>
    <row r="26" spans="1:10" hidden="1">
      <c r="A26" s="47" t="s">
        <v>23</v>
      </c>
      <c r="B26" s="62">
        <v>9513000.9499999993</v>
      </c>
      <c r="C26" s="62">
        <v>107508.32</v>
      </c>
      <c r="D26" s="62">
        <v>-4826683.72</v>
      </c>
      <c r="E26" s="62">
        <f t="shared" si="3"/>
        <v>-23742</v>
      </c>
      <c r="F26" s="62">
        <f t="shared" si="4"/>
        <v>-1347361.2660000036</v>
      </c>
      <c r="G26" s="62">
        <f>SUM(C24:C26)+$C$6+$C$8+$C$22+F26</f>
        <v>2540653.7939999979</v>
      </c>
      <c r="H26" s="43">
        <v>7.7600000000000002E-2</v>
      </c>
      <c r="I26" s="48"/>
      <c r="J26" s="62">
        <f t="shared" si="5"/>
        <v>2155689</v>
      </c>
    </row>
    <row r="27" spans="1:10" hidden="1">
      <c r="A27" s="45" t="s">
        <v>24</v>
      </c>
      <c r="B27" s="62">
        <v>8332524.4299999997</v>
      </c>
      <c r="C27" s="62">
        <v>-364021.59</v>
      </c>
      <c r="D27" s="62">
        <v>-4024107.75</v>
      </c>
      <c r="E27" s="62">
        <f t="shared" si="3"/>
        <v>5224</v>
      </c>
      <c r="F27" s="62">
        <f t="shared" si="4"/>
        <v>2966279.4139999961</v>
      </c>
      <c r="G27" s="62">
        <f>SUM(C24:C27)+$C$6+$C$8+$C$22+F27</f>
        <v>6490272.8839999977</v>
      </c>
      <c r="H27" s="43">
        <v>7.7600000000000002E-2</v>
      </c>
      <c r="I27" s="49"/>
      <c r="J27" s="62">
        <f t="shared" si="5"/>
        <v>2160913</v>
      </c>
    </row>
    <row r="28" spans="1:10" hidden="1">
      <c r="A28" s="46" t="s">
        <v>25</v>
      </c>
      <c r="B28" s="62">
        <v>5867664.04</v>
      </c>
      <c r="C28" s="62">
        <v>86444.05</v>
      </c>
      <c r="D28" s="62">
        <v>-4206797.6900000004</v>
      </c>
      <c r="E28" s="62">
        <f t="shared" si="3"/>
        <v>24584</v>
      </c>
      <c r="F28" s="62">
        <f t="shared" si="4"/>
        <v>4651729.7639999958</v>
      </c>
      <c r="G28" s="62">
        <f>SUM(C24:C28)+$C$6+$C$8+$C$22+F28</f>
        <v>8262167.2839999981</v>
      </c>
      <c r="H28" s="43">
        <v>7.7600000000000002E-2</v>
      </c>
      <c r="I28" s="49"/>
      <c r="J28" s="62">
        <f t="shared" si="5"/>
        <v>2185497</v>
      </c>
    </row>
    <row r="29" spans="1:10" hidden="1">
      <c r="A29" s="46" t="s">
        <v>26</v>
      </c>
      <c r="B29" s="62">
        <v>9395350.6799999997</v>
      </c>
      <c r="C29" s="62">
        <v>-224949.94</v>
      </c>
      <c r="D29" s="62">
        <v>-5230146.9000000004</v>
      </c>
      <c r="E29" s="62">
        <f t="shared" si="3"/>
        <v>43605</v>
      </c>
      <c r="F29" s="62">
        <f t="shared" si="4"/>
        <v>8860538.5439999942</v>
      </c>
      <c r="G29" s="62">
        <f>SUM(C24:C29)+$C$6+$C$8+$C$22+F29</f>
        <v>12246026.123999996</v>
      </c>
      <c r="H29" s="43">
        <v>7.7600000000000002E-2</v>
      </c>
      <c r="I29" s="49"/>
      <c r="J29" s="62">
        <f t="shared" si="5"/>
        <v>2229102</v>
      </c>
    </row>
    <row r="30" spans="1:10" hidden="1">
      <c r="A30" s="45" t="s">
        <v>27</v>
      </c>
      <c r="B30" s="62">
        <v>6005272.6799999997</v>
      </c>
      <c r="C30" s="62">
        <v>707312.72</v>
      </c>
      <c r="D30" s="62">
        <v>-6293445.3200000003</v>
      </c>
      <c r="E30" s="62">
        <f t="shared" si="3"/>
        <v>56439</v>
      </c>
      <c r="F30" s="62">
        <f t="shared" si="4"/>
        <v>8628804.9039999936</v>
      </c>
      <c r="G30" s="62">
        <f>SUM(C24:C30)+$C$6+$C$8+$C$22+F30</f>
        <v>12721605.203999996</v>
      </c>
      <c r="H30" s="43">
        <v>7.7600000000000002E-2</v>
      </c>
      <c r="I30" s="49"/>
      <c r="J30" s="62">
        <f t="shared" si="5"/>
        <v>2285541</v>
      </c>
    </row>
    <row r="31" spans="1:10" hidden="1">
      <c r="A31" s="45" t="s">
        <v>28</v>
      </c>
      <c r="B31" s="62">
        <v>5839647.3200000003</v>
      </c>
      <c r="C31" s="62">
        <v>1966034.46</v>
      </c>
      <c r="D31" s="62">
        <v>-6733047.1699999999</v>
      </c>
      <c r="E31" s="62">
        <f t="shared" si="3"/>
        <v>52979</v>
      </c>
      <c r="F31" s="62">
        <f t="shared" si="4"/>
        <v>7788384.053999994</v>
      </c>
      <c r="G31" s="62">
        <f>SUM(C24:C31)+$C$6+$C$8+$C$22+F31</f>
        <v>13847218.813999996</v>
      </c>
      <c r="H31" s="43">
        <v>7.7600000000000002E-2</v>
      </c>
      <c r="I31" s="49"/>
      <c r="J31" s="62">
        <f>+J30+E31</f>
        <v>2338520</v>
      </c>
    </row>
    <row r="32" spans="1:10" hidden="1">
      <c r="A32" s="45" t="s">
        <v>29</v>
      </c>
      <c r="B32" s="62">
        <v>4767034.04</v>
      </c>
      <c r="C32" s="62">
        <v>334494.95</v>
      </c>
      <c r="D32" s="62">
        <v>-5742216.3899999997</v>
      </c>
      <c r="E32" s="62">
        <f t="shared" si="3"/>
        <v>47273</v>
      </c>
      <c r="F32" s="62">
        <f t="shared" si="4"/>
        <v>6860474.7039999934</v>
      </c>
      <c r="G32" s="62">
        <f>SUM(C24:C32)+$C$6+$C$8+$C$22+F32</f>
        <v>13253804.413999995</v>
      </c>
      <c r="H32" s="43">
        <v>7.7600000000000002E-2</v>
      </c>
      <c r="I32" s="49"/>
      <c r="J32" s="62">
        <f>+J31+E32</f>
        <v>2385793</v>
      </c>
    </row>
    <row r="33" spans="1:10" hidden="1">
      <c r="A33" s="45" t="s">
        <v>30</v>
      </c>
      <c r="B33" s="62">
        <v>5954205.6799999997</v>
      </c>
      <c r="C33" s="62">
        <v>-1449084.99</v>
      </c>
      <c r="D33" s="62">
        <v>-4844019.55</v>
      </c>
      <c r="E33" s="62">
        <f t="shared" si="3"/>
        <v>48016</v>
      </c>
      <c r="F33" s="62">
        <f t="shared" si="4"/>
        <v>8018676.8339999923</v>
      </c>
      <c r="G33" s="62">
        <f>SUM(C24:C33)+$C$6+$C$8+$C$22+F33</f>
        <v>12962921.553999994</v>
      </c>
      <c r="H33" s="43">
        <v>7.7600000000000002E-2</v>
      </c>
      <c r="I33" s="49"/>
      <c r="J33" s="62">
        <f>+J32+E33</f>
        <v>2433809</v>
      </c>
    </row>
    <row r="34" spans="1:10" hidden="1">
      <c r="A34" s="45" t="s">
        <v>31</v>
      </c>
      <c r="B34" s="62">
        <v>8026170.0499999998</v>
      </c>
      <c r="C34" s="62">
        <v>-832510.46</v>
      </c>
      <c r="D34" s="62">
        <v>-4253145.43</v>
      </c>
      <c r="E34" s="62">
        <f t="shared" si="3"/>
        <v>64136</v>
      </c>
      <c r="F34" s="62">
        <f t="shared" si="4"/>
        <v>11855837.453999992</v>
      </c>
      <c r="G34" s="62">
        <f>SUM(C24:C34)+$C$6+$C$8+$C$22+F34</f>
        <v>15967571.713999994</v>
      </c>
      <c r="H34" s="43">
        <v>7.7600000000000002E-2</v>
      </c>
      <c r="I34" s="49"/>
      <c r="J34" s="62">
        <f>+J33+E34</f>
        <v>2497945</v>
      </c>
    </row>
    <row r="35" spans="1:10" hidden="1">
      <c r="A35" s="45" t="s">
        <v>32</v>
      </c>
      <c r="B35" s="62">
        <v>6528307.1600000001</v>
      </c>
      <c r="C35" s="62">
        <v>572303.66</v>
      </c>
      <c r="D35" s="62">
        <v>-4736239.2699999996</v>
      </c>
      <c r="E35" s="62">
        <v>82192</v>
      </c>
      <c r="F35" s="62">
        <f t="shared" si="4"/>
        <v>13730097.343999993</v>
      </c>
      <c r="G35" s="62">
        <f>SUM(C24:C35)+$C$6+$C$8+$C$22+F35</f>
        <v>18414135.263999995</v>
      </c>
      <c r="H35" s="43">
        <v>7.7600000000000002E-2</v>
      </c>
      <c r="I35" s="49"/>
      <c r="J35" s="62">
        <f>+J34+E35</f>
        <v>2580137</v>
      </c>
    </row>
    <row r="36" spans="1:10">
      <c r="A36" s="42" t="s">
        <v>36</v>
      </c>
      <c r="B36" s="66">
        <f>SUM(B24:B35)</f>
        <v>81727633.670000002</v>
      </c>
      <c r="C36" s="66">
        <f>SUM(C24:C35)</f>
        <v>2023176.2700000005</v>
      </c>
      <c r="D36" s="66">
        <f>SUM(D24:D35)</f>
        <v>-59356899.010000005</v>
      </c>
      <c r="E36" s="71">
        <f>SUM(E24:E35)</f>
        <v>292294</v>
      </c>
      <c r="F36" s="72">
        <v>13730097.343999993</v>
      </c>
      <c r="G36" s="72">
        <v>18414135.263999995</v>
      </c>
      <c r="H36" s="43">
        <v>7.7600000000000002E-2</v>
      </c>
      <c r="I36" s="49"/>
      <c r="J36" s="70">
        <v>2580137</v>
      </c>
    </row>
    <row r="37" spans="1:10">
      <c r="B37" s="69"/>
      <c r="C37" s="69"/>
      <c r="D37" s="69"/>
      <c r="E37" s="75"/>
      <c r="F37" s="75"/>
      <c r="G37" s="75"/>
      <c r="H37" s="76"/>
      <c r="I37" s="76"/>
      <c r="J37" s="75"/>
    </row>
    <row r="38" spans="1:10" hidden="1">
      <c r="A38" s="45" t="s">
        <v>21</v>
      </c>
      <c r="B38" s="62">
        <v>3318076.89</v>
      </c>
      <c r="C38" s="62">
        <v>97753.14</v>
      </c>
      <c r="D38" s="62">
        <v>-4853002.2699999996</v>
      </c>
      <c r="E38" s="62">
        <f>ROUND((((B38+D38)/2)+F35)*(7.76%/12),0)-71</f>
        <v>83754</v>
      </c>
      <c r="F38" s="62">
        <f>+F35+B38+D38+E38</f>
        <v>12278925.963999994</v>
      </c>
      <c r="G38" s="62">
        <f>SUM(C38)+$C$6+$C$8+$C$22+F38+C36</f>
        <v>17060717.023999996</v>
      </c>
      <c r="H38" s="43">
        <v>7.3200000000000001E-2</v>
      </c>
      <c r="I38" s="49"/>
      <c r="J38" s="62">
        <f>+J35+E38</f>
        <v>2663891</v>
      </c>
    </row>
    <row r="39" spans="1:10" hidden="1">
      <c r="A39" s="46" t="s">
        <v>22</v>
      </c>
      <c r="B39" s="62">
        <v>3457488.39</v>
      </c>
      <c r="C39" s="62">
        <v>774323.81</v>
      </c>
      <c r="D39" s="62">
        <v>-4566382.75</v>
      </c>
      <c r="E39" s="62">
        <f>ROUND((((B39+D39)/2)+F38)*(7.76%/12),0)-145</f>
        <v>75673</v>
      </c>
      <c r="F39" s="62">
        <f t="shared" ref="F39:F49" si="6">+F38+B39+D39+E39</f>
        <v>11245704.603999995</v>
      </c>
      <c r="G39" s="62">
        <f>SUM(C38:C39)+$C$6+$C$8+$C$22+F39+C36</f>
        <v>16801819.473999996</v>
      </c>
      <c r="H39" s="43">
        <v>7.3200000000000001E-2</v>
      </c>
      <c r="I39" s="49"/>
      <c r="J39" s="62">
        <f t="shared" ref="J39:J44" si="7">+J38+E39</f>
        <v>2739564</v>
      </c>
    </row>
    <row r="40" spans="1:10" hidden="1">
      <c r="A40" s="47" t="s">
        <v>23</v>
      </c>
      <c r="B40" s="62">
        <v>6337484.4500000002</v>
      </c>
      <c r="C40" s="62">
        <v>-1655767.62</v>
      </c>
      <c r="D40" s="62">
        <v>-4692272.12</v>
      </c>
      <c r="E40" s="62">
        <f>ROUND((((B40+D40)/2)+F39)*(7.76%/12),0)+218</f>
        <v>78260</v>
      </c>
      <c r="F40" s="62">
        <f t="shared" si="6"/>
        <v>12969176.933999993</v>
      </c>
      <c r="G40" s="62">
        <f>SUM(C38:C40)+$C$6+$C$8+$C$22+F40+C36</f>
        <v>16869524.183999993</v>
      </c>
      <c r="H40" s="43">
        <v>7.3200000000000001E-2</v>
      </c>
      <c r="I40" s="48"/>
      <c r="J40" s="62">
        <f t="shared" si="7"/>
        <v>2817824</v>
      </c>
    </row>
    <row r="41" spans="1:10" hidden="1">
      <c r="A41" s="45" t="s">
        <v>24</v>
      </c>
      <c r="B41" s="62">
        <v>6266841.8499999996</v>
      </c>
      <c r="C41" s="62">
        <v>-54610.2</v>
      </c>
      <c r="D41" s="62">
        <v>-4546601.7699999996</v>
      </c>
      <c r="E41" s="62">
        <f t="shared" ref="E41:E48" si="8">ROUND((((B41+D41)/2)+F40)*(7.76%/12),0)</f>
        <v>89429</v>
      </c>
      <c r="F41" s="62">
        <f t="shared" si="6"/>
        <v>14778846.013999995</v>
      </c>
      <c r="G41" s="62">
        <f>SUM(C38:C41)+$C$6+$C$8+$C$22+F41+C36</f>
        <v>18624583.063999996</v>
      </c>
      <c r="H41" s="43">
        <v>7.3200000000000001E-2</v>
      </c>
      <c r="I41" s="49"/>
      <c r="J41" s="62">
        <f t="shared" si="7"/>
        <v>2907253</v>
      </c>
    </row>
    <row r="42" spans="1:10" hidden="1">
      <c r="A42" s="46" t="s">
        <v>25</v>
      </c>
      <c r="B42" s="62">
        <v>4339625.5199999996</v>
      </c>
      <c r="C42" s="62">
        <v>424983.98</v>
      </c>
      <c r="D42" s="62">
        <v>-4905098.67</v>
      </c>
      <c r="E42" s="62">
        <f t="shared" si="8"/>
        <v>93742</v>
      </c>
      <c r="F42" s="62">
        <f t="shared" si="6"/>
        <v>14307114.863999994</v>
      </c>
      <c r="G42" s="62">
        <f>SUM(C38:C42)+$C$6+$C$8+$C$22+F42+C36</f>
        <v>18577835.893999998</v>
      </c>
      <c r="H42" s="43">
        <v>7.3200000000000001E-2</v>
      </c>
      <c r="I42" s="49"/>
      <c r="J42" s="62">
        <f t="shared" si="7"/>
        <v>3000995</v>
      </c>
    </row>
    <row r="43" spans="1:10" hidden="1">
      <c r="A43" s="46" t="s">
        <v>26</v>
      </c>
      <c r="B43" s="62">
        <v>6359044.46</v>
      </c>
      <c r="C43" s="62">
        <v>-316592.64000000001</v>
      </c>
      <c r="D43" s="62">
        <v>-5996971.2199999997</v>
      </c>
      <c r="E43" s="62">
        <f t="shared" si="8"/>
        <v>93690</v>
      </c>
      <c r="F43" s="62">
        <f t="shared" si="6"/>
        <v>14762878.103999995</v>
      </c>
      <c r="G43" s="62">
        <f>SUM(C38:C43)+$C$6+$C$8+$C$22+F43+C36</f>
        <v>18717006.493999995</v>
      </c>
      <c r="H43" s="43">
        <v>7.3200000000000001E-2</v>
      </c>
      <c r="I43" s="49"/>
      <c r="J43" s="62">
        <f t="shared" si="7"/>
        <v>3094685</v>
      </c>
    </row>
    <row r="44" spans="1:10" hidden="1">
      <c r="A44" s="45" t="s">
        <v>27</v>
      </c>
      <c r="B44" s="62">
        <v>4432790.5999999996</v>
      </c>
      <c r="C44" s="62">
        <v>1038998.71</v>
      </c>
      <c r="D44" s="62">
        <v>-7896361.6799999997</v>
      </c>
      <c r="E44" s="62">
        <f t="shared" si="8"/>
        <v>84268</v>
      </c>
      <c r="F44" s="62">
        <f t="shared" si="6"/>
        <v>11383575.023999996</v>
      </c>
      <c r="G44" s="62">
        <f>SUM(C38:C44)+$C$6+$C$8+$C$22+F44+C36</f>
        <v>16376702.123999998</v>
      </c>
      <c r="H44" s="43">
        <v>7.3200000000000001E-2</v>
      </c>
      <c r="I44" s="49"/>
      <c r="J44" s="62">
        <f t="shared" si="7"/>
        <v>3178953</v>
      </c>
    </row>
    <row r="45" spans="1:10" hidden="1">
      <c r="A45" s="45" t="s">
        <v>28</v>
      </c>
      <c r="B45" s="62">
        <v>5145653.0199999996</v>
      </c>
      <c r="C45" s="62">
        <v>1071909.69</v>
      </c>
      <c r="D45" s="62">
        <v>-7295459.5800000001</v>
      </c>
      <c r="E45" s="62">
        <f t="shared" si="8"/>
        <v>66663</v>
      </c>
      <c r="F45" s="62">
        <f t="shared" si="6"/>
        <v>9300431.463999996</v>
      </c>
      <c r="G45" s="62">
        <f>SUM(C38:C45)+$C$6+$C$8+$C$22+F45+C36</f>
        <v>15365468.253999997</v>
      </c>
      <c r="H45" s="43">
        <v>7.3200000000000001E-2</v>
      </c>
      <c r="I45" s="49"/>
      <c r="J45" s="62">
        <f>+J44+E45</f>
        <v>3245616</v>
      </c>
    </row>
    <row r="46" spans="1:10" hidden="1">
      <c r="A46" s="45" t="s">
        <v>29</v>
      </c>
      <c r="B46" s="62">
        <v>6483484.71</v>
      </c>
      <c r="C46" s="62">
        <v>-1307725.3</v>
      </c>
      <c r="D46" s="62">
        <v>-7124727.3899999997</v>
      </c>
      <c r="E46" s="62">
        <f t="shared" si="8"/>
        <v>58069</v>
      </c>
      <c r="F46" s="62">
        <f t="shared" si="6"/>
        <v>8717257.7839999944</v>
      </c>
      <c r="G46" s="62">
        <f>SUM(C38:C46)+$C$6+$C$8+$C$22+F46+C36</f>
        <v>13474569.273999996</v>
      </c>
      <c r="H46" s="43">
        <v>7.3200000000000001E-2</v>
      </c>
      <c r="I46" s="49"/>
      <c r="J46" s="62">
        <f>+J45+E46</f>
        <v>3303685</v>
      </c>
    </row>
    <row r="47" spans="1:10" hidden="1">
      <c r="A47" s="45" t="s">
        <v>30</v>
      </c>
      <c r="B47" s="62">
        <v>5104305.95</v>
      </c>
      <c r="C47" s="62">
        <v>-400031.34</v>
      </c>
      <c r="D47" s="62">
        <v>-5654586.3200000003</v>
      </c>
      <c r="E47" s="62">
        <f t="shared" si="8"/>
        <v>54592</v>
      </c>
      <c r="F47" s="62">
        <f t="shared" si="6"/>
        <v>8221569.4139999934</v>
      </c>
      <c r="G47" s="62">
        <f>SUM(C38:C47)+$C$6+$C$8+$C$22+F47+C36</f>
        <v>12578849.563999996</v>
      </c>
      <c r="H47" s="43">
        <v>7.3200000000000001E-2</v>
      </c>
      <c r="I47" s="49"/>
      <c r="J47" s="62">
        <f>+J46+E47</f>
        <v>3358277</v>
      </c>
    </row>
    <row r="48" spans="1:10" hidden="1">
      <c r="A48" s="45" t="s">
        <v>31</v>
      </c>
      <c r="B48" s="62">
        <v>6351919.1500000004</v>
      </c>
      <c r="C48" s="62">
        <v>215829.67</v>
      </c>
      <c r="D48" s="62">
        <v>-4933463.7</v>
      </c>
      <c r="E48" s="62">
        <f t="shared" si="8"/>
        <v>57752</v>
      </c>
      <c r="F48" s="62">
        <f t="shared" si="6"/>
        <v>9697776.8639999926</v>
      </c>
      <c r="G48" s="62">
        <f>SUM(C38:C48)+$C$6+$C$8+$C$22+F48+C36</f>
        <v>14270886.683999993</v>
      </c>
      <c r="H48" s="43">
        <v>7.3200000000000001E-2</v>
      </c>
      <c r="I48" s="49"/>
      <c r="J48" s="62">
        <f>+J47+E48</f>
        <v>3416029</v>
      </c>
    </row>
    <row r="49" spans="1:10" hidden="1">
      <c r="A49" s="45" t="s">
        <v>32</v>
      </c>
      <c r="B49" s="62">
        <v>4644388.6500000004</v>
      </c>
      <c r="C49" s="62">
        <v>933148.8</v>
      </c>
      <c r="D49" s="62">
        <v>-5585785.9500000002</v>
      </c>
      <c r="E49" s="62">
        <f>ROUND((((B49+D49)/2)+F48)*(7.76%/12),0)-52392</f>
        <v>7276</v>
      </c>
      <c r="F49" s="62">
        <f t="shared" si="6"/>
        <v>8763655.5639999919</v>
      </c>
      <c r="G49" s="62">
        <f>SUM(C38:C49)+$C$6+$C$8+$C$22+F49+C36</f>
        <v>14269914.183999993</v>
      </c>
      <c r="H49" s="43">
        <v>7.3200000000000001E-2</v>
      </c>
      <c r="I49" s="49"/>
      <c r="J49" s="62">
        <f>+J48+E49</f>
        <v>3423305</v>
      </c>
    </row>
    <row r="50" spans="1:10">
      <c r="A50" s="42" t="s">
        <v>41</v>
      </c>
      <c r="B50" s="66">
        <f>SUM(B38:B49)</f>
        <v>62241103.639999993</v>
      </c>
      <c r="C50" s="66">
        <f>SUM(C38:C49)</f>
        <v>822220.69999999984</v>
      </c>
      <c r="D50" s="66">
        <f>SUM(D38:D49)</f>
        <v>-68050713.420000002</v>
      </c>
      <c r="E50" s="71">
        <f>SUM(E38:E49)</f>
        <v>843168</v>
      </c>
      <c r="F50" s="72">
        <v>8763655.5639999919</v>
      </c>
      <c r="G50" s="72">
        <v>14269914.183999993</v>
      </c>
      <c r="H50" s="104">
        <v>7.3200000000000001E-2</v>
      </c>
      <c r="I50" s="49"/>
      <c r="J50" s="70">
        <v>3423305</v>
      </c>
    </row>
    <row r="51" spans="1:10">
      <c r="B51" s="69"/>
      <c r="C51" s="69"/>
      <c r="D51" s="69"/>
      <c r="E51" s="75"/>
      <c r="F51" s="75"/>
      <c r="G51" s="75"/>
      <c r="H51" s="76"/>
      <c r="I51" s="76"/>
      <c r="J51" s="75"/>
    </row>
    <row r="52" spans="1:10">
      <c r="A52" s="45" t="s">
        <v>21</v>
      </c>
      <c r="B52" s="62">
        <v>3957447.2</v>
      </c>
      <c r="C52" s="62">
        <v>-640324.02</v>
      </c>
      <c r="D52" s="62">
        <v>-6219136.7800000003</v>
      </c>
      <c r="E52" s="62">
        <f>ROUND((((B52+D52)/2)+F49)*(7.74%/12),0)</f>
        <v>49232</v>
      </c>
      <c r="F52" s="62">
        <f>+F49+B52+D52+E52</f>
        <v>6551197.9839999909</v>
      </c>
      <c r="G52" s="62">
        <f>SUM(C52)+$C$6+$C$8+$C$22+F52+C50+C36</f>
        <v>11417132.583999991</v>
      </c>
      <c r="H52" s="43">
        <v>7.7399999999999997E-2</v>
      </c>
      <c r="I52" s="43">
        <v>7.7600000000000002E-2</v>
      </c>
      <c r="J52" s="62">
        <f>+J49+E52</f>
        <v>3472537</v>
      </c>
    </row>
    <row r="53" spans="1:10">
      <c r="A53" s="46" t="s">
        <v>22</v>
      </c>
      <c r="B53" s="62">
        <v>5502164.0700000003</v>
      </c>
      <c r="C53" s="62">
        <v>-97140.5</v>
      </c>
      <c r="D53" s="62">
        <v>-5812722.0199999996</v>
      </c>
      <c r="E53" s="62">
        <f>ROUND((((B53+D53)/2)+F52)*(7.74%/12),0)</f>
        <v>41254</v>
      </c>
      <c r="F53" s="62">
        <f t="shared" ref="F53:F63" si="9">+F52+B53+D53+E53</f>
        <v>6281894.0339999907</v>
      </c>
      <c r="G53" s="62">
        <f>SUM(C52:C53)+$C$6+$C$8+$C$22+F53+C50+C36</f>
        <v>11050688.133999992</v>
      </c>
      <c r="H53" s="43">
        <v>7.7399999999999997E-2</v>
      </c>
      <c r="I53" s="43">
        <v>7.7600000000000002E-2</v>
      </c>
      <c r="J53" s="62">
        <f t="shared" ref="J53:J58" si="10">+J52+E53</f>
        <v>3513791</v>
      </c>
    </row>
    <row r="54" spans="1:10">
      <c r="A54" s="47" t="s">
        <v>23</v>
      </c>
      <c r="B54" s="62">
        <v>4010642.76</v>
      </c>
      <c r="C54" s="62">
        <v>-101375.81</v>
      </c>
      <c r="D54" s="62">
        <v>-5114181.01</v>
      </c>
      <c r="E54" s="62">
        <f>ROUND((((B54+D54)/2)+F53)*(4.45%/12),0)+25</f>
        <v>21274</v>
      </c>
      <c r="F54" s="62">
        <f t="shared" si="9"/>
        <v>5199629.7839999907</v>
      </c>
      <c r="G54" s="62">
        <f>SUM(C52:C54)+$C$6+$C$8+$C$22+F54+C50+C36</f>
        <v>9867048.0739999935</v>
      </c>
      <c r="H54" s="43">
        <v>4.4499999999999998E-2</v>
      </c>
      <c r="I54" s="43">
        <v>7.7600000000000002E-2</v>
      </c>
      <c r="J54" s="62">
        <f t="shared" si="10"/>
        <v>3535065</v>
      </c>
    </row>
    <row r="55" spans="1:10">
      <c r="A55" s="45" t="s">
        <v>24</v>
      </c>
      <c r="B55" s="62">
        <v>3649184.13</v>
      </c>
      <c r="C55" s="62">
        <v>1887278.57</v>
      </c>
      <c r="D55" s="62">
        <v>-5036556.5999999996</v>
      </c>
      <c r="E55" s="62">
        <f t="shared" ref="E55:E63" si="11">ROUND((((B55+D55)/2)+F54)*(4.45%/12),0)</f>
        <v>16710</v>
      </c>
      <c r="F55" s="62">
        <f t="shared" si="9"/>
        <v>3828967.31399999</v>
      </c>
      <c r="G55" s="62">
        <f>SUM(C52:C55)+$C$6+$C$8+$C$22+F55+C50+C36</f>
        <v>10383664.173999991</v>
      </c>
      <c r="H55" s="43">
        <v>4.4499999999999998E-2</v>
      </c>
      <c r="I55" s="43">
        <v>7.7600000000000002E-2</v>
      </c>
      <c r="J55" s="62">
        <f t="shared" si="10"/>
        <v>3551775</v>
      </c>
    </row>
    <row r="56" spans="1:10">
      <c r="A56" s="46" t="s">
        <v>25</v>
      </c>
      <c r="B56" s="62">
        <v>4189551.42</v>
      </c>
      <c r="C56" s="62">
        <v>-1727121.6</v>
      </c>
      <c r="D56" s="62">
        <v>-5313045.41</v>
      </c>
      <c r="E56" s="62">
        <f t="shared" si="11"/>
        <v>12116</v>
      </c>
      <c r="F56" s="62">
        <f t="shared" si="9"/>
        <v>2717589.3239999898</v>
      </c>
      <c r="G56" s="67">
        <f>SUM(C52:C56)+$C$6+$C$8+$C$22+F56+C50+C36</f>
        <v>7545164.5839999923</v>
      </c>
      <c r="H56" s="43">
        <v>4.4499999999999998E-2</v>
      </c>
      <c r="I56" s="43">
        <v>7.7600000000000002E-2</v>
      </c>
      <c r="J56" s="62">
        <f t="shared" si="10"/>
        <v>3563891</v>
      </c>
    </row>
    <row r="57" spans="1:10">
      <c r="A57" s="46" t="s">
        <v>26</v>
      </c>
      <c r="B57" s="68">
        <f>+'Projected Expense'!E29</f>
        <v>7233459.5784523813</v>
      </c>
      <c r="C57" s="62"/>
      <c r="D57" s="68">
        <v>-7032422.0679673217</v>
      </c>
      <c r="E57" s="62">
        <f t="shared" si="11"/>
        <v>10450</v>
      </c>
      <c r="F57" s="62">
        <f t="shared" si="9"/>
        <v>2929076.8344850503</v>
      </c>
      <c r="G57" s="62">
        <f>SUM(C52:C57)+$C$6+$C$8+$C$22+F57+C50+C36</f>
        <v>7756652.0944850529</v>
      </c>
      <c r="H57" s="43">
        <v>4.4499999999999998E-2</v>
      </c>
      <c r="I57" s="43">
        <v>7.7600000000000002E-2</v>
      </c>
      <c r="J57" s="62">
        <f t="shared" si="10"/>
        <v>3574341</v>
      </c>
    </row>
    <row r="58" spans="1:10">
      <c r="A58" s="45" t="s">
        <v>27</v>
      </c>
      <c r="B58" s="68">
        <f>+'Projected Expense'!F29</f>
        <v>5888876.8695461312</v>
      </c>
      <c r="C58" s="63"/>
      <c r="D58" s="68">
        <v>-8708025.672055237</v>
      </c>
      <c r="E58" s="62">
        <f t="shared" si="11"/>
        <v>5635</v>
      </c>
      <c r="F58" s="62">
        <f t="shared" si="9"/>
        <v>115563.0319759436</v>
      </c>
      <c r="G58" s="62">
        <f>SUM(C52:C58)+$C$6+$C$8+$C$22+F58+C50+C36</f>
        <v>4943138.2919759452</v>
      </c>
      <c r="H58" s="43">
        <v>4.4499999999999998E-2</v>
      </c>
      <c r="I58" s="43">
        <v>7.7600000000000002E-2</v>
      </c>
      <c r="J58" s="62">
        <f t="shared" si="10"/>
        <v>3579976</v>
      </c>
    </row>
    <row r="59" spans="1:10">
      <c r="A59" s="45" t="s">
        <v>28</v>
      </c>
      <c r="B59" s="68">
        <f>+'Projected Expense'!G29</f>
        <v>3514442.5487648803</v>
      </c>
      <c r="C59" s="63"/>
      <c r="D59" s="68">
        <v>-8339271.8460428026</v>
      </c>
      <c r="E59" s="62">
        <f t="shared" si="11"/>
        <v>-8517</v>
      </c>
      <c r="F59" s="62">
        <f t="shared" si="9"/>
        <v>-4717783.2653019782</v>
      </c>
      <c r="G59" s="62">
        <f>SUM(C52:C59)+$C$6+$C$8+$C$22+F59+C50+C36</f>
        <v>109791.99469802389</v>
      </c>
      <c r="H59" s="43">
        <v>4.4499999999999998E-2</v>
      </c>
      <c r="I59" s="43">
        <v>7.7600000000000002E-2</v>
      </c>
      <c r="J59" s="62">
        <f>+J58+E59</f>
        <v>3571459</v>
      </c>
    </row>
    <row r="60" spans="1:10">
      <c r="A60" s="45" t="s">
        <v>29</v>
      </c>
      <c r="B60" s="68">
        <f>+'Projected Expense'!H29</f>
        <v>4478031.4950669641</v>
      </c>
      <c r="C60" s="63"/>
      <c r="D60" s="68">
        <v>-6785267.035745196</v>
      </c>
      <c r="E60" s="62">
        <f t="shared" si="11"/>
        <v>-21773</v>
      </c>
      <c r="F60" s="62">
        <f t="shared" si="9"/>
        <v>-7046791.8059802102</v>
      </c>
      <c r="G60" s="62">
        <f>SUM(C52:C60)+$C$6+$C$8+$C$22+F60+C50+C36</f>
        <v>-2219216.5459802076</v>
      </c>
      <c r="H60" s="43">
        <v>4.4499999999999998E-2</v>
      </c>
      <c r="I60" s="43">
        <v>7.7600000000000002E-2</v>
      </c>
      <c r="J60" s="62">
        <f>+J59+E60</f>
        <v>3549686</v>
      </c>
    </row>
    <row r="61" spans="1:10">
      <c r="A61" s="45" t="s">
        <v>30</v>
      </c>
      <c r="B61" s="68">
        <f>+'Projected Expense'!I29</f>
        <v>5136098.3980357144</v>
      </c>
      <c r="C61" s="63"/>
      <c r="D61" s="68">
        <v>-5545925.0247408478</v>
      </c>
      <c r="E61" s="62">
        <f t="shared" si="11"/>
        <v>-26892</v>
      </c>
      <c r="F61" s="62">
        <f t="shared" si="9"/>
        <v>-7483510.4326853435</v>
      </c>
      <c r="G61" s="62">
        <f>SUM(C52:C61)+$C$6+$C$8+$C$22+F61+C50+C36</f>
        <v>-2655935.172685341</v>
      </c>
      <c r="H61" s="43">
        <v>4.4499999999999998E-2</v>
      </c>
      <c r="I61" s="43">
        <v>7.7600000000000002E-2</v>
      </c>
      <c r="J61" s="62">
        <f>+J60+E61</f>
        <v>3522794</v>
      </c>
    </row>
    <row r="62" spans="1:10">
      <c r="A62" s="45" t="s">
        <v>31</v>
      </c>
      <c r="B62" s="68">
        <f>+'Projected Expense'!J29</f>
        <v>6797760.2039732151</v>
      </c>
      <c r="C62" s="63"/>
      <c r="D62" s="68">
        <v>-5615774.4933432378</v>
      </c>
      <c r="E62" s="62">
        <f t="shared" si="11"/>
        <v>-25560</v>
      </c>
      <c r="F62" s="62">
        <f t="shared" si="9"/>
        <v>-6327084.7220553663</v>
      </c>
      <c r="G62" s="62">
        <f>SUM(C52:C62)+$C$6+$C$8+$C$22+F62+C50+C36</f>
        <v>-1499509.4620553642</v>
      </c>
      <c r="H62" s="43">
        <v>4.4499999999999998E-2</v>
      </c>
      <c r="I62" s="43">
        <v>7.7600000000000002E-2</v>
      </c>
      <c r="J62" s="62">
        <f>+J61+E62</f>
        <v>3497234</v>
      </c>
    </row>
    <row r="63" spans="1:10">
      <c r="A63" s="45" t="s">
        <v>32</v>
      </c>
      <c r="B63" s="68">
        <f>+'Projected Expense'!K29</f>
        <v>3534168.786160714</v>
      </c>
      <c r="C63" s="63"/>
      <c r="D63" s="68">
        <v>-6195559.2145590475</v>
      </c>
      <c r="E63" s="62">
        <f t="shared" si="11"/>
        <v>-28398</v>
      </c>
      <c r="F63" s="62">
        <f t="shared" si="9"/>
        <v>-9016873.1504536998</v>
      </c>
      <c r="G63" s="62">
        <f>SUM(C52:C63)+$C$6+$C$8+$C$22+F63+C50+C36</f>
        <v>-4189297.8904536972</v>
      </c>
      <c r="H63" s="43">
        <v>4.4499999999999998E-2</v>
      </c>
      <c r="I63" s="43">
        <v>7.7600000000000002E-2</v>
      </c>
      <c r="J63" s="62">
        <f>+J62+E63</f>
        <v>3468836</v>
      </c>
    </row>
    <row r="64" spans="1:10">
      <c r="A64" s="42" t="s">
        <v>51</v>
      </c>
      <c r="B64" s="66">
        <f>SUM(B52:B63)</f>
        <v>57891827.460000001</v>
      </c>
      <c r="C64" s="66">
        <f>SUM(C52:C63)</f>
        <v>-678683.3600000001</v>
      </c>
      <c r="D64" s="66">
        <f>SUM(D52:D63)</f>
        <v>-75717887.174453691</v>
      </c>
      <c r="E64" s="71">
        <f>SUM(E52:E63)</f>
        <v>45531</v>
      </c>
      <c r="F64" s="72"/>
      <c r="G64" s="72"/>
      <c r="H64" s="73"/>
      <c r="I64" s="49"/>
      <c r="J64" s="70"/>
    </row>
    <row r="65" spans="1:10" s="102" customFormat="1">
      <c r="A65" s="103"/>
      <c r="B65" s="115"/>
      <c r="C65" s="134"/>
      <c r="D65" s="115"/>
      <c r="E65" s="123"/>
      <c r="F65" s="121"/>
      <c r="G65" s="121"/>
      <c r="H65" s="122"/>
      <c r="I65" s="108"/>
      <c r="J65" s="119"/>
    </row>
    <row r="66" spans="1:10" s="102" customFormat="1">
      <c r="A66" s="105" t="s">
        <v>21</v>
      </c>
      <c r="B66" s="117">
        <f>+'Projected Expense'!P29</f>
        <v>6046661.051396668</v>
      </c>
      <c r="C66" s="113"/>
      <c r="D66" s="117">
        <v>-6243797.8134992095</v>
      </c>
      <c r="E66" s="113">
        <f>ROUND((((B66+D66)/2)+F63)*(4.45%/12),0)</f>
        <v>-33803</v>
      </c>
      <c r="F66" s="113">
        <f>+F63+B66+D66+E66</f>
        <v>-9247812.9125562422</v>
      </c>
      <c r="G66" s="113">
        <f>SUM(C66)+$C$6+$C$8+$C$22+F66+$C$64+$C$50+$C$36</f>
        <v>-4420237.6525562406</v>
      </c>
      <c r="H66" s="104">
        <v>4.4499999999999998E-2</v>
      </c>
      <c r="I66" s="104">
        <v>7.7600000000000002E-2</v>
      </c>
      <c r="J66" s="113">
        <f>+J63+E66</f>
        <v>3435033</v>
      </c>
    </row>
    <row r="67" spans="1:10" s="102" customFormat="1">
      <c r="A67" s="106" t="s">
        <v>22</v>
      </c>
      <c r="B67" s="117">
        <f>+'Projected Expense'!Q29</f>
        <v>6046520.1913966676</v>
      </c>
      <c r="C67" s="113"/>
      <c r="D67" s="117">
        <v>-5501030.3724421617</v>
      </c>
      <c r="E67" s="113">
        <f>ROUND((((B67+D67)/2)+F66)*(4.45%/12),0)</f>
        <v>-33283</v>
      </c>
      <c r="F67" s="113">
        <f t="shared" ref="F67:F77" si="12">+F66+B67+D67+E67</f>
        <v>-8735606.0936017372</v>
      </c>
      <c r="G67" s="113">
        <f>SUM(C66:C67)+$C$6+$C$8+$C$22+F67+$C$64+$C$50+$C$36</f>
        <v>-3908030.8336017355</v>
      </c>
      <c r="H67" s="104">
        <v>4.4499999999999998E-2</v>
      </c>
      <c r="I67" s="104">
        <v>7.7600000000000002E-2</v>
      </c>
      <c r="J67" s="113">
        <f t="shared" ref="J67:J72" si="13">+J66+E67</f>
        <v>3401750</v>
      </c>
    </row>
    <row r="68" spans="1:10" s="102" customFormat="1">
      <c r="A68" s="107" t="s">
        <v>23</v>
      </c>
      <c r="B68" s="117">
        <f>+'Projected Expense'!R29</f>
        <v>7061899.471396667</v>
      </c>
      <c r="C68" s="113"/>
      <c r="D68" s="117">
        <v>-5720611.2326453729</v>
      </c>
      <c r="E68" s="113">
        <f t="shared" ref="E68:E77" si="14">ROUND((((B68+D68)/2)+F67)*(4.45%/12),0)</f>
        <v>-29908</v>
      </c>
      <c r="F68" s="113">
        <f t="shared" si="12"/>
        <v>-7424225.8548504431</v>
      </c>
      <c r="G68" s="113">
        <f>SUM(C66:C68)+$C$6+$C$8+$C$22+F68+$C$64+$C$50+$C$36</f>
        <v>-2596650.5948504414</v>
      </c>
      <c r="H68" s="104">
        <v>4.4499999999999998E-2</v>
      </c>
      <c r="I68" s="104">
        <v>7.7600000000000002E-2</v>
      </c>
      <c r="J68" s="113">
        <f t="shared" si="13"/>
        <v>3371842</v>
      </c>
    </row>
    <row r="69" spans="1:10" s="102" customFormat="1">
      <c r="A69" s="105" t="s">
        <v>24</v>
      </c>
      <c r="B69" s="117">
        <f>+'Projected Expense'!S29</f>
        <v>6548878.1913966676</v>
      </c>
      <c r="C69" s="113"/>
      <c r="D69" s="117">
        <v>-5387801.4039628664</v>
      </c>
      <c r="E69" s="113">
        <f t="shared" si="14"/>
        <v>-25379</v>
      </c>
      <c r="F69" s="113">
        <f t="shared" si="12"/>
        <v>-6288528.0674166419</v>
      </c>
      <c r="G69" s="113">
        <f>SUM(C66:C69)+$C$6+$C$8+$C$22+F69+$C$64+$C$50+$C$36</f>
        <v>-1460952.8074166407</v>
      </c>
      <c r="H69" s="104">
        <v>4.4499999999999998E-2</v>
      </c>
      <c r="I69" s="104">
        <v>7.7600000000000002E-2</v>
      </c>
      <c r="J69" s="113">
        <f t="shared" si="13"/>
        <v>3346463</v>
      </c>
    </row>
    <row r="70" spans="1:10" s="102" customFormat="1">
      <c r="A70" s="106" t="s">
        <v>25</v>
      </c>
      <c r="B70" s="117">
        <f>+'Projected Expense'!T29</f>
        <v>6068118.0013966672</v>
      </c>
      <c r="C70" s="113"/>
      <c r="D70" s="117">
        <v>-6397146.0758661479</v>
      </c>
      <c r="E70" s="113">
        <f t="shared" si="14"/>
        <v>-23930</v>
      </c>
      <c r="F70" s="113">
        <f t="shared" si="12"/>
        <v>-6641486.1418861225</v>
      </c>
      <c r="G70" s="113">
        <f>SUM(C66:C70)+$C$6+$C$8+$C$22+F70+$C$64+$C$50+$C$36</f>
        <v>-1813910.8818861214</v>
      </c>
      <c r="H70" s="104">
        <v>4.4499999999999998E-2</v>
      </c>
      <c r="I70" s="104">
        <v>7.7600000000000002E-2</v>
      </c>
      <c r="J70" s="113">
        <f t="shared" si="13"/>
        <v>3322533</v>
      </c>
    </row>
    <row r="71" spans="1:10" s="102" customFormat="1">
      <c r="A71" s="106" t="s">
        <v>26</v>
      </c>
      <c r="B71" s="117">
        <f>+'Projected Expense'!U29</f>
        <v>6581139.2813966665</v>
      </c>
      <c r="C71" s="113"/>
      <c r="D71" s="117">
        <v>-7124703.058413649</v>
      </c>
      <c r="E71" s="113">
        <f t="shared" si="14"/>
        <v>-25637</v>
      </c>
      <c r="F71" s="113">
        <f t="shared" si="12"/>
        <v>-7210686.918903105</v>
      </c>
      <c r="G71" s="113">
        <f>SUM(C66:C71)+$C$6+$C$8+$C$22+F71+$C$64+$C$50+$C$36</f>
        <v>-2383111.6589031033</v>
      </c>
      <c r="H71" s="104">
        <v>4.4499999999999998E-2</v>
      </c>
      <c r="I71" s="104">
        <v>7.7600000000000002E-2</v>
      </c>
      <c r="J71" s="113">
        <f t="shared" si="13"/>
        <v>3296896</v>
      </c>
    </row>
    <row r="72" spans="1:10" s="102" customFormat="1">
      <c r="A72" s="105" t="s">
        <v>27</v>
      </c>
      <c r="B72" s="117">
        <f>+'Projected Expense'!V29</f>
        <v>6096054.301396668</v>
      </c>
      <c r="C72" s="114"/>
      <c r="D72" s="117">
        <v>-8757849.4697365873</v>
      </c>
      <c r="E72" s="113">
        <f t="shared" si="14"/>
        <v>-31675</v>
      </c>
      <c r="F72" s="113">
        <f t="shared" si="12"/>
        <v>-9904157.0872430243</v>
      </c>
      <c r="G72" s="113">
        <f>SUM(C66:C72)+$C$6+$C$8+$C$22+F72+$C$64+$C$50+$C$36</f>
        <v>-5076581.8272430226</v>
      </c>
      <c r="H72" s="104">
        <v>4.4499999999999998E-2</v>
      </c>
      <c r="I72" s="104">
        <v>7.7600000000000002E-2</v>
      </c>
      <c r="J72" s="113">
        <f t="shared" si="13"/>
        <v>3265221</v>
      </c>
    </row>
    <row r="73" spans="1:10" s="102" customFormat="1">
      <c r="A73" s="105" t="s">
        <v>28</v>
      </c>
      <c r="B73" s="117">
        <f>+'Projected Expense'!W29</f>
        <v>6096054.301396668</v>
      </c>
      <c r="C73" s="114"/>
      <c r="D73" s="117">
        <v>-8379806.8194481693</v>
      </c>
      <c r="E73" s="113">
        <f t="shared" si="14"/>
        <v>-40962</v>
      </c>
      <c r="F73" s="113">
        <f t="shared" si="12"/>
        <v>-12228871.605294526</v>
      </c>
      <c r="G73" s="113">
        <f>SUM(C66:C73)+$C$6+$C$8+$C$22+F73+$C$64+$C$50+$C$36</f>
        <v>-7401296.3452945231</v>
      </c>
      <c r="H73" s="104">
        <v>4.4499999999999998E-2</v>
      </c>
      <c r="I73" s="104">
        <v>7.7600000000000002E-2</v>
      </c>
      <c r="J73" s="113">
        <f>+J72+E73</f>
        <v>3224259</v>
      </c>
    </row>
    <row r="74" spans="1:10" s="102" customFormat="1">
      <c r="A74" s="105" t="s">
        <v>29</v>
      </c>
      <c r="B74" s="117">
        <f>+'Projected Expense'!X29</f>
        <v>6581139.2813966665</v>
      </c>
      <c r="C74" s="114"/>
      <c r="D74" s="117">
        <v>-6815780.0535354428</v>
      </c>
      <c r="E74" s="113">
        <f t="shared" si="14"/>
        <v>-45784</v>
      </c>
      <c r="F74" s="113">
        <f t="shared" si="12"/>
        <v>-12509296.377433302</v>
      </c>
      <c r="G74" s="113">
        <f>SUM(C66:C74)+$C$6+$C$8+$C$22+F74+$C$64+$C$50+$C$36</f>
        <v>-7681721.1174333012</v>
      </c>
      <c r="H74" s="104">
        <v>4.4499999999999998E-2</v>
      </c>
      <c r="I74" s="104">
        <v>7.7600000000000002E-2</v>
      </c>
      <c r="J74" s="113">
        <f>+J73+E74</f>
        <v>3178475</v>
      </c>
    </row>
    <row r="75" spans="1:10" s="102" customFormat="1">
      <c r="A75" s="105" t="s">
        <v>30</v>
      </c>
      <c r="B75" s="117">
        <f>+'Projected Expense'!Y29</f>
        <v>6074456.4913966674</v>
      </c>
      <c r="C75" s="114"/>
      <c r="D75" s="117">
        <v>-5555534.3046200136</v>
      </c>
      <c r="E75" s="113">
        <f t="shared" si="14"/>
        <v>-45426</v>
      </c>
      <c r="F75" s="113">
        <f t="shared" si="12"/>
        <v>-12035800.190656647</v>
      </c>
      <c r="G75" s="113">
        <f>SUM(C66:C75)+$C$6+$C$8+$C$22+F75+$C$64+$C$50+$C$36</f>
        <v>-7208224.9306566445</v>
      </c>
      <c r="H75" s="104">
        <v>4.4499999999999998E-2</v>
      </c>
      <c r="I75" s="104">
        <v>7.7600000000000002E-2</v>
      </c>
      <c r="J75" s="113">
        <f>+J74+E75</f>
        <v>3133049</v>
      </c>
    </row>
    <row r="76" spans="1:10" s="102" customFormat="1">
      <c r="A76" s="105" t="s">
        <v>31</v>
      </c>
      <c r="B76" s="117">
        <f>+'Projected Expense'!Z29</f>
        <v>9173444.3713966664</v>
      </c>
      <c r="C76" s="114"/>
      <c r="D76" s="117">
        <v>-5630616.8827896044</v>
      </c>
      <c r="E76" s="113">
        <f t="shared" si="14"/>
        <v>-38064</v>
      </c>
      <c r="F76" s="113">
        <f t="shared" si="12"/>
        <v>-8531036.7020495851</v>
      </c>
      <c r="G76" s="113">
        <f>SUM(C66:C76)+$C$6+$C$8+$C$22+F76+$C$64+$C$50+$C$36</f>
        <v>-3703461.4420495834</v>
      </c>
      <c r="H76" s="104">
        <v>4.4499999999999998E-2</v>
      </c>
      <c r="I76" s="104">
        <v>7.7600000000000002E-2</v>
      </c>
      <c r="J76" s="113">
        <f>+J75+E76</f>
        <v>3094985</v>
      </c>
    </row>
    <row r="77" spans="1:10" s="102" customFormat="1">
      <c r="A77" s="105" t="s">
        <v>32</v>
      </c>
      <c r="B77" s="117">
        <f>+'Projected Expense'!AA29</f>
        <v>6647669.9613966672</v>
      </c>
      <c r="C77" s="114"/>
      <c r="D77" s="117">
        <v>-6221453.1378407795</v>
      </c>
      <c r="E77" s="113">
        <f t="shared" si="14"/>
        <v>-30846</v>
      </c>
      <c r="F77" s="113">
        <f t="shared" si="12"/>
        <v>-8135665.8784936974</v>
      </c>
      <c r="G77" s="113">
        <f>SUM(C66:C77)+$C$6+$C$8+$C$22+F77+$C$64+$C$50+$C$36</f>
        <v>-3308090.6184936957</v>
      </c>
      <c r="H77" s="104">
        <v>4.4499999999999998E-2</v>
      </c>
      <c r="I77" s="104">
        <v>7.7600000000000002E-2</v>
      </c>
      <c r="J77" s="113">
        <f>+J76+E77</f>
        <v>3064139</v>
      </c>
    </row>
    <row r="78" spans="1:10" s="102" customFormat="1">
      <c r="A78" s="103" t="s">
        <v>68</v>
      </c>
      <c r="B78" s="116">
        <f>SUM(B66:B77)</f>
        <v>79022034.896760002</v>
      </c>
      <c r="C78" s="116">
        <f>SUM(C66:C77)</f>
        <v>0</v>
      </c>
      <c r="D78" s="116">
        <f>SUM(D66:D77)</f>
        <v>-77736130.624799997</v>
      </c>
      <c r="E78" s="120">
        <f>SUM(E66:E77)</f>
        <v>-404697</v>
      </c>
      <c r="F78" s="121"/>
      <c r="G78" s="121"/>
      <c r="H78" s="122"/>
      <c r="I78" s="108"/>
      <c r="J78" s="119"/>
    </row>
    <row r="79" spans="1:10">
      <c r="A79" s="45" t="s">
        <v>55</v>
      </c>
      <c r="B79" s="69"/>
      <c r="C79" s="66">
        <f>+C50+C36+C22+C8+C6+C64+C78</f>
        <v>4827575.2600000016</v>
      </c>
      <c r="D79" s="69"/>
      <c r="E79" s="75"/>
      <c r="F79" s="75"/>
      <c r="G79" s="124"/>
      <c r="H79" s="76"/>
      <c r="I79" s="76"/>
      <c r="J79" s="75"/>
    </row>
    <row r="80" spans="1:10" s="102" customFormat="1">
      <c r="A80" s="105"/>
      <c r="B80" s="118"/>
      <c r="C80" s="115"/>
      <c r="D80" s="118"/>
      <c r="E80" s="124"/>
      <c r="F80" s="124"/>
      <c r="G80" s="124"/>
      <c r="H80" s="125"/>
      <c r="I80" s="125"/>
      <c r="J80" s="124"/>
    </row>
    <row r="81" spans="1:10" s="102" customFormat="1">
      <c r="A81" s="105"/>
      <c r="B81" s="95"/>
      <c r="C81" s="115"/>
      <c r="D81" s="95"/>
      <c r="E81" s="92"/>
      <c r="F81" s="92"/>
      <c r="G81" s="92"/>
      <c r="H81" s="125"/>
      <c r="I81" s="125"/>
      <c r="J81" s="124"/>
    </row>
    <row r="82" spans="1:10">
      <c r="A82" s="109" t="s">
        <v>62</v>
      </c>
      <c r="B82" s="95"/>
      <c r="C82" s="95"/>
      <c r="D82" s="95"/>
      <c r="E82" s="95"/>
      <c r="F82" s="95"/>
      <c r="G82" s="92">
        <f>+G56</f>
        <v>7545164.5839999923</v>
      </c>
      <c r="J82" s="69"/>
    </row>
    <row r="83" spans="1:10" ht="7.5" customHeight="1">
      <c r="A83" s="109"/>
      <c r="B83" s="95"/>
      <c r="C83" s="95"/>
      <c r="D83" s="95"/>
      <c r="E83" s="95"/>
      <c r="F83" s="95"/>
      <c r="G83" s="92"/>
      <c r="J83" s="69"/>
    </row>
    <row r="84" spans="1:10">
      <c r="A84" s="109" t="s">
        <v>69</v>
      </c>
      <c r="B84" s="92"/>
      <c r="C84" s="92"/>
      <c r="D84" s="95"/>
      <c r="E84" s="95"/>
      <c r="F84" s="95"/>
      <c r="G84" s="92">
        <f>+SUM(B57:B63)+SUM(B66:B77)</f>
        <v>115604872.77676</v>
      </c>
      <c r="J84" s="69"/>
    </row>
    <row r="85" spans="1:10">
      <c r="A85" s="109" t="s">
        <v>70</v>
      </c>
      <c r="B85" s="92"/>
      <c r="C85" s="92"/>
      <c r="D85" s="95"/>
      <c r="E85" s="95"/>
      <c r="F85" s="95"/>
      <c r="G85" s="92">
        <f>+SUM(E57:E63)+SUM(E66:E77)</f>
        <v>-499752</v>
      </c>
    </row>
    <row r="86" spans="1:10">
      <c r="A86" s="109" t="s">
        <v>71</v>
      </c>
      <c r="B86" s="92"/>
      <c r="C86" s="92"/>
      <c r="D86" s="95"/>
      <c r="E86" s="95"/>
      <c r="F86" s="95"/>
      <c r="G86" s="94">
        <f>SUM(G84:G85)</f>
        <v>115105120.77676</v>
      </c>
    </row>
    <row r="87" spans="1:10" ht="8.25" customHeight="1">
      <c r="A87" s="109"/>
      <c r="B87" s="92"/>
      <c r="C87" s="92"/>
      <c r="D87" s="95"/>
      <c r="E87" s="95"/>
      <c r="F87" s="95"/>
      <c r="G87" s="92"/>
    </row>
    <row r="88" spans="1:10">
      <c r="A88" s="109" t="s">
        <v>72</v>
      </c>
      <c r="B88" s="92"/>
      <c r="C88" s="92"/>
      <c r="D88" s="95"/>
      <c r="E88" s="95"/>
      <c r="F88" s="95"/>
      <c r="G88" s="92">
        <f>SUM(D57:D63)+SUM(D66:D77)</f>
        <v>-125958375.97925368</v>
      </c>
    </row>
    <row r="89" spans="1:10" ht="8.25" customHeight="1">
      <c r="A89" s="110"/>
      <c r="B89" s="92"/>
      <c r="C89" s="92"/>
      <c r="D89" s="95"/>
      <c r="E89" s="95"/>
      <c r="F89" s="95"/>
      <c r="G89" s="92"/>
    </row>
    <row r="90" spans="1:10" ht="15" thickBot="1">
      <c r="A90" s="109" t="s">
        <v>73</v>
      </c>
      <c r="B90" s="92"/>
      <c r="C90" s="92"/>
      <c r="D90" s="95"/>
      <c r="E90" s="95"/>
      <c r="F90" s="95"/>
      <c r="G90" s="93">
        <f>+G82+G86+G88</f>
        <v>-3308090.6184936911</v>
      </c>
    </row>
    <row r="91" spans="1:10" ht="15" thickTop="1">
      <c r="A91" s="50"/>
      <c r="B91" s="69"/>
      <c r="C91" s="69"/>
      <c r="D91" s="69"/>
      <c r="E91" s="69"/>
      <c r="F91" s="69"/>
      <c r="G91" s="124"/>
    </row>
    <row r="92" spans="1:10">
      <c r="A92" s="51" t="s">
        <v>40</v>
      </c>
      <c r="B92" s="69"/>
      <c r="C92" s="69"/>
      <c r="D92" s="69"/>
      <c r="E92" s="69"/>
      <c r="F92" s="69"/>
      <c r="G92" s="124"/>
    </row>
    <row r="93" spans="1:10">
      <c r="A93" s="51" t="s">
        <v>74</v>
      </c>
      <c r="B93" s="69"/>
      <c r="C93" s="69"/>
      <c r="D93" s="69"/>
      <c r="E93" s="69"/>
      <c r="F93" s="69"/>
      <c r="G93" s="124"/>
    </row>
    <row r="94" spans="1:10">
      <c r="A94" s="111" t="s">
        <v>75</v>
      </c>
      <c r="B94" s="124"/>
      <c r="C94" s="124"/>
      <c r="D94" s="124"/>
      <c r="E94" s="124"/>
      <c r="F94" s="69"/>
      <c r="G94" s="69"/>
    </row>
    <row r="95" spans="1:10" ht="14.25" customHeight="1">
      <c r="B95" s="69"/>
      <c r="C95" s="69"/>
      <c r="D95" s="69"/>
      <c r="E95" s="69"/>
      <c r="F95" s="69"/>
      <c r="G95" s="69"/>
    </row>
  </sheetData>
  <pageMargins left="0.7" right="0.45" top="0.75" bottom="0.75" header="0.3" footer="0.3"/>
  <pageSetup scale="62" orientation="portrait" r:id="rId1"/>
  <ignoredErrors>
    <ignoredError sqref="J11:J21 J24:J35 E11:E19 E49:G49 J38:J49 E24:G24 G10 E21:G21 F11:F20 E30:F34 E25:F27 E28:F28 C36:E36 B22:E22 B36:B37 D50 B50:C50 E50 F35:G35 E29:F29 F38:G38 F39 F40 F41 F42 F43 F44 F45 F46 F47 F48 E42:E48 F63 J52:J63 E38:E41 F52 F53 F54 F55 F56 F57 F58 F59 F60 F61 F62 G52 E52:E53 B64:D64 G56:G63 E55:E64 B79:C79 D79 B57:B63 E66:E77 F66:F77 G68:J77 B78:E78 B66:B77 G66:G67 I66:J67" unlockedFormula="1"/>
    <ignoredError sqref="G11:G20 G25:G29 G30:G34 G40:G41 G39 G48 G47 G46 G45 G44 G43 G42 G53:G55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8"/>
  <sheetViews>
    <sheetView zoomScale="90" zoomScaleNormal="90" zoomScaleSheetLayoutView="85" workbookViewId="0">
      <pane xSplit="1" topLeftCell="B1" activePane="topRight" state="frozen"/>
      <selection pane="topRight" activeCell="E37" sqref="E37"/>
    </sheetView>
  </sheetViews>
  <sheetFormatPr defaultRowHeight="12.75" outlineLevelCol="1"/>
  <cols>
    <col min="1" max="1" width="44" style="1" customWidth="1"/>
    <col min="2" max="2" width="14.42578125" style="55" customWidth="1" outlineLevel="1"/>
    <col min="3" max="3" width="11.42578125" style="55" customWidth="1" outlineLevel="1"/>
    <col min="4" max="4" width="11.42578125" style="55" customWidth="1"/>
    <col min="5" max="8" width="13.140625" style="1" bestFit="1" customWidth="1"/>
    <col min="9" max="9" width="12.42578125" style="1" bestFit="1" customWidth="1"/>
    <col min="10" max="14" width="14.28515625" style="1" customWidth="1"/>
    <col min="15" max="15" width="0.140625" style="1" customWidth="1"/>
    <col min="16" max="27" width="11.5703125" style="1" customWidth="1" outlineLevel="1"/>
    <col min="28" max="28" width="12.140625" style="1" bestFit="1" customWidth="1"/>
    <col min="29" max="29" width="1.7109375" style="1" customWidth="1"/>
    <col min="30" max="30" width="13" style="1" customWidth="1"/>
    <col min="31" max="31" width="9.140625" style="1" customWidth="1"/>
    <col min="32" max="32" width="12.140625" style="1" bestFit="1" customWidth="1"/>
    <col min="33" max="16384" width="9.140625" style="1"/>
  </cols>
  <sheetData>
    <row r="1" spans="1:40">
      <c r="A1" s="16"/>
      <c r="B1" s="52"/>
      <c r="C1" s="52"/>
      <c r="D1" s="52"/>
      <c r="E1" s="16"/>
      <c r="F1" s="16"/>
      <c r="G1" s="16"/>
      <c r="H1" s="16"/>
    </row>
    <row r="2" spans="1:40">
      <c r="A2" s="5" t="s">
        <v>5</v>
      </c>
      <c r="B2" s="53"/>
      <c r="C2" s="53"/>
      <c r="D2" s="53"/>
      <c r="E2" s="5"/>
      <c r="F2" s="5"/>
      <c r="G2" s="5"/>
      <c r="H2" s="5"/>
      <c r="K2" s="84"/>
      <c r="Q2" s="5"/>
    </row>
    <row r="3" spans="1:40">
      <c r="B3" s="54" t="s">
        <v>8</v>
      </c>
      <c r="C3" s="54" t="s">
        <v>37</v>
      </c>
      <c r="D3" s="54" t="s">
        <v>54</v>
      </c>
      <c r="L3" s="15" t="s">
        <v>9</v>
      </c>
      <c r="M3" s="83" t="s">
        <v>58</v>
      </c>
      <c r="N3" s="83" t="s">
        <v>59</v>
      </c>
      <c r="AB3" s="9" t="s">
        <v>6</v>
      </c>
      <c r="AD3" s="9" t="s">
        <v>66</v>
      </c>
    </row>
    <row r="4" spans="1:40">
      <c r="B4" s="58" t="s">
        <v>56</v>
      </c>
      <c r="C4" s="58" t="s">
        <v>52</v>
      </c>
      <c r="D4" s="58" t="s">
        <v>56</v>
      </c>
      <c r="E4" s="77">
        <v>42522</v>
      </c>
      <c r="F4" s="77">
        <v>42552</v>
      </c>
      <c r="G4" s="77">
        <v>42583</v>
      </c>
      <c r="H4" s="77">
        <v>42614</v>
      </c>
      <c r="I4" s="60">
        <v>42644</v>
      </c>
      <c r="J4" s="60">
        <v>42675</v>
      </c>
      <c r="K4" s="60">
        <v>42705</v>
      </c>
      <c r="L4" s="14" t="s">
        <v>57</v>
      </c>
      <c r="M4" s="12" t="s">
        <v>39</v>
      </c>
      <c r="N4" s="12" t="s">
        <v>39</v>
      </c>
      <c r="O4" s="11"/>
      <c r="P4" s="60">
        <v>42736</v>
      </c>
      <c r="Q4" s="60">
        <v>42767</v>
      </c>
      <c r="R4" s="60">
        <v>42795</v>
      </c>
      <c r="S4" s="60">
        <v>42826</v>
      </c>
      <c r="T4" s="60">
        <v>42856</v>
      </c>
      <c r="U4" s="60">
        <v>42887</v>
      </c>
      <c r="V4" s="60">
        <v>42917</v>
      </c>
      <c r="W4" s="60">
        <v>42948</v>
      </c>
      <c r="X4" s="60">
        <v>42979</v>
      </c>
      <c r="Y4" s="60">
        <v>43009</v>
      </c>
      <c r="Z4" s="60">
        <v>43040</v>
      </c>
      <c r="AA4" s="60">
        <v>43070</v>
      </c>
      <c r="AB4" s="13" t="s">
        <v>65</v>
      </c>
      <c r="AC4" s="10"/>
      <c r="AD4" s="12" t="s">
        <v>39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>
      <c r="I5" s="11"/>
      <c r="J5" s="11"/>
      <c r="K5" s="11"/>
      <c r="L5" s="12"/>
      <c r="M5" s="12"/>
      <c r="N5" s="12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0"/>
      <c r="AD5" s="2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>
      <c r="A6" s="5" t="s">
        <v>0</v>
      </c>
      <c r="B6" s="56"/>
      <c r="C6" s="56"/>
      <c r="D6" s="56"/>
      <c r="E6" s="5"/>
      <c r="F6" s="5"/>
      <c r="G6" s="5"/>
      <c r="H6" s="5"/>
      <c r="I6" s="10"/>
      <c r="J6" s="10"/>
      <c r="K6" s="10"/>
      <c r="L6" s="10"/>
      <c r="M6" s="10"/>
      <c r="N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D6" s="2"/>
    </row>
    <row r="7" spans="1:40" ht="15">
      <c r="A7" s="8" t="s">
        <v>50</v>
      </c>
      <c r="B7" s="57">
        <v>1460002.48</v>
      </c>
      <c r="C7" s="57">
        <v>549716.09</v>
      </c>
      <c r="D7" s="57">
        <f t="shared" ref="D7:D12" si="0">SUM(B7:C7)</f>
        <v>2009718.5699999998</v>
      </c>
      <c r="E7" s="96">
        <v>175000</v>
      </c>
      <c r="F7" s="100">
        <v>175000</v>
      </c>
      <c r="G7" s="100">
        <v>175000</v>
      </c>
      <c r="H7" s="100">
        <v>175000</v>
      </c>
      <c r="I7" s="100">
        <v>175000</v>
      </c>
      <c r="J7" s="96">
        <v>2146162</v>
      </c>
      <c r="K7" s="100">
        <v>175000</v>
      </c>
      <c r="L7" s="4">
        <f t="shared" ref="L7:L12" si="1">SUM(D7:K7)</f>
        <v>5205880.57</v>
      </c>
      <c r="M7" s="100">
        <v>6305881</v>
      </c>
      <c r="N7" s="100">
        <f>6305881-1100000</f>
        <v>5205881</v>
      </c>
      <c r="P7" s="135">
        <v>251179</v>
      </c>
      <c r="Q7" s="135">
        <v>251179</v>
      </c>
      <c r="R7" s="135">
        <v>753537</v>
      </c>
      <c r="S7" s="135">
        <v>753537</v>
      </c>
      <c r="T7" s="135">
        <v>251179</v>
      </c>
      <c r="U7" s="135">
        <v>251179</v>
      </c>
      <c r="V7" s="135">
        <v>251179</v>
      </c>
      <c r="W7" s="135">
        <v>251179</v>
      </c>
      <c r="X7" s="135">
        <v>251179</v>
      </c>
      <c r="Y7" s="135">
        <v>251179</v>
      </c>
      <c r="Z7" s="135">
        <v>2511790</v>
      </c>
      <c r="AA7" s="135">
        <v>251179</v>
      </c>
      <c r="AB7" s="133">
        <f t="shared" ref="AB7:AB12" si="2">SUM(P7:AA7)</f>
        <v>6279475</v>
      </c>
      <c r="AD7" s="2">
        <v>6279475</v>
      </c>
    </row>
    <row r="8" spans="1:40" ht="15">
      <c r="A8" s="8" t="s">
        <v>1</v>
      </c>
      <c r="B8" s="57">
        <v>16434.150000000001</v>
      </c>
      <c r="C8" s="57"/>
      <c r="D8" s="57">
        <f t="shared" si="0"/>
        <v>16434.150000000001</v>
      </c>
      <c r="E8" s="97">
        <v>6937.9785714285708</v>
      </c>
      <c r="F8" s="97">
        <v>6937.9785714285708</v>
      </c>
      <c r="G8" s="97">
        <v>6937.9785714285708</v>
      </c>
      <c r="H8" s="97">
        <v>6937.9785714285708</v>
      </c>
      <c r="I8" s="97">
        <v>6937.9785714285708</v>
      </c>
      <c r="J8" s="97">
        <v>6937.9785714285708</v>
      </c>
      <c r="K8" s="97">
        <v>6937.9785714285708</v>
      </c>
      <c r="L8" s="4">
        <f t="shared" si="1"/>
        <v>64999.999999999985</v>
      </c>
      <c r="M8" s="4">
        <v>135000</v>
      </c>
      <c r="N8" s="100">
        <v>65000</v>
      </c>
      <c r="P8" s="135">
        <v>7083.333333333333</v>
      </c>
      <c r="Q8" s="135">
        <v>7083.333333333333</v>
      </c>
      <c r="R8" s="135">
        <v>7083.333333333333</v>
      </c>
      <c r="S8" s="135">
        <v>7083.333333333333</v>
      </c>
      <c r="T8" s="135">
        <v>7083.333333333333</v>
      </c>
      <c r="U8" s="135">
        <v>7083.333333333333</v>
      </c>
      <c r="V8" s="135">
        <v>7083.333333333333</v>
      </c>
      <c r="W8" s="135">
        <v>7083.333333333333</v>
      </c>
      <c r="X8" s="135">
        <v>7083.333333333333</v>
      </c>
      <c r="Y8" s="135">
        <v>7083.333333333333</v>
      </c>
      <c r="Z8" s="135">
        <v>7083.333333333333</v>
      </c>
      <c r="AA8" s="135">
        <v>7083.333333333333</v>
      </c>
      <c r="AB8" s="133">
        <f t="shared" si="2"/>
        <v>85000</v>
      </c>
      <c r="AD8" s="2">
        <v>85000</v>
      </c>
    </row>
    <row r="9" spans="1:40">
      <c r="A9" s="8" t="s">
        <v>2</v>
      </c>
      <c r="B9" s="57">
        <v>690940.99</v>
      </c>
      <c r="C9" s="57">
        <v>119785.41</v>
      </c>
      <c r="D9" s="57">
        <f t="shared" si="0"/>
        <v>810726.40000000002</v>
      </c>
      <c r="E9" s="97">
        <v>132111.22857142857</v>
      </c>
      <c r="F9" s="97">
        <v>132111.22857142857</v>
      </c>
      <c r="G9" s="97">
        <v>132111.22857142857</v>
      </c>
      <c r="H9" s="97">
        <v>132111.22857142857</v>
      </c>
      <c r="I9" s="97">
        <v>132111.22857142857</v>
      </c>
      <c r="J9" s="97">
        <v>132111.22857142857</v>
      </c>
      <c r="K9" s="97">
        <v>132111.22857142857</v>
      </c>
      <c r="L9" s="4">
        <f t="shared" si="1"/>
        <v>1735504.9999999995</v>
      </c>
      <c r="M9" s="4">
        <v>1735505</v>
      </c>
      <c r="N9" s="100">
        <v>1735505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133">
        <f t="shared" si="2"/>
        <v>0</v>
      </c>
      <c r="AD9" s="2">
        <v>0</v>
      </c>
    </row>
    <row r="10" spans="1:40" ht="15">
      <c r="A10" s="8" t="s">
        <v>7</v>
      </c>
      <c r="B10" s="57">
        <v>800329.27</v>
      </c>
      <c r="C10" s="57">
        <f>5000+53191+43623.17</f>
        <v>101814.17</v>
      </c>
      <c r="D10" s="57">
        <f t="shared" si="0"/>
        <v>902143.44000000006</v>
      </c>
      <c r="E10" s="98">
        <v>421852</v>
      </c>
      <c r="F10" s="98">
        <v>12000</v>
      </c>
      <c r="G10" s="98">
        <v>12000</v>
      </c>
      <c r="H10" s="98">
        <v>635000</v>
      </c>
      <c r="I10" s="98">
        <v>12000</v>
      </c>
      <c r="J10" s="98">
        <v>12000</v>
      </c>
      <c r="K10" s="98">
        <v>635000</v>
      </c>
      <c r="L10" s="4">
        <f t="shared" si="1"/>
        <v>2641995.44</v>
      </c>
      <c r="M10" s="4">
        <v>2641995</v>
      </c>
      <c r="N10" s="100">
        <v>2641995</v>
      </c>
      <c r="P10" s="135">
        <v>54002.239999999998</v>
      </c>
      <c r="Q10" s="135">
        <v>54002.239999999998</v>
      </c>
      <c r="R10" s="135">
        <v>567023.52</v>
      </c>
      <c r="S10" s="135">
        <v>54002.239999999998</v>
      </c>
      <c r="T10" s="135">
        <v>54002.239999999998</v>
      </c>
      <c r="U10" s="135">
        <v>567023.52</v>
      </c>
      <c r="V10" s="135">
        <v>54002.239999999998</v>
      </c>
      <c r="W10" s="135">
        <v>54002.239999999998</v>
      </c>
      <c r="X10" s="135">
        <v>567023.52</v>
      </c>
      <c r="Y10" s="135">
        <v>54002.239999999998</v>
      </c>
      <c r="Z10" s="135">
        <v>54002.239999999998</v>
      </c>
      <c r="AA10" s="135">
        <v>567023.52</v>
      </c>
      <c r="AB10" s="133">
        <f>SUM(P10:AA10)</f>
        <v>2700112</v>
      </c>
      <c r="AD10" s="2">
        <v>2700112</v>
      </c>
    </row>
    <row r="11" spans="1:40">
      <c r="A11" s="8" t="s">
        <v>42</v>
      </c>
      <c r="B11" s="57">
        <v>173191.43</v>
      </c>
      <c r="C11" s="57"/>
      <c r="D11" s="57">
        <f t="shared" si="0"/>
        <v>173191.43</v>
      </c>
      <c r="E11" s="129">
        <v>950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K11" s="131">
        <v>0</v>
      </c>
      <c r="L11" s="4">
        <f t="shared" si="1"/>
        <v>174141.43</v>
      </c>
      <c r="M11" s="4">
        <v>1597829</v>
      </c>
      <c r="N11" s="100">
        <v>174141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133">
        <f t="shared" si="2"/>
        <v>0</v>
      </c>
      <c r="AD11" s="2">
        <v>0</v>
      </c>
    </row>
    <row r="12" spans="1:40" ht="15">
      <c r="A12" s="8" t="s">
        <v>43</v>
      </c>
      <c r="B12" s="57">
        <v>4079303.92</v>
      </c>
      <c r="C12" s="57">
        <v>2156897.31</v>
      </c>
      <c r="D12" s="57">
        <f t="shared" si="0"/>
        <v>6236201.2300000004</v>
      </c>
      <c r="E12" s="127">
        <v>899999.96714285703</v>
      </c>
      <c r="F12" s="127">
        <v>899999.96714285703</v>
      </c>
      <c r="G12" s="127">
        <v>899999.96714285703</v>
      </c>
      <c r="H12" s="127">
        <v>899999.96714285703</v>
      </c>
      <c r="I12" s="127">
        <v>899999.96714285703</v>
      </c>
      <c r="J12" s="127">
        <v>899999.96714285703</v>
      </c>
      <c r="K12" s="127">
        <v>899999.96714285703</v>
      </c>
      <c r="L12" s="4">
        <f t="shared" si="1"/>
        <v>12536201.000000002</v>
      </c>
      <c r="M12" s="4">
        <v>14258496</v>
      </c>
      <c r="N12" s="100">
        <v>12536201</v>
      </c>
      <c r="P12" s="135">
        <v>1585355.46</v>
      </c>
      <c r="Q12" s="135">
        <v>1585355.46</v>
      </c>
      <c r="R12" s="135">
        <v>1585355.46</v>
      </c>
      <c r="S12" s="135">
        <v>1585355.46</v>
      </c>
      <c r="T12" s="135">
        <v>1585355.46</v>
      </c>
      <c r="U12" s="135">
        <v>1585355.46</v>
      </c>
      <c r="V12" s="135">
        <v>1585355.46</v>
      </c>
      <c r="W12" s="135">
        <v>1585355.46</v>
      </c>
      <c r="X12" s="135">
        <v>1585355.46</v>
      </c>
      <c r="Y12" s="135">
        <v>1585355.46</v>
      </c>
      <c r="Z12" s="135">
        <v>1585355.46</v>
      </c>
      <c r="AA12" s="135">
        <v>1585355.46</v>
      </c>
      <c r="AB12" s="133">
        <f t="shared" si="2"/>
        <v>19024265.520000003</v>
      </c>
      <c r="AD12" s="2">
        <v>19024266</v>
      </c>
    </row>
    <row r="13" spans="1:40">
      <c r="A13" s="9"/>
      <c r="B13" s="81">
        <f t="shared" ref="B13:N13" si="3">SUM(B7:B12)</f>
        <v>7220202.2400000002</v>
      </c>
      <c r="C13" s="81">
        <f t="shared" si="3"/>
        <v>2928212.98</v>
      </c>
      <c r="D13" s="81">
        <f t="shared" si="3"/>
        <v>10148415.220000001</v>
      </c>
      <c r="E13" s="99">
        <f t="shared" si="3"/>
        <v>1636851.174285714</v>
      </c>
      <c r="F13" s="99">
        <f t="shared" si="3"/>
        <v>1226049.174285714</v>
      </c>
      <c r="G13" s="99">
        <f t="shared" si="3"/>
        <v>1226049.174285714</v>
      </c>
      <c r="H13" s="99">
        <f t="shared" si="3"/>
        <v>1849049.174285714</v>
      </c>
      <c r="I13" s="99">
        <f t="shared" si="3"/>
        <v>1226049.174285714</v>
      </c>
      <c r="J13" s="99">
        <f t="shared" si="3"/>
        <v>3197211.174285714</v>
      </c>
      <c r="K13" s="99">
        <f t="shared" si="3"/>
        <v>1849049.174285714</v>
      </c>
      <c r="L13" s="3">
        <f t="shared" si="3"/>
        <v>22358723.440000001</v>
      </c>
      <c r="M13" s="3">
        <f t="shared" si="3"/>
        <v>26674706</v>
      </c>
      <c r="N13" s="99">
        <f t="shared" si="3"/>
        <v>22358723</v>
      </c>
      <c r="P13" s="99">
        <f t="shared" ref="P13:AB13" si="4">SUM(P7:P12)</f>
        <v>1897620.0333333332</v>
      </c>
      <c r="Q13" s="99">
        <f t="shared" si="4"/>
        <v>1897620.0333333332</v>
      </c>
      <c r="R13" s="99">
        <f t="shared" si="4"/>
        <v>2912999.3133333335</v>
      </c>
      <c r="S13" s="99">
        <f t="shared" si="4"/>
        <v>2399978.0333333332</v>
      </c>
      <c r="T13" s="99">
        <f t="shared" si="4"/>
        <v>1897620.0333333332</v>
      </c>
      <c r="U13" s="99">
        <f t="shared" si="4"/>
        <v>2410641.3133333335</v>
      </c>
      <c r="V13" s="99">
        <f t="shared" si="4"/>
        <v>1897620.0333333332</v>
      </c>
      <c r="W13" s="99">
        <f t="shared" si="4"/>
        <v>1897620.0333333332</v>
      </c>
      <c r="X13" s="99">
        <f t="shared" si="4"/>
        <v>2410641.3133333335</v>
      </c>
      <c r="Y13" s="99">
        <f t="shared" si="4"/>
        <v>1897620.0333333332</v>
      </c>
      <c r="Z13" s="99">
        <f t="shared" si="4"/>
        <v>4158231.0333333337</v>
      </c>
      <c r="AA13" s="99">
        <f t="shared" si="4"/>
        <v>2410641.3133333335</v>
      </c>
      <c r="AB13" s="85">
        <f t="shared" si="4"/>
        <v>28088852.520000003</v>
      </c>
      <c r="AD13" s="85">
        <f>SUM(AD7:AD12)</f>
        <v>28088853</v>
      </c>
    </row>
    <row r="14" spans="1:40">
      <c r="B14" s="57"/>
      <c r="C14" s="57"/>
      <c r="D14" s="57"/>
      <c r="I14" s="98"/>
      <c r="J14" s="98"/>
      <c r="K14" s="98"/>
      <c r="L14" s="2"/>
      <c r="M14" s="2"/>
      <c r="N14" s="98"/>
      <c r="P14" s="132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18"/>
      <c r="AD14" s="2"/>
    </row>
    <row r="15" spans="1:40">
      <c r="A15" s="5" t="s">
        <v>44</v>
      </c>
      <c r="B15" s="56"/>
      <c r="C15" s="56"/>
      <c r="D15" s="56"/>
      <c r="E15" s="5"/>
      <c r="F15" s="5"/>
      <c r="G15" s="5"/>
      <c r="H15" s="5"/>
      <c r="I15" s="98"/>
      <c r="J15" s="98"/>
      <c r="K15" s="98"/>
      <c r="L15" s="2"/>
      <c r="M15" s="2"/>
      <c r="N15" s="98"/>
      <c r="P15" s="98" t="s">
        <v>4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8"/>
      <c r="AD15" s="2"/>
    </row>
    <row r="16" spans="1:40" ht="15">
      <c r="A16" s="78" t="s">
        <v>45</v>
      </c>
      <c r="B16" s="57">
        <f>8234558.28+(1579866.47*0.72)</f>
        <v>9372062.1383999996</v>
      </c>
      <c r="C16" s="57">
        <f>((1654855.58+60903.79)*0.72)</f>
        <v>1235346.7464000001</v>
      </c>
      <c r="D16" s="57">
        <f>SUM(B16:C16)</f>
        <v>10607408.8848</v>
      </c>
      <c r="E16" s="127">
        <v>3699172.0288</v>
      </c>
      <c r="F16" s="127">
        <v>3005577.2733999998</v>
      </c>
      <c r="G16" s="127">
        <v>1387189.5108</v>
      </c>
      <c r="H16" s="127">
        <v>1618387.7626</v>
      </c>
      <c r="I16" s="127">
        <v>1849586.0144</v>
      </c>
      <c r="J16" s="127">
        <v>2311982.5180000002</v>
      </c>
      <c r="K16" s="127">
        <v>924793.00719999999</v>
      </c>
      <c r="L16" s="4">
        <f>SUM(D16:K16)</f>
        <v>25404097</v>
      </c>
      <c r="M16" s="4">
        <v>23404097</v>
      </c>
      <c r="N16" s="100">
        <f>23404097+2000000</f>
        <v>25404097</v>
      </c>
      <c r="P16" s="137">
        <v>2988197.6166666667</v>
      </c>
      <c r="Q16" s="137">
        <v>2988197.6166666667</v>
      </c>
      <c r="R16" s="137">
        <v>2988197.6166666667</v>
      </c>
      <c r="S16" s="137">
        <v>2988197.6166666667</v>
      </c>
      <c r="T16" s="137">
        <v>2988197.6166666667</v>
      </c>
      <c r="U16" s="137">
        <v>2988197.6166666667</v>
      </c>
      <c r="V16" s="137">
        <v>2988197.6166666667</v>
      </c>
      <c r="W16" s="137">
        <v>2988197.6166666667</v>
      </c>
      <c r="X16" s="137">
        <v>2988197.6166666667</v>
      </c>
      <c r="Y16" s="137">
        <v>2988197.6166666667</v>
      </c>
      <c r="Z16" s="137">
        <v>2988197.6166666667</v>
      </c>
      <c r="AA16" s="137">
        <v>2988197.6166666667</v>
      </c>
      <c r="AB16" s="86">
        <f>SUM(P16:AA16)</f>
        <v>35858371.399999999</v>
      </c>
      <c r="AD16" s="2">
        <v>35858371</v>
      </c>
      <c r="AF16" s="59"/>
    </row>
    <row r="17" spans="1:32">
      <c r="A17" s="9"/>
      <c r="B17" s="81">
        <f t="shared" ref="B17:N17" si="5">SUM(B16:B16)</f>
        <v>9372062.1383999996</v>
      </c>
      <c r="C17" s="81">
        <f t="shared" si="5"/>
        <v>1235346.7464000001</v>
      </c>
      <c r="D17" s="81">
        <f t="shared" si="5"/>
        <v>10607408.8848</v>
      </c>
      <c r="E17" s="126">
        <f t="shared" si="5"/>
        <v>3699172.0288</v>
      </c>
      <c r="F17" s="126">
        <f t="shared" si="5"/>
        <v>3005577.2733999998</v>
      </c>
      <c r="G17" s="126">
        <f t="shared" si="5"/>
        <v>1387189.5108</v>
      </c>
      <c r="H17" s="126">
        <f t="shared" si="5"/>
        <v>1618387.7626</v>
      </c>
      <c r="I17" s="126">
        <f t="shared" si="5"/>
        <v>1849586.0144</v>
      </c>
      <c r="J17" s="126">
        <f t="shared" si="5"/>
        <v>2311982.5180000002</v>
      </c>
      <c r="K17" s="126">
        <f t="shared" si="5"/>
        <v>924793.00719999999</v>
      </c>
      <c r="L17" s="81">
        <f t="shared" si="5"/>
        <v>25404097</v>
      </c>
      <c r="M17" s="81">
        <f t="shared" si="5"/>
        <v>23404097</v>
      </c>
      <c r="N17" s="126">
        <f t="shared" si="5"/>
        <v>25404097</v>
      </c>
      <c r="P17" s="99">
        <f t="shared" ref="P17:AB17" si="6">SUM(P16:P16)</f>
        <v>2988197.6166666667</v>
      </c>
      <c r="Q17" s="99">
        <f t="shared" si="6"/>
        <v>2988197.6166666667</v>
      </c>
      <c r="R17" s="99">
        <f t="shared" si="6"/>
        <v>2988197.6166666667</v>
      </c>
      <c r="S17" s="99">
        <f t="shared" si="6"/>
        <v>2988197.6166666667</v>
      </c>
      <c r="T17" s="99">
        <f t="shared" si="6"/>
        <v>2988197.6166666667</v>
      </c>
      <c r="U17" s="99">
        <f t="shared" si="6"/>
        <v>2988197.6166666667</v>
      </c>
      <c r="V17" s="99">
        <f t="shared" si="6"/>
        <v>2988197.6166666667</v>
      </c>
      <c r="W17" s="99">
        <f t="shared" si="6"/>
        <v>2988197.6166666667</v>
      </c>
      <c r="X17" s="99">
        <f t="shared" si="6"/>
        <v>2988197.6166666667</v>
      </c>
      <c r="Y17" s="99">
        <f t="shared" si="6"/>
        <v>2988197.6166666667</v>
      </c>
      <c r="Z17" s="99">
        <f t="shared" si="6"/>
        <v>2988197.6166666667</v>
      </c>
      <c r="AA17" s="99">
        <f t="shared" si="6"/>
        <v>2988197.6166666667</v>
      </c>
      <c r="AB17" s="85">
        <f t="shared" si="6"/>
        <v>35858371.399999999</v>
      </c>
      <c r="AD17" s="85">
        <f>SUM(AD16:AD16)</f>
        <v>35858371</v>
      </c>
      <c r="AF17" s="59"/>
    </row>
    <row r="18" spans="1:32">
      <c r="B18" s="57"/>
      <c r="C18" s="57"/>
      <c r="D18" s="57"/>
      <c r="I18" s="98"/>
      <c r="J18" s="98"/>
      <c r="K18" s="98"/>
      <c r="L18" s="2"/>
      <c r="M18" s="2"/>
      <c r="N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18"/>
      <c r="AD18" s="2"/>
      <c r="AF18" s="59"/>
    </row>
    <row r="19" spans="1:32">
      <c r="A19" s="5" t="s">
        <v>46</v>
      </c>
      <c r="B19" s="56"/>
      <c r="C19" s="56"/>
      <c r="D19" s="56"/>
      <c r="E19" s="5"/>
      <c r="F19" s="5"/>
      <c r="G19" s="5"/>
      <c r="H19" s="5"/>
      <c r="I19" s="98"/>
      <c r="J19" s="98"/>
      <c r="K19" s="98"/>
      <c r="L19" s="2"/>
      <c r="M19" s="2"/>
      <c r="N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18"/>
      <c r="AD19" s="2"/>
      <c r="AF19" s="59"/>
    </row>
    <row r="20" spans="1:32" ht="15">
      <c r="A20" s="79" t="s">
        <v>45</v>
      </c>
      <c r="B20" s="57">
        <f>3939751.69+(1579866.47*0.28)</f>
        <v>4382114.3015999999</v>
      </c>
      <c r="C20" s="57">
        <f>1742.4+((1654855.58+60903.79)*0.28)</f>
        <v>482155.02360000007</v>
      </c>
      <c r="D20" s="57">
        <f>SUM(B20:C20)</f>
        <v>4864269.3251999998</v>
      </c>
      <c r="E20" s="127">
        <v>1674506.4187</v>
      </c>
      <c r="F20" s="127">
        <v>1360536.4651937501</v>
      </c>
      <c r="G20" s="127">
        <v>627939.90701249999</v>
      </c>
      <c r="H20" s="127">
        <v>732596.55818125</v>
      </c>
      <c r="I20" s="127">
        <v>837253.20935000002</v>
      </c>
      <c r="J20" s="127">
        <v>1046566.5116875001</v>
      </c>
      <c r="K20" s="127">
        <v>418626.60467500001</v>
      </c>
      <c r="L20" s="4">
        <f>SUM(D20:K20)</f>
        <v>11562295.000000002</v>
      </c>
      <c r="M20" s="4">
        <v>11562295</v>
      </c>
      <c r="N20" s="100">
        <v>11562295</v>
      </c>
      <c r="P20" s="137">
        <v>995921.55</v>
      </c>
      <c r="Q20" s="137">
        <v>995921.55</v>
      </c>
      <c r="R20" s="137">
        <v>995921.55</v>
      </c>
      <c r="S20" s="137">
        <v>995921.55</v>
      </c>
      <c r="T20" s="137">
        <v>995921.55</v>
      </c>
      <c r="U20" s="137">
        <v>995921.55</v>
      </c>
      <c r="V20" s="137">
        <v>995921.55</v>
      </c>
      <c r="W20" s="137">
        <v>995921.55</v>
      </c>
      <c r="X20" s="137">
        <v>995921.55</v>
      </c>
      <c r="Y20" s="137">
        <v>995921.55</v>
      </c>
      <c r="Z20" s="137">
        <v>995921.55</v>
      </c>
      <c r="AA20" s="137">
        <v>995921.55</v>
      </c>
      <c r="AB20" s="86">
        <f>SUM(P20:AA20)</f>
        <v>11951058.600000001</v>
      </c>
      <c r="AD20" s="2">
        <v>11951059</v>
      </c>
      <c r="AF20" s="59"/>
    </row>
    <row r="21" spans="1:32" ht="15">
      <c r="A21" s="79" t="s">
        <v>47</v>
      </c>
      <c r="B21" s="57">
        <v>7490.72</v>
      </c>
      <c r="C21" s="57"/>
      <c r="D21" s="57">
        <f>SUM(B21:C21)</f>
        <v>7490.72</v>
      </c>
      <c r="E21" s="127">
        <v>3500</v>
      </c>
      <c r="F21" s="127">
        <v>3500</v>
      </c>
      <c r="G21" s="127">
        <v>3500</v>
      </c>
      <c r="H21" s="127">
        <v>2500</v>
      </c>
      <c r="I21" s="128">
        <v>928210</v>
      </c>
      <c r="J21" s="127">
        <v>2000</v>
      </c>
      <c r="K21" s="127">
        <v>2000</v>
      </c>
      <c r="L21" s="4">
        <f>SUM(D21:K21)</f>
        <v>952700.72</v>
      </c>
      <c r="M21" s="4">
        <v>952701</v>
      </c>
      <c r="N21" s="100">
        <v>952701</v>
      </c>
      <c r="P21" s="137">
        <v>9527.01</v>
      </c>
      <c r="Q21" s="137">
        <v>9527.01</v>
      </c>
      <c r="R21" s="137">
        <v>9527.01</v>
      </c>
      <c r="S21" s="137">
        <v>9527.01</v>
      </c>
      <c r="T21" s="137">
        <v>9527.01</v>
      </c>
      <c r="U21" s="137">
        <v>9527.01</v>
      </c>
      <c r="V21" s="137">
        <v>9527.01</v>
      </c>
      <c r="W21" s="137">
        <v>9527.01</v>
      </c>
      <c r="X21" s="137">
        <v>9527.01</v>
      </c>
      <c r="Y21" s="137">
        <v>9527.01</v>
      </c>
      <c r="Z21" s="137">
        <v>847903.89</v>
      </c>
      <c r="AA21" s="137">
        <v>9527.01</v>
      </c>
      <c r="AB21" s="86">
        <f>SUM(P21:AA21)</f>
        <v>952701</v>
      </c>
      <c r="AD21" s="2">
        <v>952701</v>
      </c>
      <c r="AF21" s="59"/>
    </row>
    <row r="22" spans="1:32">
      <c r="A22" s="9"/>
      <c r="B22" s="81">
        <f t="shared" ref="B22:N22" si="7">SUM(B20:B21)</f>
        <v>4389605.0215999996</v>
      </c>
      <c r="C22" s="81">
        <f t="shared" si="7"/>
        <v>482155.02360000007</v>
      </c>
      <c r="D22" s="81">
        <f t="shared" si="7"/>
        <v>4871760.0451999996</v>
      </c>
      <c r="E22" s="99">
        <f t="shared" si="7"/>
        <v>1678006.4187</v>
      </c>
      <c r="F22" s="99">
        <f t="shared" si="7"/>
        <v>1364036.4651937501</v>
      </c>
      <c r="G22" s="99">
        <f t="shared" si="7"/>
        <v>631439.90701249999</v>
      </c>
      <c r="H22" s="99">
        <f t="shared" si="7"/>
        <v>735096.55818125</v>
      </c>
      <c r="I22" s="99">
        <f t="shared" si="7"/>
        <v>1765463.2093500001</v>
      </c>
      <c r="J22" s="99">
        <f t="shared" si="7"/>
        <v>1048566.5116875001</v>
      </c>
      <c r="K22" s="99">
        <f t="shared" si="7"/>
        <v>420626.60467500001</v>
      </c>
      <c r="L22" s="3">
        <f t="shared" si="7"/>
        <v>12514995.720000003</v>
      </c>
      <c r="M22" s="3">
        <f t="shared" si="7"/>
        <v>12514996</v>
      </c>
      <c r="N22" s="99">
        <f t="shared" si="7"/>
        <v>12514996</v>
      </c>
      <c r="P22" s="99">
        <f t="shared" ref="P22:AB22" si="8">SUM(P20:P21)</f>
        <v>1005448.56</v>
      </c>
      <c r="Q22" s="99">
        <f t="shared" si="8"/>
        <v>1005448.56</v>
      </c>
      <c r="R22" s="99">
        <f t="shared" si="8"/>
        <v>1005448.56</v>
      </c>
      <c r="S22" s="99">
        <f t="shared" si="8"/>
        <v>1005448.56</v>
      </c>
      <c r="T22" s="99">
        <f t="shared" si="8"/>
        <v>1005448.56</v>
      </c>
      <c r="U22" s="99">
        <f t="shared" si="8"/>
        <v>1005448.56</v>
      </c>
      <c r="V22" s="99">
        <f t="shared" si="8"/>
        <v>1005448.56</v>
      </c>
      <c r="W22" s="99">
        <f t="shared" si="8"/>
        <v>1005448.56</v>
      </c>
      <c r="X22" s="99">
        <f t="shared" si="8"/>
        <v>1005448.56</v>
      </c>
      <c r="Y22" s="99">
        <f t="shared" si="8"/>
        <v>1005448.56</v>
      </c>
      <c r="Z22" s="99">
        <f t="shared" si="8"/>
        <v>1843825.44</v>
      </c>
      <c r="AA22" s="99">
        <f t="shared" si="8"/>
        <v>1005448.56</v>
      </c>
      <c r="AB22" s="85">
        <f t="shared" si="8"/>
        <v>12903759.600000001</v>
      </c>
      <c r="AD22" s="85">
        <f>SUM(AD20:AD21)</f>
        <v>12903760</v>
      </c>
      <c r="AF22" s="59"/>
    </row>
    <row r="23" spans="1:32">
      <c r="A23" s="9"/>
      <c r="B23" s="56"/>
      <c r="C23" s="56"/>
      <c r="D23" s="56"/>
      <c r="E23" s="9"/>
      <c r="F23" s="9"/>
      <c r="G23" s="9"/>
      <c r="H23" s="9"/>
      <c r="I23" s="100"/>
      <c r="J23" s="100"/>
      <c r="K23" s="100"/>
      <c r="L23" s="4"/>
      <c r="M23" s="4"/>
      <c r="N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86"/>
      <c r="AD23" s="2"/>
      <c r="AF23" s="59"/>
    </row>
    <row r="24" spans="1:32" ht="15">
      <c r="A24" s="8" t="s">
        <v>48</v>
      </c>
      <c r="B24" s="57">
        <f>264399.68+384</f>
        <v>264783.68</v>
      </c>
      <c r="C24" s="57"/>
      <c r="D24" s="57">
        <f t="shared" ref="D24:D27" si="9">SUM(B24:C24)</f>
        <v>264783.68</v>
      </c>
      <c r="E24" s="127">
        <v>125216</v>
      </c>
      <c r="F24" s="127">
        <v>165000</v>
      </c>
      <c r="G24" s="127">
        <v>175000</v>
      </c>
      <c r="H24" s="127">
        <v>185000</v>
      </c>
      <c r="I24" s="130">
        <v>205000</v>
      </c>
      <c r="J24" s="130">
        <v>150000</v>
      </c>
      <c r="K24" s="130">
        <v>130000</v>
      </c>
      <c r="L24" s="4">
        <f>SUM(D24:K24)</f>
        <v>1399999.68</v>
      </c>
      <c r="M24" s="4">
        <v>1400000</v>
      </c>
      <c r="N24" s="100">
        <v>1400000</v>
      </c>
      <c r="P24" s="137">
        <v>116666.66666666666</v>
      </c>
      <c r="Q24" s="137">
        <v>116666.66666666666</v>
      </c>
      <c r="R24" s="137">
        <v>116666.66666666666</v>
      </c>
      <c r="S24" s="137">
        <v>116666.66666666666</v>
      </c>
      <c r="T24" s="137">
        <v>116666.66666666666</v>
      </c>
      <c r="U24" s="137">
        <v>116666.66666666666</v>
      </c>
      <c r="V24" s="137">
        <v>116666.66666666666</v>
      </c>
      <c r="W24" s="137">
        <v>116666.66666666666</v>
      </c>
      <c r="X24" s="137">
        <v>116666.66666666666</v>
      </c>
      <c r="Y24" s="137">
        <v>116666.66666666666</v>
      </c>
      <c r="Z24" s="137">
        <v>116666.66666666666</v>
      </c>
      <c r="AA24" s="137">
        <v>116666.66666666666</v>
      </c>
      <c r="AB24" s="86">
        <f>SUM(P24:AA24)</f>
        <v>1400000</v>
      </c>
      <c r="AD24" s="2">
        <v>1400000</v>
      </c>
      <c r="AF24" s="84"/>
    </row>
    <row r="25" spans="1:32" ht="15">
      <c r="A25" s="80" t="s">
        <v>64</v>
      </c>
      <c r="B25" s="57">
        <v>27251.88</v>
      </c>
      <c r="C25" s="57"/>
      <c r="D25" s="57">
        <f t="shared" si="9"/>
        <v>27251.88</v>
      </c>
      <c r="E25" s="127">
        <v>9000</v>
      </c>
      <c r="F25" s="127">
        <v>9000</v>
      </c>
      <c r="G25" s="127">
        <v>9550</v>
      </c>
      <c r="H25" s="127">
        <v>9498</v>
      </c>
      <c r="I25" s="127">
        <v>9000</v>
      </c>
      <c r="J25" s="127">
        <v>9000</v>
      </c>
      <c r="K25" s="130">
        <v>128700</v>
      </c>
      <c r="L25" s="100">
        <f>SUM(D25:K25)</f>
        <v>210999.88</v>
      </c>
      <c r="M25" s="4">
        <v>219852</v>
      </c>
      <c r="N25" s="100">
        <v>211000</v>
      </c>
      <c r="P25" s="137">
        <v>27466.79</v>
      </c>
      <c r="Q25" s="137">
        <v>10564.150000000001</v>
      </c>
      <c r="R25" s="137">
        <v>10564.150000000001</v>
      </c>
      <c r="S25" s="137">
        <v>10564.150000000001</v>
      </c>
      <c r="T25" s="137">
        <v>4225.66</v>
      </c>
      <c r="U25" s="137">
        <v>4225.66</v>
      </c>
      <c r="V25" s="137">
        <v>4225.66</v>
      </c>
      <c r="W25" s="137">
        <v>4225.66</v>
      </c>
      <c r="X25" s="137">
        <v>4225.66</v>
      </c>
      <c r="Y25" s="137">
        <v>10564.150000000001</v>
      </c>
      <c r="Z25" s="137">
        <v>10564.150000000001</v>
      </c>
      <c r="AA25" s="137">
        <v>109867.16</v>
      </c>
      <c r="AB25" s="86">
        <f>SUM(P25:AA25)</f>
        <v>211283.00000000003</v>
      </c>
      <c r="AD25" s="2">
        <v>211283</v>
      </c>
      <c r="AF25" s="84"/>
    </row>
    <row r="26" spans="1:32" ht="15">
      <c r="A26" s="8" t="s">
        <v>49</v>
      </c>
      <c r="B26" s="57"/>
      <c r="C26" s="57">
        <f>112026.67+37373.33+19319.75+4696.25</f>
        <v>173416</v>
      </c>
      <c r="D26" s="57">
        <f t="shared" si="9"/>
        <v>173416</v>
      </c>
      <c r="E26" s="127">
        <v>81000</v>
      </c>
      <c r="F26" s="127">
        <v>115000</v>
      </c>
      <c r="G26" s="127">
        <v>81000</v>
      </c>
      <c r="H26" s="127">
        <v>81000</v>
      </c>
      <c r="I26" s="127">
        <v>81000</v>
      </c>
      <c r="J26" s="127">
        <v>81000</v>
      </c>
      <c r="K26" s="127">
        <v>81000</v>
      </c>
      <c r="L26" s="4">
        <f>SUM(D26:K26)</f>
        <v>774416</v>
      </c>
      <c r="M26" s="4">
        <v>1029991</v>
      </c>
      <c r="N26" s="100">
        <v>774416</v>
      </c>
      <c r="P26" s="135">
        <v>11174.52</v>
      </c>
      <c r="Q26" s="135">
        <v>27936.300000000003</v>
      </c>
      <c r="R26" s="135">
        <v>27936.300000000003</v>
      </c>
      <c r="S26" s="135">
        <v>27936.300000000003</v>
      </c>
      <c r="T26" s="135">
        <v>55872.600000000006</v>
      </c>
      <c r="U26" s="135">
        <v>55872.600000000006</v>
      </c>
      <c r="V26" s="135">
        <v>83808.899999999994</v>
      </c>
      <c r="W26" s="135">
        <v>83808.899999999994</v>
      </c>
      <c r="X26" s="135">
        <v>55872.600000000006</v>
      </c>
      <c r="Y26" s="135">
        <v>55872.600000000006</v>
      </c>
      <c r="Z26" s="135">
        <v>55872.600000000006</v>
      </c>
      <c r="AA26" s="135">
        <v>16761.78</v>
      </c>
      <c r="AB26" s="86">
        <f>SUM(P26:AA26)</f>
        <v>558726</v>
      </c>
      <c r="AD26" s="2">
        <v>558726</v>
      </c>
      <c r="AF26" s="84"/>
    </row>
    <row r="27" spans="1:32" ht="15">
      <c r="A27" s="8" t="s">
        <v>63</v>
      </c>
      <c r="B27" s="57">
        <v>35084.620000000003</v>
      </c>
      <c r="C27" s="57">
        <v>8443.51</v>
      </c>
      <c r="D27" s="57">
        <f t="shared" si="9"/>
        <v>43528.130000000005</v>
      </c>
      <c r="E27" s="127">
        <v>4213.9566666666651</v>
      </c>
      <c r="F27" s="127">
        <v>4213.9566666666651</v>
      </c>
      <c r="G27" s="127">
        <v>4213.9566666666651</v>
      </c>
      <c r="H27" s="127"/>
      <c r="I27" s="130"/>
      <c r="J27" s="130"/>
      <c r="K27" s="130"/>
      <c r="L27" s="4">
        <f>SUM(D27:K27)</f>
        <v>56170</v>
      </c>
      <c r="M27" s="4">
        <v>56170</v>
      </c>
      <c r="N27" s="100">
        <v>56170</v>
      </c>
      <c r="P27" s="135">
        <v>86.86472999999998</v>
      </c>
      <c r="Q27" s="135">
        <v>86.86472999999998</v>
      </c>
      <c r="R27" s="135">
        <v>86.86472999999998</v>
      </c>
      <c r="S27" s="135">
        <v>86.86472999999998</v>
      </c>
      <c r="T27" s="135">
        <v>86.86472999999998</v>
      </c>
      <c r="U27" s="135">
        <v>86.86472999999998</v>
      </c>
      <c r="V27" s="135">
        <v>86.86472999999998</v>
      </c>
      <c r="W27" s="135">
        <v>86.86472999999998</v>
      </c>
      <c r="X27" s="135">
        <v>86.86472999999998</v>
      </c>
      <c r="Y27" s="135">
        <v>86.86472999999998</v>
      </c>
      <c r="Z27" s="135">
        <v>86.86472999999998</v>
      </c>
      <c r="AA27" s="135">
        <v>86.86472999999998</v>
      </c>
      <c r="AB27" s="133">
        <f>SUM(P27:AA27)</f>
        <v>1042.3767599999999</v>
      </c>
      <c r="AC27" s="10"/>
      <c r="AD27" s="2">
        <v>1042</v>
      </c>
    </row>
    <row r="28" spans="1:32">
      <c r="B28" s="57"/>
      <c r="C28" s="57"/>
      <c r="D28" s="57"/>
      <c r="E28" s="112"/>
      <c r="F28" s="112"/>
      <c r="G28" s="112"/>
      <c r="H28" s="112"/>
      <c r="I28" s="112"/>
      <c r="J28" s="112"/>
      <c r="K28" s="112"/>
      <c r="L28" s="98"/>
      <c r="M28" s="2"/>
      <c r="N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8"/>
      <c r="AC28" s="10"/>
      <c r="AD28" s="2">
        <v>0</v>
      </c>
    </row>
    <row r="29" spans="1:32">
      <c r="A29" s="7" t="s">
        <v>3</v>
      </c>
      <c r="B29" s="81">
        <f t="shared" ref="B29:AB29" si="10">+B13+B17+B22+SUM(B24:B28)</f>
        <v>21308989.579999998</v>
      </c>
      <c r="C29" s="81">
        <f t="shared" si="10"/>
        <v>4827574.26</v>
      </c>
      <c r="D29" s="81">
        <f t="shared" si="10"/>
        <v>26136563.84</v>
      </c>
      <c r="E29" s="81">
        <f t="shared" si="10"/>
        <v>7233459.5784523813</v>
      </c>
      <c r="F29" s="81">
        <f t="shared" si="10"/>
        <v>5888876.8695461312</v>
      </c>
      <c r="G29" s="81">
        <f t="shared" si="10"/>
        <v>3514442.5487648803</v>
      </c>
      <c r="H29" s="81">
        <f t="shared" si="10"/>
        <v>4478031.4950669641</v>
      </c>
      <c r="I29" s="81">
        <f t="shared" si="10"/>
        <v>5136098.3980357144</v>
      </c>
      <c r="J29" s="81">
        <f t="shared" si="10"/>
        <v>6797760.2039732151</v>
      </c>
      <c r="K29" s="81">
        <f t="shared" si="10"/>
        <v>3534168.786160714</v>
      </c>
      <c r="L29" s="81">
        <f t="shared" si="10"/>
        <v>62719401.719999999</v>
      </c>
      <c r="M29" s="81">
        <f t="shared" si="10"/>
        <v>65299812</v>
      </c>
      <c r="N29" s="126">
        <f t="shared" si="10"/>
        <v>62719402</v>
      </c>
      <c r="O29" s="81">
        <f t="shared" si="10"/>
        <v>0</v>
      </c>
      <c r="P29" s="126">
        <f t="shared" si="10"/>
        <v>6046661.051396668</v>
      </c>
      <c r="Q29" s="126">
        <f t="shared" si="10"/>
        <v>6046520.1913966676</v>
      </c>
      <c r="R29" s="126">
        <f t="shared" si="10"/>
        <v>7061899.471396667</v>
      </c>
      <c r="S29" s="126">
        <f t="shared" si="10"/>
        <v>6548878.1913966676</v>
      </c>
      <c r="T29" s="126">
        <f t="shared" si="10"/>
        <v>6068118.0013966672</v>
      </c>
      <c r="U29" s="126">
        <f t="shared" si="10"/>
        <v>6581139.2813966665</v>
      </c>
      <c r="V29" s="126">
        <f t="shared" si="10"/>
        <v>6096054.301396668</v>
      </c>
      <c r="W29" s="126">
        <f t="shared" si="10"/>
        <v>6096054.301396668</v>
      </c>
      <c r="X29" s="126">
        <f t="shared" si="10"/>
        <v>6581139.2813966665</v>
      </c>
      <c r="Y29" s="126">
        <f t="shared" si="10"/>
        <v>6074456.4913966674</v>
      </c>
      <c r="Z29" s="126">
        <f t="shared" si="10"/>
        <v>9173444.3713966664</v>
      </c>
      <c r="AA29" s="126">
        <f t="shared" si="10"/>
        <v>6647669.9613966672</v>
      </c>
      <c r="AB29" s="81">
        <f t="shared" si="10"/>
        <v>79022034.896760017</v>
      </c>
      <c r="AC29" s="10"/>
      <c r="AD29" s="81">
        <f>+AD13+AD17+AD22+SUM(AD24:AD28)</f>
        <v>79022035</v>
      </c>
    </row>
    <row r="30" spans="1:32" s="5" customFormat="1">
      <c r="B30" s="56"/>
      <c r="C30" s="56"/>
      <c r="D30" s="56"/>
      <c r="I30" s="6"/>
      <c r="J30" s="6"/>
      <c r="K30" s="6"/>
      <c r="L30" s="6"/>
      <c r="M30" s="6"/>
      <c r="N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87"/>
      <c r="AC30" s="61"/>
      <c r="AD30" s="2"/>
    </row>
    <row r="31" spans="1:32">
      <c r="A31" s="82"/>
      <c r="B31" s="56"/>
      <c r="C31" s="56"/>
      <c r="D31" s="56"/>
      <c r="E31" s="82"/>
      <c r="F31" s="82"/>
      <c r="G31" s="82"/>
      <c r="H31" s="82"/>
      <c r="I31" s="2"/>
      <c r="J31" s="2"/>
      <c r="K31" s="2"/>
      <c r="L31" s="89"/>
      <c r="M31" s="4"/>
      <c r="N31" s="100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86"/>
      <c r="AD31" s="2"/>
    </row>
    <row r="32" spans="1:32">
      <c r="I32" s="2"/>
      <c r="J32" s="2"/>
      <c r="K32" s="88"/>
      <c r="L32" s="90"/>
      <c r="N32" s="136"/>
      <c r="P32" s="2"/>
      <c r="Q32" s="2"/>
      <c r="R32" s="2"/>
      <c r="S32" s="2"/>
      <c r="T32" s="2"/>
      <c r="U32" s="2"/>
      <c r="V32" s="2"/>
      <c r="W32" s="2"/>
      <c r="X32" s="2"/>
    </row>
    <row r="33" spans="1:16">
      <c r="A33" s="5" t="s">
        <v>38</v>
      </c>
      <c r="P33" s="17"/>
    </row>
    <row r="34" spans="1:16" ht="25.5">
      <c r="A34" s="138" t="s">
        <v>60</v>
      </c>
    </row>
    <row r="35" spans="1:16" ht="25.5">
      <c r="A35" s="138" t="s">
        <v>76</v>
      </c>
    </row>
    <row r="36" spans="1:16">
      <c r="A36" s="138" t="s">
        <v>61</v>
      </c>
    </row>
    <row r="37" spans="1:16">
      <c r="A37" s="138" t="s">
        <v>53</v>
      </c>
    </row>
    <row r="38" spans="1:16" ht="25.5">
      <c r="A38" s="138" t="s">
        <v>67</v>
      </c>
    </row>
  </sheetData>
  <pageMargins left="0.25" right="0.25" top="1" bottom="1" header="0.5" footer="0.5"/>
  <pageSetup scale="60" fitToWidth="2" orientation="landscape" horizontalDpi="300" verticalDpi="300" r:id="rId1"/>
  <headerFooter alignWithMargins="0"/>
  <colBreaks count="1" manualBreakCount="1">
    <brk id="15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Balancing acct</vt:lpstr>
      <vt:lpstr>Projected Expense</vt:lpstr>
      <vt:lpstr>'Balancing acct'!Print_Titles</vt:lpstr>
      <vt:lpstr>'Projected Expense'!Print_Titles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2016-07-01T16:55:29Z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