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170" yWindow="420" windowWidth="11250" windowHeight="5550" tabRatio="759"/>
  </bookViews>
  <sheets>
    <sheet name="Savings Forecast-Attachment 1" sheetId="5" r:id="rId1"/>
    <sheet name="Balancing Acct-Attachment 2" sheetId="3" r:id="rId2"/>
    <sheet name="Projected Exp - Attachment 3" sheetId="8" r:id="rId3"/>
    <sheet name="Irr Prgm Impact-Attachment 4" sheetId="7" r:id="rId4"/>
  </sheets>
  <externalReferences>
    <externalReference r:id="rId5"/>
    <externalReference r:id="rId6"/>
    <externalReference r:id="rId7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Titles" localSheetId="1">'Balancing Acct-Attachment 2'!$5:$5</definedName>
    <definedName name="_xlnm.Print_Titles" localSheetId="2">'Projected Exp - Attachment 3'!$A:$A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/>
</workbook>
</file>

<file path=xl/calcChain.xml><?xml version="1.0" encoding="utf-8"?>
<calcChain xmlns="http://schemas.openxmlformats.org/spreadsheetml/2006/main">
  <c r="B50" i="3" l="1"/>
  <c r="B51" i="3"/>
  <c r="B52" i="3"/>
  <c r="H33" i="8"/>
  <c r="K20" i="8" l="1"/>
  <c r="K16" i="8"/>
  <c r="E13" i="3" l="1"/>
  <c r="F23" i="5" l="1"/>
  <c r="B35" i="5"/>
  <c r="B34" i="5"/>
  <c r="B33" i="5"/>
  <c r="B32" i="5"/>
  <c r="C14" i="5" l="1"/>
  <c r="C20" i="5"/>
  <c r="C13" i="5"/>
  <c r="C16" i="5"/>
  <c r="C15" i="5"/>
  <c r="E23" i="5"/>
  <c r="E21" i="8" l="1"/>
  <c r="G25" i="8"/>
  <c r="G26" i="8"/>
  <c r="F26" i="8"/>
  <c r="E26" i="8"/>
  <c r="D26" i="8"/>
  <c r="G10" i="8" l="1"/>
  <c r="E10" i="8"/>
  <c r="G9" i="8" l="1"/>
  <c r="F9" i="8"/>
  <c r="E9" i="8"/>
  <c r="G12" i="8"/>
  <c r="F12" i="8"/>
  <c r="E12" i="8"/>
  <c r="K7" i="8" l="1"/>
  <c r="K22" i="8" l="1"/>
  <c r="K17" i="8"/>
  <c r="K13" i="8"/>
  <c r="K29" i="8" l="1"/>
  <c r="C20" i="8"/>
  <c r="C16" i="8"/>
  <c r="C10" i="8"/>
  <c r="B20" i="8" l="1"/>
  <c r="B16" i="8"/>
  <c r="B25" i="8"/>
  <c r="B24" i="8" l="1"/>
  <c r="D24" i="8" s="1"/>
  <c r="B11" i="8"/>
  <c r="B13" i="8" s="1"/>
  <c r="L29" i="8"/>
  <c r="Y27" i="8"/>
  <c r="D27" i="8"/>
  <c r="Y26" i="8"/>
  <c r="H26" i="8"/>
  <c r="Y25" i="8"/>
  <c r="D25" i="8"/>
  <c r="H25" i="8" s="1"/>
  <c r="Y24" i="8"/>
  <c r="AA22" i="8"/>
  <c r="X22" i="8"/>
  <c r="W22" i="8"/>
  <c r="V22" i="8"/>
  <c r="U22" i="8"/>
  <c r="T22" i="8"/>
  <c r="S22" i="8"/>
  <c r="R22" i="8"/>
  <c r="Q22" i="8"/>
  <c r="P22" i="8"/>
  <c r="O22" i="8"/>
  <c r="N22" i="8"/>
  <c r="M22" i="8"/>
  <c r="J22" i="8"/>
  <c r="I22" i="8"/>
  <c r="Y21" i="8"/>
  <c r="D21" i="8"/>
  <c r="H21" i="8" s="1"/>
  <c r="Y20" i="8"/>
  <c r="C22" i="8"/>
  <c r="D20" i="8"/>
  <c r="AA17" i="8"/>
  <c r="X17" i="8"/>
  <c r="W17" i="8"/>
  <c r="V17" i="8"/>
  <c r="U17" i="8"/>
  <c r="T17" i="8"/>
  <c r="S17" i="8"/>
  <c r="R17" i="8"/>
  <c r="Q17" i="8"/>
  <c r="P17" i="8"/>
  <c r="O17" i="8"/>
  <c r="N17" i="8"/>
  <c r="M17" i="8"/>
  <c r="I17" i="8"/>
  <c r="Y16" i="8"/>
  <c r="Y17" i="8" s="1"/>
  <c r="J16" i="8"/>
  <c r="C17" i="8"/>
  <c r="D16" i="8"/>
  <c r="AA13" i="8"/>
  <c r="X13" i="8"/>
  <c r="W13" i="8"/>
  <c r="V13" i="8"/>
  <c r="U13" i="8"/>
  <c r="T13" i="8"/>
  <c r="S13" i="8"/>
  <c r="R13" i="8"/>
  <c r="Q13" i="8"/>
  <c r="P13" i="8"/>
  <c r="O13" i="8"/>
  <c r="N13" i="8"/>
  <c r="M13" i="8"/>
  <c r="I13" i="8"/>
  <c r="Y12" i="8"/>
  <c r="D12" i="8"/>
  <c r="Y11" i="8"/>
  <c r="D11" i="8"/>
  <c r="H11" i="8" s="1"/>
  <c r="Y10" i="8"/>
  <c r="C13" i="8"/>
  <c r="Y9" i="8"/>
  <c r="D9" i="8"/>
  <c r="Y8" i="8"/>
  <c r="D8" i="8"/>
  <c r="Y7" i="8"/>
  <c r="J7" i="8"/>
  <c r="J13" i="8" s="1"/>
  <c r="D7" i="8"/>
  <c r="E16" i="8" l="1"/>
  <c r="E17" i="8" s="1"/>
  <c r="F16" i="8"/>
  <c r="G16" i="8"/>
  <c r="G20" i="8"/>
  <c r="G22" i="8" s="1"/>
  <c r="E20" i="8"/>
  <c r="E22" i="8" s="1"/>
  <c r="F20" i="8"/>
  <c r="I29" i="8"/>
  <c r="F24" i="8"/>
  <c r="E24" i="8"/>
  <c r="G24" i="8"/>
  <c r="F7" i="8"/>
  <c r="E7" i="8"/>
  <c r="G7" i="8"/>
  <c r="Y13" i="8"/>
  <c r="S29" i="8"/>
  <c r="B61" i="3" s="1"/>
  <c r="F8" i="8"/>
  <c r="E8" i="8"/>
  <c r="G8" i="8"/>
  <c r="M29" i="8"/>
  <c r="B55" i="3" s="1"/>
  <c r="Q29" i="8"/>
  <c r="B59" i="3" s="1"/>
  <c r="U29" i="8"/>
  <c r="B63" i="3" s="1"/>
  <c r="O29" i="8"/>
  <c r="B57" i="3" s="1"/>
  <c r="W29" i="8"/>
  <c r="B65" i="3" s="1"/>
  <c r="AA29" i="8"/>
  <c r="C29" i="8"/>
  <c r="N29" i="8"/>
  <c r="B56" i="3" s="1"/>
  <c r="R29" i="8"/>
  <c r="B60" i="3" s="1"/>
  <c r="V29" i="8"/>
  <c r="B64" i="3" s="1"/>
  <c r="B17" i="8"/>
  <c r="D10" i="8"/>
  <c r="D13" i="8" s="1"/>
  <c r="Y22" i="8"/>
  <c r="B22" i="8"/>
  <c r="P29" i="8"/>
  <c r="B58" i="3" s="1"/>
  <c r="T29" i="8"/>
  <c r="B62" i="3" s="1"/>
  <c r="X29" i="8"/>
  <c r="B66" i="3" s="1"/>
  <c r="F17" i="8"/>
  <c r="D17" i="8"/>
  <c r="F22" i="8"/>
  <c r="D22" i="8"/>
  <c r="G17" i="8"/>
  <c r="J17" i="8"/>
  <c r="J29" i="8" s="1"/>
  <c r="H27" i="8"/>
  <c r="H24" i="8" l="1"/>
  <c r="H7" i="8"/>
  <c r="Y29" i="8"/>
  <c r="H9" i="8"/>
  <c r="E13" i="8"/>
  <c r="E29" i="8" s="1"/>
  <c r="H12" i="8"/>
  <c r="H10" i="8"/>
  <c r="D29" i="8"/>
  <c r="B29" i="8"/>
  <c r="G13" i="8"/>
  <c r="G29" i="8" s="1"/>
  <c r="F13" i="8"/>
  <c r="F29" i="8" s="1"/>
  <c r="H20" i="8"/>
  <c r="H22" i="8" s="1"/>
  <c r="H16" i="8"/>
  <c r="H17" i="8" s="1"/>
  <c r="H8" i="8"/>
  <c r="H13" i="8" l="1"/>
  <c r="H29" i="8" s="1"/>
  <c r="G77" i="3" l="1"/>
  <c r="G73" i="3"/>
  <c r="D67" i="3"/>
  <c r="C67" i="3"/>
  <c r="B67" i="3"/>
  <c r="B21" i="5" l="1"/>
  <c r="B17" i="5"/>
  <c r="F10" i="5"/>
  <c r="C10" i="5"/>
  <c r="F6" i="5"/>
  <c r="E6" i="5"/>
  <c r="C6" i="5"/>
  <c r="C17" i="5" l="1"/>
  <c r="B23" i="5"/>
  <c r="C21" i="5"/>
  <c r="B31" i="5" l="1"/>
  <c r="B36" i="5" s="1"/>
  <c r="B24" i="5"/>
  <c r="C24" i="5" s="1"/>
  <c r="C23" i="5"/>
  <c r="D53" i="3" l="1"/>
  <c r="C53" i="3"/>
  <c r="C39" i="3" l="1"/>
  <c r="D39" i="3" l="1"/>
  <c r="C25" i="3" l="1"/>
  <c r="C69" i="3" l="1"/>
  <c r="B25" i="3" l="1"/>
  <c r="B53" i="3" l="1"/>
  <c r="H31" i="8" s="1"/>
  <c r="J13" i="3" l="1"/>
  <c r="F13" i="3"/>
  <c r="D25" i="3"/>
  <c r="E14" i="3" l="1"/>
  <c r="F14" i="3" s="1"/>
  <c r="G13" i="3"/>
  <c r="J14" i="3" l="1"/>
  <c r="E15" i="3"/>
  <c r="F15" i="3" s="1"/>
  <c r="G14" i="3"/>
  <c r="E16" i="3" l="1"/>
  <c r="F16" i="3" s="1"/>
  <c r="G15" i="3"/>
  <c r="J15" i="3"/>
  <c r="J16" i="3" l="1"/>
  <c r="E17" i="3"/>
  <c r="G16" i="3"/>
  <c r="J17" i="3" l="1"/>
  <c r="F17" i="3"/>
  <c r="E18" i="3" l="1"/>
  <c r="G17" i="3"/>
  <c r="J18" i="3" l="1"/>
  <c r="F18" i="3"/>
  <c r="G18" i="3" s="1"/>
  <c r="E19" i="3" l="1"/>
  <c r="J19" i="3" l="1"/>
  <c r="F19" i="3"/>
  <c r="E20" i="3" l="1"/>
  <c r="G19" i="3"/>
  <c r="J20" i="3" l="1"/>
  <c r="F20" i="3"/>
  <c r="E21" i="3" l="1"/>
  <c r="G20" i="3"/>
  <c r="J21" i="3" l="1"/>
  <c r="F21" i="3"/>
  <c r="E22" i="3" l="1"/>
  <c r="F22" i="3" s="1"/>
  <c r="G21" i="3"/>
  <c r="E23" i="3" l="1"/>
  <c r="F23" i="3" s="1"/>
  <c r="G22" i="3"/>
  <c r="J22" i="3"/>
  <c r="G23" i="3" l="1"/>
  <c r="J23" i="3"/>
  <c r="J24" i="3" l="1"/>
  <c r="E25" i="3"/>
  <c r="F24" i="3"/>
  <c r="E27" i="3" s="1"/>
  <c r="G24" i="3" l="1"/>
  <c r="F27" i="3" l="1"/>
  <c r="E28" i="3" s="1"/>
  <c r="J27" i="3"/>
  <c r="G27" i="3" l="1"/>
  <c r="J28" i="3" l="1"/>
  <c r="F28" i="3"/>
  <c r="E29" i="3" s="1"/>
  <c r="G28" i="3" l="1"/>
  <c r="F29" i="3" l="1"/>
  <c r="E30" i="3" s="1"/>
  <c r="J29" i="3"/>
  <c r="G29" i="3" l="1"/>
  <c r="F30" i="3"/>
  <c r="E31" i="3" s="1"/>
  <c r="J30" i="3" l="1"/>
  <c r="G30" i="3"/>
  <c r="F31" i="3"/>
  <c r="E32" i="3" s="1"/>
  <c r="G31" i="3" l="1"/>
  <c r="F32" i="3"/>
  <c r="E33" i="3" s="1"/>
  <c r="J31" i="3"/>
  <c r="G32" i="3" l="1"/>
  <c r="F33" i="3"/>
  <c r="E34" i="3" s="1"/>
  <c r="J32" i="3"/>
  <c r="G33" i="3" l="1"/>
  <c r="F34" i="3"/>
  <c r="E35" i="3" s="1"/>
  <c r="J33" i="3"/>
  <c r="J34" i="3" l="1"/>
  <c r="F35" i="3"/>
  <c r="G34" i="3"/>
  <c r="J35" i="3" l="1"/>
  <c r="G35" i="3"/>
  <c r="E36" i="3" l="1"/>
  <c r="F36" i="3" s="1"/>
  <c r="B39" i="3"/>
  <c r="J36" i="3" l="1"/>
  <c r="G36" i="3"/>
  <c r="E37" i="3"/>
  <c r="F37" i="3" s="1"/>
  <c r="G37" i="3" s="1"/>
  <c r="F38" i="3" l="1"/>
  <c r="J37" i="3"/>
  <c r="G38" i="3" l="1"/>
  <c r="E41" i="3"/>
  <c r="F41" i="3" s="1"/>
  <c r="E42" i="3" s="1"/>
  <c r="E39" i="3"/>
  <c r="J38" i="3"/>
  <c r="J41" i="3" l="1"/>
  <c r="J42" i="3" s="1"/>
  <c r="G41" i="3"/>
  <c r="F42" i="3"/>
  <c r="E43" i="3" s="1"/>
  <c r="J43" i="3" l="1"/>
  <c r="G42" i="3"/>
  <c r="F43" i="3"/>
  <c r="E44" i="3" s="1"/>
  <c r="G43" i="3" l="1"/>
  <c r="F44" i="3" l="1"/>
  <c r="E45" i="3" s="1"/>
  <c r="J44" i="3"/>
  <c r="G44" i="3" l="1"/>
  <c r="F45" i="3" l="1"/>
  <c r="E46" i="3" s="1"/>
  <c r="J45" i="3"/>
  <c r="F46" i="3" l="1"/>
  <c r="E47" i="3" s="1"/>
  <c r="G45" i="3"/>
  <c r="F47" i="3" l="1"/>
  <c r="E48" i="3" s="1"/>
  <c r="G46" i="3"/>
  <c r="J46" i="3"/>
  <c r="J47" i="3" l="1"/>
  <c r="G47" i="3"/>
  <c r="J48" i="3" l="1"/>
  <c r="F48" i="3"/>
  <c r="G48" i="3" l="1"/>
  <c r="E49" i="3"/>
  <c r="F49" i="3" s="1"/>
  <c r="E50" i="3" s="1"/>
  <c r="J49" i="3" l="1"/>
  <c r="G49" i="3"/>
  <c r="H32" i="8" l="1"/>
  <c r="G71" i="3"/>
  <c r="J50" i="3"/>
  <c r="F50" i="3"/>
  <c r="G50" i="3" l="1"/>
  <c r="E51" i="3"/>
  <c r="J51" i="3" s="1"/>
  <c r="F51" i="3" l="1"/>
  <c r="E52" i="3" s="1"/>
  <c r="J52" i="3" l="1"/>
  <c r="E53" i="3"/>
  <c r="F52" i="3"/>
  <c r="E55" i="3" s="1"/>
  <c r="G51" i="3"/>
  <c r="G52" i="3" l="1"/>
  <c r="F55" i="3" l="1"/>
  <c r="E56" i="3" s="1"/>
  <c r="J55" i="3"/>
  <c r="J56" i="3" l="1"/>
  <c r="F56" i="3"/>
  <c r="E57" i="3" s="1"/>
  <c r="G55" i="3"/>
  <c r="J57" i="3" l="1"/>
  <c r="G56" i="3"/>
  <c r="F57" i="3"/>
  <c r="E58" i="3" s="1"/>
  <c r="G57" i="3" l="1"/>
  <c r="J58" i="3"/>
  <c r="F58" i="3"/>
  <c r="E59" i="3" s="1"/>
  <c r="J59" i="3" l="1"/>
  <c r="F59" i="3"/>
  <c r="E60" i="3" s="1"/>
  <c r="G58" i="3"/>
  <c r="J60" i="3" l="1"/>
  <c r="G59" i="3"/>
  <c r="F60" i="3" l="1"/>
  <c r="E61" i="3" l="1"/>
  <c r="J61" i="3" s="1"/>
  <c r="G60" i="3"/>
  <c r="F61" i="3" l="1"/>
  <c r="G61" i="3"/>
  <c r="E62" i="3"/>
  <c r="J62" i="3" s="1"/>
  <c r="F62" i="3" l="1"/>
  <c r="E63" i="3" s="1"/>
  <c r="G62" i="3" l="1"/>
  <c r="F63" i="3"/>
  <c r="E64" i="3" s="1"/>
  <c r="J63" i="3"/>
  <c r="G63" i="3" l="1"/>
  <c r="F64" i="3"/>
  <c r="E65" i="3" s="1"/>
  <c r="F65" i="3" l="1"/>
  <c r="E66" i="3" s="1"/>
  <c r="G64" i="3"/>
  <c r="J64" i="3"/>
  <c r="J65" i="3" l="1"/>
  <c r="G65" i="3"/>
  <c r="F66" i="3" l="1"/>
  <c r="G66" i="3" s="1"/>
  <c r="G74" i="3"/>
  <c r="G75" i="3" s="1"/>
  <c r="G79" i="3" s="1"/>
  <c r="E67" i="3"/>
  <c r="J66" i="3"/>
</calcChain>
</file>

<file path=xl/comments1.xml><?xml version="1.0" encoding="utf-8"?>
<comments xmlns="http://schemas.openxmlformats.org/spreadsheetml/2006/main">
  <authors>
    <author>Author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STEP legislation, carrying charge will be equal to the large-scale electric utility's pretaxd weighted average cost of captial approved by the commision in the most recent general rate proceeding. The rate provided by Regulation is 10.65%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Combined legacy and expansion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includes Commercial and Industrial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Inc $36k paid to Office of Energy for energy codes training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Posts at program level</t>
        </r>
      </text>
    </comment>
    <comment ref="AA29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$1 difference is due to rounding. Also off by $50k from monthly support due to labor for Outreach included in $1.4m budget
</t>
        </r>
      </text>
    </comment>
  </commentList>
</comments>
</file>

<file path=xl/sharedStrings.xml><?xml version="1.0" encoding="utf-8"?>
<sst xmlns="http://schemas.openxmlformats.org/spreadsheetml/2006/main" count="189" uniqueCount="124">
  <si>
    <t>Residential Programs</t>
  </si>
  <si>
    <t>Low Income (Sch. 118)</t>
  </si>
  <si>
    <t>New Construction (Sch. 110)</t>
  </si>
  <si>
    <t>Total DSM Program Expenditures</t>
  </si>
  <si>
    <t xml:space="preserve"> </t>
  </si>
  <si>
    <t>DSM Program Expenditures &amp; Revenues</t>
  </si>
  <si>
    <t>Jan - Dec</t>
  </si>
  <si>
    <t>Home Energy Reports (Sch N/A)</t>
  </si>
  <si>
    <t>YTD Balance</t>
  </si>
  <si>
    <t>Projected</t>
  </si>
  <si>
    <t>Utah Demand-Side Management Balance Account Analysis</t>
  </si>
  <si>
    <t/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</si>
  <si>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</si>
  <si>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</si>
  <si>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</si>
  <si>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</si>
  <si>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</si>
  <si>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</si>
  <si>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 xml:space="preserve">Accumulated Balance Total Carrying Costs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</si>
  <si>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</si>
  <si>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</si>
  <si>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</si>
  <si>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</si>
  <si>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</si>
  <si>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</si>
  <si>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</si>
  <si>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</si>
  <si>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</si>
  <si>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</si>
  <si>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</si>
  <si>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</si>
  <si>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</si>
  <si>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2012 totals</t>
  </si>
  <si>
    <t>2013 totals</t>
  </si>
  <si>
    <t>2014 totals</t>
  </si>
  <si>
    <t>Accrual</t>
  </si>
  <si>
    <t>Forecast</t>
  </si>
  <si>
    <t>Notes:</t>
  </si>
  <si>
    <t>2015 totals</t>
  </si>
  <si>
    <t>Refrigerator Recycle (Sch. 117)</t>
  </si>
  <si>
    <t>Home Energy Savings Incentive Prgm (Sch. 111)</t>
  </si>
  <si>
    <t>Commercial Sector Programs</t>
  </si>
  <si>
    <t>wattsmart business (Sch. 140)</t>
  </si>
  <si>
    <t>Industrial Irrigation Load Control (Sch. N/A)</t>
  </si>
  <si>
    <t>Outreach and Communications</t>
  </si>
  <si>
    <t>Program Evaluation Cost</t>
  </si>
  <si>
    <t xml:space="preserve">A/C Load Control Program </t>
  </si>
  <si>
    <t>2016 totals</t>
  </si>
  <si>
    <t>Total thru</t>
  </si>
  <si>
    <t>Total Accurals</t>
  </si>
  <si>
    <t>for Sept</t>
  </si>
  <si>
    <t>2016 Potential Study</t>
  </si>
  <si>
    <t>Estimated Peak Impact of Irrigation Load Control By Week</t>
  </si>
  <si>
    <t>Program Weeks</t>
  </si>
  <si>
    <t>Percent Participating Load</t>
  </si>
  <si>
    <t>Note:</t>
  </si>
  <si>
    <t>Attachment 4</t>
  </si>
  <si>
    <t xml:space="preserve">Attachment 1  </t>
  </si>
  <si>
    <t xml:space="preserve">Program Forecast </t>
  </si>
  <si>
    <t>2015 Integrated Resource Plan</t>
  </si>
  <si>
    <t>MWH</t>
  </si>
  <si>
    <t>MW</t>
  </si>
  <si>
    <t>Class 1 DSM - Residential, Commercial, Industrial</t>
  </si>
  <si>
    <t>Air Conditioner Load Control - Res. &amp; Small Com. (Sch. 114)</t>
  </si>
  <si>
    <t xml:space="preserve">Irrigation Load Control - Industrial (Sch. N/A) </t>
  </si>
  <si>
    <t>Total Class 1</t>
  </si>
  <si>
    <t>Class 2 DSM - Residential</t>
  </si>
  <si>
    <t>N/A</t>
  </si>
  <si>
    <t>Home Energy Reporting (Sch. N/A)</t>
  </si>
  <si>
    <t>Home Energy Savings Incentive (Sch. 111)</t>
  </si>
  <si>
    <t>Total Class 2 Residential</t>
  </si>
  <si>
    <t>Class 2 Non-Residential Programs</t>
  </si>
  <si>
    <t>Total Class 2 Non-Residential</t>
  </si>
  <si>
    <t xml:space="preserve">Total Class 2 </t>
  </si>
  <si>
    <t>Total Class 2 (with HER Incremental Savings)</t>
  </si>
  <si>
    <t>1. Class 2 DSM resource plan results are not selected at a program level (no program level IRP targets available).</t>
  </si>
  <si>
    <t>2. Irrigation forecast represents highest expected realized value during the season (see "Irr Prgm Impact" tab for an estimate by week throughout season).</t>
  </si>
  <si>
    <t>3. Air conditioner load control (Cool Keeper) forecast represents the expected contribution/impact available at peak, temperature dependent.</t>
  </si>
  <si>
    <t xml:space="preserve">     Forecasted Class 2 DSM energy savings</t>
  </si>
  <si>
    <t>MWh</t>
  </si>
  <si>
    <t xml:space="preserve">     Divided by system-East non-coincident peak value from the 2015 IRP Table 8.7</t>
  </si>
  <si>
    <t xml:space="preserve">     Multiplied by system-East coincident peak value from the 2015 IRP Table 8.8</t>
  </si>
  <si>
    <t>2017 totals</t>
  </si>
  <si>
    <t>DSM balancing account as of Sept 30, 2016</t>
  </si>
  <si>
    <t>Forecast DSM expenses through December 2017</t>
  </si>
  <si>
    <t>Forecast carrying charges through December 2017</t>
  </si>
  <si>
    <t>Total expenses through December 2017</t>
  </si>
  <si>
    <t>Forecast DSM balancing account as of December 31, 2017</t>
  </si>
  <si>
    <t>Total DSM surcharge collections through December 2017</t>
  </si>
  <si>
    <t xml:space="preserve">   Figures provided through Sept 2016 are actuals.</t>
  </si>
  <si>
    <t>Sept 2016</t>
  </si>
  <si>
    <t>Nov 1, 2015</t>
  </si>
  <si>
    <t>June 2016</t>
  </si>
  <si>
    <t>2017 Budget</t>
  </si>
  <si>
    <t>2016 charges</t>
  </si>
  <si>
    <t>2017 Totals</t>
  </si>
  <si>
    <t>Industrial Sectgor Programs</t>
  </si>
  <si>
    <t>Notes;</t>
  </si>
  <si>
    <t>Bill credits are included in WSB program costs</t>
  </si>
  <si>
    <t>Jan-Sept 2016 actuals</t>
  </si>
  <si>
    <t>Accruals added to capture full cost through Sept</t>
  </si>
  <si>
    <t>Portfolio (TRL, DSM Central &amp; Training)</t>
  </si>
  <si>
    <t>Nov 1, 2016</t>
  </si>
  <si>
    <t>2017 Forecast Savings compared to Resource Plan Targets</t>
  </si>
  <si>
    <t>Estimated Load Reduction (2017)</t>
  </si>
  <si>
    <t>Participating Load (2017)</t>
  </si>
  <si>
    <t>2017 expected impact is based on weekly load availability results for Utah's irrigation program during the 2014 - 2016 control seasons.</t>
  </si>
  <si>
    <t>Actual impact at peak will be dependent on when monthly peaks occur throughout the 2017 control months</t>
  </si>
  <si>
    <t>Using current rate of 4% in 2016</t>
  </si>
  <si>
    <t xml:space="preserve">   Rate Recovery estimates for 2017 calc from July 2016 forecast from Regulation</t>
  </si>
  <si>
    <t xml:space="preserve">   Rate Recovery estimates for 2016 calc from July 2015 forecast from Regulation</t>
  </si>
  <si>
    <t>Diff is accrual at state level</t>
  </si>
  <si>
    <t>Split for WSB program cost was based on Sept 2016 YTD kWh savings (62%/38%)</t>
  </si>
  <si>
    <t>Carrying Charge Rate</t>
  </si>
  <si>
    <t>Attachment 2</t>
  </si>
  <si>
    <t>Deferred Acct Balance</t>
  </si>
  <si>
    <t>Attachment 3</t>
  </si>
  <si>
    <t xml:space="preserve">    For consistency with IRP modeling, Class 2 MWh and MW totals including only new HER impacts (above those achieved in 2016) is also provided.</t>
  </si>
  <si>
    <t>6. Total Class 2 MWh and MW forecasts include total projected impacts of Home Energy Reporting (HER) spending in 2017.</t>
  </si>
  <si>
    <t xml:space="preserve">     Divided by 2017 Utah energy selections from the 2015 IRP Appendix D</t>
  </si>
  <si>
    <t xml:space="preserve">     Multiplied by Utah 2017 non-coincident peak value from 2015 IRP Table 8.7</t>
  </si>
  <si>
    <t xml:space="preserve">     Estimated coincident peak impact of 2017 Utah Class 2 DSM programs</t>
  </si>
  <si>
    <t>5. 2015 IRP Utah 2017 Class 2 DSM coincident peak contribution from supporting data used to create 2015 IRP Table 8.8</t>
  </si>
  <si>
    <r>
      <t xml:space="preserve">4. Forecast of coincident peak MW for </t>
    </r>
    <r>
      <rPr>
        <b/>
        <i/>
        <sz val="9"/>
        <rFont val="Arial"/>
        <family val="2"/>
      </rPr>
      <t>Utah's</t>
    </r>
    <r>
      <rPr>
        <sz val="9"/>
        <rFont val="Arial"/>
        <family val="2"/>
      </rPr>
      <t xml:space="preserve"> Class 2 DSM resource is dervied through the following formula: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</si>
</sst>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0.000000"/>
    <numFmt numFmtId="168" formatCode="&quot;$&quot;#,##0"/>
    <numFmt numFmtId="169" formatCode="[$-409]d\-mmm;@"/>
    <numFmt numFmtId="170" formatCode="0.0"/>
    <numFmt numFmtId="171" formatCode="_(* #,##0.000_);_(* \(#,##0.000\);_(* &quot;-&quot;??_);_(@_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</font>
    <font>
      <sz val="12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u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80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6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6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7" applyNumberFormat="0" applyAlignment="0" applyProtection="0"/>
    <xf numFmtId="0" fontId="27" fillId="8" borderId="8" applyNumberFormat="0" applyAlignment="0" applyProtection="0"/>
    <xf numFmtId="0" fontId="28" fillId="8" borderId="7" applyNumberFormat="0" applyAlignment="0" applyProtection="0"/>
    <xf numFmtId="0" fontId="29" fillId="0" borderId="9" applyNumberFormat="0" applyFill="0" applyAlignment="0" applyProtection="0"/>
    <xf numFmtId="0" fontId="30" fillId="9" borderId="10" applyNumberFormat="0" applyAlignment="0" applyProtection="0"/>
    <xf numFmtId="0" fontId="31" fillId="0" borderId="0" applyNumberFormat="0" applyFill="0" applyBorder="0" applyAlignment="0" applyProtection="0"/>
    <xf numFmtId="0" fontId="8" fillId="10" borderId="1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0" applyNumberFormat="0" applyBorder="0" applyAlignment="0" applyProtection="0"/>
    <xf numFmtId="166" fontId="7" fillId="0" borderId="0">
      <alignment horizontal="left"/>
    </xf>
    <xf numFmtId="0" fontId="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98">
    <xf numFmtId="0" fontId="0" fillId="0" borderId="0" xfId="0"/>
    <xf numFmtId="164" fontId="3" fillId="0" borderId="0" xfId="2" applyNumberFormat="1" applyFont="1" applyFill="1"/>
    <xf numFmtId="164" fontId="3" fillId="0" borderId="2" xfId="2" applyNumberFormat="1" applyFont="1" applyFill="1" applyBorder="1"/>
    <xf numFmtId="164" fontId="3" fillId="0" borderId="0" xfId="2" applyNumberFormat="1" applyFont="1" applyFill="1" applyBorder="1"/>
    <xf numFmtId="165" fontId="2" fillId="0" borderId="0" xfId="3" applyNumberFormat="1" applyFont="1" applyFill="1" applyBorder="1"/>
    <xf numFmtId="0" fontId="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3" fillId="0" borderId="0" xfId="8" applyFont="1" applyAlignment="1" applyProtection="1">
      <alignment horizontal="centerContinuous"/>
      <protection locked="0"/>
    </xf>
    <xf numFmtId="0" fontId="14" fillId="0" borderId="0" xfId="8" applyFont="1" applyAlignment="1" applyProtection="1">
      <alignment horizontal="center"/>
      <protection locked="0"/>
    </xf>
    <xf numFmtId="0" fontId="14" fillId="0" borderId="0" xfId="8" applyFont="1" applyAlignment="1" applyProtection="1">
      <protection locked="0"/>
    </xf>
    <xf numFmtId="0" fontId="3" fillId="0" borderId="0" xfId="8" applyFont="1"/>
    <xf numFmtId="0" fontId="15" fillId="0" borderId="0" xfId="0" applyFont="1"/>
    <xf numFmtId="0" fontId="16" fillId="0" borderId="0" xfId="8" quotePrefix="1" applyFont="1" applyFill="1" applyAlignment="1" applyProtection="1">
      <alignment horizontal="center"/>
      <protection locked="0"/>
    </xf>
    <xf numFmtId="0" fontId="14" fillId="0" borderId="0" xfId="8" quotePrefix="1" applyFont="1" applyAlignment="1" applyProtection="1">
      <alignment horizontal="center"/>
      <protection locked="0"/>
    </xf>
    <xf numFmtId="0" fontId="14" fillId="0" borderId="0" xfId="8" applyFont="1"/>
    <xf numFmtId="0" fontId="14" fillId="0" borderId="0" xfId="8" quotePrefix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0" fontId="18" fillId="0" borderId="0" xfId="0" quotePrefix="1" applyNumberFormat="1" applyFont="1" applyFill="1" applyAlignment="1" applyProtection="1">
      <alignment horizontal="center" wrapText="1"/>
      <protection locked="0"/>
    </xf>
    <xf numFmtId="10" fontId="18" fillId="0" borderId="0" xfId="0" quotePrefix="1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8" applyFont="1" applyFill="1" applyAlignment="1" applyProtection="1">
      <alignment horizontal="center"/>
      <protection locked="0"/>
    </xf>
    <xf numFmtId="44" fontId="3" fillId="0" borderId="0" xfId="8" applyNumberFormat="1" applyFont="1" applyFill="1" applyBorder="1" applyAlignment="1" applyProtection="1">
      <protection locked="0"/>
    </xf>
    <xf numFmtId="10" fontId="3" fillId="0" borderId="0" xfId="16" applyNumberFormat="1" applyFont="1" applyAlignment="1" applyProtection="1">
      <alignment horizontal="center"/>
      <protection locked="0"/>
    </xf>
    <xf numFmtId="44" fontId="3" fillId="0" borderId="0" xfId="8" applyNumberFormat="1" applyFont="1" applyFill="1" applyAlignment="1" applyProtection="1">
      <protection locked="0"/>
    </xf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44" fontId="3" fillId="0" borderId="0" xfId="12" applyFont="1" applyAlignment="1" applyProtection="1">
      <alignment horizontal="center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3" fillId="0" borderId="0" xfId="8" applyFont="1" applyFill="1"/>
    <xf numFmtId="0" fontId="3" fillId="0" borderId="0" xfId="80" applyFont="1" applyFill="1"/>
    <xf numFmtId="0" fontId="3" fillId="0" borderId="0" xfId="80" applyFill="1"/>
    <xf numFmtId="0" fontId="3" fillId="0" borderId="0" xfId="80" applyFont="1" applyFill="1" applyBorder="1" applyAlignment="1" applyProtection="1">
      <protection locked="0"/>
    </xf>
    <xf numFmtId="0" fontId="3" fillId="0" borderId="0" xfId="80" applyFont="1" applyFill="1" applyAlignment="1">
      <alignment horizontal="left" indent="1"/>
    </xf>
    <xf numFmtId="164" fontId="3" fillId="0" borderId="0" xfId="85" applyNumberFormat="1" applyFont="1" applyFill="1"/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0" xfId="12" applyNumberFormat="1" applyFont="1" applyAlignment="1" applyProtection="1">
      <protection locked="0"/>
    </xf>
    <xf numFmtId="164" fontId="3" fillId="0" borderId="2" xfId="12" applyNumberFormat="1" applyFont="1" applyBorder="1" applyAlignment="1" applyProtection="1">
      <protection locked="0"/>
    </xf>
    <xf numFmtId="164" fontId="3" fillId="2" borderId="0" xfId="8" applyNumberFormat="1" applyFont="1" applyFill="1" applyAlignment="1" applyProtection="1">
      <protection locked="0"/>
    </xf>
    <xf numFmtId="164" fontId="3" fillId="3" borderId="0" xfId="8" applyNumberFormat="1" applyFont="1" applyFill="1" applyAlignment="1" applyProtection="1">
      <protection locked="0"/>
    </xf>
    <xf numFmtId="164" fontId="15" fillId="0" borderId="0" xfId="0" applyNumberFormat="1" applyFont="1"/>
    <xf numFmtId="164" fontId="15" fillId="0" borderId="2" xfId="0" applyNumberFormat="1" applyFont="1" applyBorder="1"/>
    <xf numFmtId="164" fontId="15" fillId="0" borderId="3" xfId="0" applyNumberFormat="1" applyFont="1" applyBorder="1"/>
    <xf numFmtId="164" fontId="3" fillId="0" borderId="0" xfId="8" applyNumberFormat="1" applyFont="1" applyFill="1" applyBorder="1" applyAlignment="1" applyProtection="1">
      <protection locked="0"/>
    </xf>
    <xf numFmtId="164" fontId="3" fillId="0" borderId="2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5" fillId="0" borderId="0" xfId="0" applyNumberFormat="1" applyFont="1" applyFill="1"/>
    <xf numFmtId="0" fontId="15" fillId="0" borderId="0" xfId="0" applyFont="1" applyFill="1"/>
    <xf numFmtId="0" fontId="3" fillId="0" borderId="0" xfId="64" applyFont="1" applyFill="1" applyAlignment="1">
      <alignment horizontal="left" indent="1"/>
    </xf>
    <xf numFmtId="37" fontId="3" fillId="0" borderId="2" xfId="2" applyNumberFormat="1" applyFont="1" applyFill="1" applyBorder="1" applyAlignment="1">
      <alignment horizontal="right"/>
    </xf>
    <xf numFmtId="164" fontId="3" fillId="0" borderId="0" xfId="85" applyNumberFormat="1" applyFont="1" applyFill="1" applyAlignment="1">
      <alignment horizontal="left" indent="1"/>
    </xf>
    <xf numFmtId="164" fontId="3" fillId="0" borderId="0" xfId="85" applyNumberFormat="1" applyFont="1" applyFill="1" applyAlignment="1">
      <alignment horizontal="right" indent="1"/>
    </xf>
    <xf numFmtId="164" fontId="3" fillId="0" borderId="0" xfId="85" applyNumberFormat="1" applyFont="1" applyFill="1" applyAlignment="1">
      <alignment horizontal="right"/>
    </xf>
    <xf numFmtId="168" fontId="3" fillId="0" borderId="0" xfId="2" applyNumberFormat="1" applyFont="1" applyFill="1" applyBorder="1"/>
    <xf numFmtId="168" fontId="2" fillId="0" borderId="0" xfId="3" applyNumberFormat="1" applyFont="1" applyFill="1" applyBorder="1"/>
    <xf numFmtId="3" fontId="3" fillId="0" borderId="0" xfId="2" applyNumberFormat="1" applyFont="1" applyFill="1" applyBorder="1"/>
    <xf numFmtId="10" fontId="3" fillId="0" borderId="0" xfId="12" applyNumberFormat="1" applyFont="1" applyAlignment="1" applyProtection="1">
      <alignment horizontal="right"/>
      <protection locked="0"/>
    </xf>
    <xf numFmtId="164" fontId="15" fillId="0" borderId="0" xfId="0" applyNumberFormat="1" applyFont="1" applyBorder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/>
    <xf numFmtId="0" fontId="38" fillId="0" borderId="0" xfId="0" applyFont="1"/>
    <xf numFmtId="0" fontId="2" fillId="0" borderId="0" xfId="0" applyFont="1"/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Fill="1" applyBorder="1"/>
    <xf numFmtId="0" fontId="39" fillId="0" borderId="0" xfId="0" applyFont="1" applyFill="1"/>
    <xf numFmtId="0" fontId="40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3" fontId="45" fillId="0" borderId="0" xfId="10" applyNumberFormat="1" applyFont="1" applyAlignment="1">
      <alignment horizontal="right"/>
    </xf>
    <xf numFmtId="3" fontId="45" fillId="0" borderId="0" xfId="10" applyNumberFormat="1" applyFont="1" applyAlignment="1">
      <alignment horizontal="center"/>
    </xf>
    <xf numFmtId="3" fontId="45" fillId="0" borderId="0" xfId="10" applyNumberFormat="1" applyFont="1" applyFill="1" applyBorder="1"/>
    <xf numFmtId="3" fontId="45" fillId="0" borderId="0" xfId="0" applyNumberFormat="1" applyFont="1" applyAlignment="1">
      <alignment horizontal="center"/>
    </xf>
    <xf numFmtId="3" fontId="4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indent="1"/>
    </xf>
    <xf numFmtId="3" fontId="45" fillId="0" borderId="0" xfId="10" applyNumberFormat="1" applyFont="1" applyFill="1" applyAlignment="1">
      <alignment horizontal="center"/>
    </xf>
    <xf numFmtId="3" fontId="45" fillId="0" borderId="0" xfId="10" applyNumberFormat="1" applyFont="1" applyFill="1" applyBorder="1" applyAlignment="1">
      <alignment horizontal="center"/>
    </xf>
    <xf numFmtId="3" fontId="45" fillId="0" borderId="1" xfId="0" applyNumberFormat="1" applyFont="1" applyBorder="1" applyAlignment="1">
      <alignment horizontal="right"/>
    </xf>
    <xf numFmtId="3" fontId="45" fillId="0" borderId="1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left"/>
    </xf>
    <xf numFmtId="0" fontId="42" fillId="0" borderId="0" xfId="0" applyFont="1" applyAlignment="1">
      <alignment horizontal="left" indent="1"/>
    </xf>
    <xf numFmtId="3" fontId="45" fillId="0" borderId="3" xfId="0" applyNumberFormat="1" applyFont="1" applyBorder="1" applyAlignment="1">
      <alignment horizontal="right"/>
    </xf>
    <xf numFmtId="3" fontId="45" fillId="0" borderId="3" xfId="0" applyNumberFormat="1" applyFont="1" applyBorder="1" applyAlignment="1">
      <alignment horizontal="center"/>
    </xf>
    <xf numFmtId="3" fontId="45" fillId="0" borderId="0" xfId="0" applyNumberFormat="1" applyFont="1" applyAlignment="1">
      <alignment horizontal="right"/>
    </xf>
    <xf numFmtId="3" fontId="45" fillId="0" borderId="0" xfId="0" applyNumberFormat="1" applyFont="1" applyFill="1" applyBorder="1"/>
    <xf numFmtId="0" fontId="42" fillId="0" borderId="0" xfId="0" applyFont="1"/>
    <xf numFmtId="3" fontId="45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indent="1"/>
    </xf>
    <xf numFmtId="3" fontId="45" fillId="0" borderId="0" xfId="10" applyNumberFormat="1" applyFont="1" applyFill="1" applyAlignment="1">
      <alignment horizontal="right"/>
    </xf>
    <xf numFmtId="3" fontId="45" fillId="0" borderId="0" xfId="1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3" fontId="45" fillId="0" borderId="0" xfId="0" applyNumberFormat="1" applyFont="1" applyFill="1" applyAlignment="1">
      <alignment horizontal="right"/>
    </xf>
    <xf numFmtId="0" fontId="42" fillId="0" borderId="0" xfId="0" applyFont="1" applyFill="1"/>
    <xf numFmtId="3" fontId="45" fillId="0" borderId="0" xfId="0" applyNumberFormat="1" applyFont="1" applyFill="1" applyBorder="1" applyAlignment="1">
      <alignment horizontal="center"/>
    </xf>
    <xf numFmtId="3" fontId="45" fillId="0" borderId="2" xfId="10" applyNumberFormat="1" applyFont="1" applyFill="1" applyBorder="1" applyAlignment="1">
      <alignment horizontal="right"/>
    </xf>
    <xf numFmtId="3" fontId="45" fillId="0" borderId="2" xfId="1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45" fillId="0" borderId="3" xfId="10" applyNumberFormat="1" applyFont="1" applyFill="1" applyBorder="1" applyAlignment="1">
      <alignment horizontal="right"/>
    </xf>
    <xf numFmtId="3" fontId="45" fillId="0" borderId="3" xfId="85" applyNumberFormat="1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center"/>
    </xf>
    <xf numFmtId="3" fontId="45" fillId="0" borderId="0" xfId="85" applyNumberFormat="1" applyFont="1" applyFill="1" applyBorder="1" applyAlignment="1">
      <alignment horizontal="center"/>
    </xf>
    <xf numFmtId="3" fontId="39" fillId="0" borderId="0" xfId="0" applyNumberFormat="1" applyFont="1" applyAlignment="1">
      <alignment horizontal="center"/>
    </xf>
    <xf numFmtId="0" fontId="47" fillId="0" borderId="0" xfId="0" applyFont="1" applyFill="1" applyBorder="1"/>
    <xf numFmtId="0" fontId="39" fillId="0" borderId="0" xfId="0" applyFont="1" applyFill="1" applyAlignment="1">
      <alignment horizontal="center"/>
    </xf>
    <xf numFmtId="0" fontId="0" fillId="0" borderId="0" xfId="0" applyFill="1"/>
    <xf numFmtId="0" fontId="46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5" fillId="0" borderId="0" xfId="0" applyFont="1"/>
    <xf numFmtId="0" fontId="41" fillId="0" borderId="0" xfId="0" applyFont="1" applyAlignment="1">
      <alignment horizontal="center"/>
    </xf>
    <xf numFmtId="0" fontId="33" fillId="0" borderId="0" xfId="0" applyFont="1"/>
    <xf numFmtId="0" fontId="0" fillId="0" borderId="13" xfId="0" applyBorder="1"/>
    <xf numFmtId="169" fontId="0" fillId="0" borderId="13" xfId="0" applyNumberFormat="1" applyFont="1" applyFill="1" applyBorder="1" applyAlignment="1">
      <alignment horizontal="center"/>
    </xf>
    <xf numFmtId="0" fontId="0" fillId="0" borderId="14" xfId="0" applyFont="1" applyBorder="1"/>
    <xf numFmtId="1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Border="1"/>
    <xf numFmtId="9" fontId="0" fillId="0" borderId="15" xfId="0" applyNumberFormat="1" applyBorder="1" applyAlignment="1">
      <alignment horizontal="center"/>
    </xf>
    <xf numFmtId="0" fontId="48" fillId="0" borderId="0" xfId="0" applyFont="1"/>
    <xf numFmtId="0" fontId="2" fillId="0" borderId="0" xfId="64" applyFont="1" applyFill="1" applyAlignment="1" applyProtection="1">
      <protection locked="0"/>
    </xf>
    <xf numFmtId="37" fontId="2" fillId="0" borderId="0" xfId="64" applyNumberFormat="1" applyFont="1" applyFill="1" applyAlignment="1" applyProtection="1">
      <protection locked="0"/>
    </xf>
    <xf numFmtId="0" fontId="3" fillId="0" borderId="0" xfId="64" applyFont="1" applyFill="1"/>
    <xf numFmtId="0" fontId="2" fillId="0" borderId="0" xfId="64" applyFont="1" applyFill="1"/>
    <xf numFmtId="37" fontId="2" fillId="0" borderId="0" xfId="64" applyNumberFormat="1" applyFont="1" applyFill="1"/>
    <xf numFmtId="164" fontId="3" fillId="0" borderId="0" xfId="64" applyNumberFormat="1" applyFont="1" applyFill="1"/>
    <xf numFmtId="37" fontId="2" fillId="0" borderId="0" xfId="64" applyNumberFormat="1" applyFont="1" applyFill="1" applyAlignment="1">
      <alignment horizontal="center"/>
    </xf>
    <xf numFmtId="39" fontId="2" fillId="0" borderId="0" xfId="64" applyNumberFormat="1" applyFont="1" applyFill="1" applyBorder="1" applyAlignment="1">
      <alignment horizontal="center"/>
    </xf>
    <xf numFmtId="39" fontId="2" fillId="0" borderId="0" xfId="64" quotePrefix="1" applyNumberFormat="1" applyFont="1" applyFill="1" applyBorder="1" applyAlignment="1">
      <alignment horizontal="center"/>
    </xf>
    <xf numFmtId="0" fontId="2" fillId="0" borderId="0" xfId="64" applyFont="1" applyFill="1" applyAlignment="1">
      <alignment horizontal="center"/>
    </xf>
    <xf numFmtId="37" fontId="2" fillId="0" borderId="0" xfId="64" quotePrefix="1" applyNumberFormat="1" applyFont="1" applyFill="1" applyAlignment="1">
      <alignment horizontal="center"/>
    </xf>
    <xf numFmtId="0" fontId="2" fillId="0" borderId="1" xfId="64" applyFont="1" applyFill="1" applyBorder="1" applyAlignment="1">
      <alignment horizontal="center"/>
    </xf>
    <xf numFmtId="0" fontId="2" fillId="0" borderId="0" xfId="64" applyFont="1" applyFill="1" applyBorder="1" applyAlignment="1">
      <alignment horizontal="center"/>
    </xf>
    <xf numFmtId="17" fontId="2" fillId="0" borderId="0" xfId="64" applyNumberFormat="1" applyFont="1" applyFill="1" applyBorder="1" applyAlignment="1">
      <alignment horizontal="center"/>
    </xf>
    <xf numFmtId="17" fontId="2" fillId="0" borderId="1" xfId="64" applyNumberFormat="1" applyFont="1" applyFill="1" applyBorder="1" applyAlignment="1">
      <alignment horizontal="center"/>
    </xf>
    <xf numFmtId="0" fontId="3" fillId="0" borderId="0" xfId="64" applyFont="1" applyFill="1" applyBorder="1"/>
    <xf numFmtId="37" fontId="3" fillId="0" borderId="0" xfId="64" applyNumberFormat="1" applyFont="1" applyFill="1"/>
    <xf numFmtId="37" fontId="2" fillId="0" borderId="0" xfId="64" applyNumberFormat="1" applyFont="1" applyFill="1" applyAlignment="1">
      <alignment horizontal="right"/>
    </xf>
    <xf numFmtId="37" fontId="3" fillId="0" borderId="0" xfId="64" applyNumberFormat="1" applyFont="1" applyFill="1" applyAlignment="1">
      <alignment horizontal="right"/>
    </xf>
    <xf numFmtId="5" fontId="0" fillId="0" borderId="0" xfId="279" applyNumberFormat="1" applyFont="1" applyFill="1"/>
    <xf numFmtId="0" fontId="2" fillId="0" borderId="0" xfId="64" quotePrefix="1" applyFont="1" applyFill="1" applyAlignment="1">
      <alignment horizontal="left"/>
    </xf>
    <xf numFmtId="0" fontId="2" fillId="0" borderId="0" xfId="64" applyFont="1" applyFill="1" applyBorder="1"/>
    <xf numFmtId="0" fontId="2" fillId="0" borderId="0" xfId="64" applyFont="1" applyFill="1" applyAlignment="1">
      <alignment horizontal="left"/>
    </xf>
    <xf numFmtId="3" fontId="3" fillId="0" borderId="0" xfId="64" applyNumberFormat="1" applyFont="1" applyFill="1"/>
    <xf numFmtId="167" fontId="3" fillId="0" borderId="0" xfId="64" applyNumberFormat="1" applyFont="1" applyFill="1"/>
    <xf numFmtId="5" fontId="0" fillId="0" borderId="2" xfId="279" applyNumberFormat="1" applyFont="1" applyFill="1" applyBorder="1"/>
    <xf numFmtId="3" fontId="3" fillId="0" borderId="2" xfId="2" applyNumberFormat="1" applyFont="1" applyFill="1" applyBorder="1"/>
    <xf numFmtId="3" fontId="3" fillId="0" borderId="0" xfId="2" applyNumberFormat="1" applyFont="1" applyFill="1"/>
    <xf numFmtId="3" fontId="3" fillId="0" borderId="0" xfId="64" applyNumberFormat="1" applyFont="1" applyFill="1" applyBorder="1"/>
    <xf numFmtId="3" fontId="3" fillId="0" borderId="2" xfId="2" applyNumberFormat="1" applyFont="1" applyFill="1" applyBorder="1" applyAlignment="1">
      <alignment horizontal="right"/>
    </xf>
    <xf numFmtId="164" fontId="3" fillId="0" borderId="0" xfId="85" applyNumberFormat="1" applyFont="1" applyFill="1" applyBorder="1"/>
    <xf numFmtId="41" fontId="3" fillId="0" borderId="0" xfId="85" applyNumberFormat="1" applyFont="1" applyFill="1" applyAlignment="1">
      <alignment horizontal="left" indent="1"/>
    </xf>
    <xf numFmtId="43" fontId="3" fillId="0" borderId="0" xfId="64" applyNumberFormat="1" applyFont="1" applyFill="1"/>
    <xf numFmtId="171" fontId="3" fillId="0" borderId="0" xfId="64" applyNumberFormat="1" applyFont="1" applyFill="1"/>
    <xf numFmtId="0" fontId="49" fillId="0" borderId="0" xfId="64" applyFont="1" applyFill="1"/>
    <xf numFmtId="9" fontId="0" fillId="0" borderId="0" xfId="0" applyNumberFormat="1" applyBorder="1" applyAlignment="1">
      <alignment horizontal="center"/>
    </xf>
    <xf numFmtId="171" fontId="3" fillId="0" borderId="0" xfId="2" applyNumberFormat="1" applyFont="1" applyFill="1"/>
    <xf numFmtId="43" fontId="3" fillId="0" borderId="0" xfId="85" applyFont="1" applyFill="1"/>
    <xf numFmtId="3" fontId="3" fillId="0" borderId="0" xfId="2" applyNumberFormat="1" applyFont="1" applyFill="1" applyBorder="1" applyAlignment="1">
      <alignment wrapText="1"/>
    </xf>
    <xf numFmtId="17" fontId="2" fillId="36" borderId="1" xfId="64" applyNumberFormat="1" applyFont="1" applyFill="1" applyBorder="1" applyAlignment="1">
      <alignment horizontal="center"/>
    </xf>
    <xf numFmtId="0" fontId="3" fillId="0" borderId="0" xfId="64" applyFont="1" applyFill="1" applyAlignment="1">
      <alignment horizontal="left"/>
    </xf>
    <xf numFmtId="3" fontId="49" fillId="0" borderId="0" xfId="64" applyNumberFormat="1" applyFont="1" applyFill="1"/>
    <xf numFmtId="0" fontId="50" fillId="0" borderId="0" xfId="0" applyFont="1"/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/>
    <xf numFmtId="0" fontId="14" fillId="0" borderId="0" xfId="0" applyFont="1" applyAlignment="1">
      <alignment vertical="center"/>
    </xf>
    <xf numFmtId="0" fontId="14" fillId="0" borderId="0" xfId="0" applyFont="1"/>
    <xf numFmtId="41" fontId="51" fillId="0" borderId="0" xfId="0" applyNumberFormat="1" applyFont="1" applyAlignment="1">
      <alignment horizontal="right"/>
    </xf>
    <xf numFmtId="164" fontId="51" fillId="0" borderId="0" xfId="85" applyNumberFormat="1" applyFont="1" applyAlignment="1">
      <alignment horizontal="right"/>
    </xf>
    <xf numFmtId="0" fontId="14" fillId="0" borderId="18" xfId="0" applyFont="1" applyBorder="1"/>
    <xf numFmtId="43" fontId="51" fillId="0" borderId="18" xfId="0" applyNumberFormat="1" applyFont="1" applyBorder="1" applyAlignment="1">
      <alignment horizontal="right"/>
    </xf>
    <xf numFmtId="0" fontId="51" fillId="0" borderId="18" xfId="0" applyFont="1" applyBorder="1" applyAlignment="1">
      <alignment horizontal="center"/>
    </xf>
    <xf numFmtId="170" fontId="50" fillId="0" borderId="19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0" fillId="35" borderId="16" xfId="0" applyFont="1" applyFill="1" applyBorder="1" applyAlignment="1">
      <alignment horizontal="center" wrapText="1"/>
    </xf>
    <xf numFmtId="0" fontId="40" fillId="35" borderId="17" xfId="0" applyFont="1" applyFill="1" applyBorder="1" applyAlignment="1">
      <alignment horizontal="center" wrapText="1"/>
    </xf>
    <xf numFmtId="0" fontId="2" fillId="0" borderId="0" xfId="0" applyFont="1" applyFill="1" applyAlignment="1" applyProtection="1">
      <alignment horizontal="center" vertical="center"/>
      <protection locked="0"/>
    </xf>
  </cellXfs>
  <cellStyles count="280">
    <cellStyle name="20% - Accent1" xfId="104" builtinId="30" customBuiltin="1"/>
    <cellStyle name="20% - Accent2" xfId="108" builtinId="34" customBuiltin="1"/>
    <cellStyle name="20% - Accent3" xfId="112" builtinId="38" customBuiltin="1"/>
    <cellStyle name="20% - Accent4" xfId="116" builtinId="42" customBuiltin="1"/>
    <cellStyle name="20% - Accent5" xfId="120" builtinId="46" customBuiltin="1"/>
    <cellStyle name="20% - Accent6" xfId="124" builtinId="50" customBuiltin="1"/>
    <cellStyle name="40% - Accent1" xfId="105" builtinId="31" customBuiltin="1"/>
    <cellStyle name="40% - Accent2" xfId="109" builtinId="35" customBuiltin="1"/>
    <cellStyle name="40% - Accent3" xfId="113" builtinId="39" customBuiltin="1"/>
    <cellStyle name="40% - Accent4" xfId="117" builtinId="43" customBuiltin="1"/>
    <cellStyle name="40% - Accent5" xfId="121" builtinId="47" customBuiltin="1"/>
    <cellStyle name="40% - Accent6" xfId="125" builtinId="51" customBuiltin="1"/>
    <cellStyle name="60% - Accent1" xfId="106" builtinId="32" customBuiltin="1"/>
    <cellStyle name="60% - Accent2" xfId="110" builtinId="36" customBuiltin="1"/>
    <cellStyle name="60% - Accent3" xfId="114" builtinId="40" customBuiltin="1"/>
    <cellStyle name="60% - Accent4" xfId="118" builtinId="44" customBuiltin="1"/>
    <cellStyle name="60% - Accent5" xfId="122" builtinId="48" customBuiltin="1"/>
    <cellStyle name="60% - Accent6" xfId="126" builtinId="52" customBuiltin="1"/>
    <cellStyle name="Accent1" xfId="103" builtinId="29" customBuiltin="1"/>
    <cellStyle name="Accent2" xfId="107" builtinId="33" customBuiltin="1"/>
    <cellStyle name="Accent3" xfId="111" builtinId="37" customBuiltin="1"/>
    <cellStyle name="Accent4" xfId="115" builtinId="41" customBuiltin="1"/>
    <cellStyle name="Accent5" xfId="119" builtinId="45" customBuiltin="1"/>
    <cellStyle name="Accent6" xfId="123" builtinId="49" customBuiltin="1"/>
    <cellStyle name="Bad" xfId="92" builtinId="27" customBuiltin="1"/>
    <cellStyle name="Calculation" xfId="96" builtinId="22" customBuiltin="1"/>
    <cellStyle name="Check Cell" xfId="98" builtinId="23" customBuiltin="1"/>
    <cellStyle name="Comma" xfId="85" builtinId="3"/>
    <cellStyle name="Comma 10" xfId="33"/>
    <cellStyle name="Comma 11" xfId="35"/>
    <cellStyle name="Comma 12" xfId="37"/>
    <cellStyle name="Comma 13" xfId="39"/>
    <cellStyle name="Comma 14" xfId="41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2" xfId="11"/>
    <cellStyle name="Comma 2 3" xfId="83"/>
    <cellStyle name="Comma 2 4" xfId="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2" xfId="158"/>
    <cellStyle name="Comma 3 2 2" xfId="178"/>
    <cellStyle name="Comma 3 2 3" xfId="232"/>
    <cellStyle name="Comma 3 3" xfId="177"/>
    <cellStyle name="Comma 3 4" xfId="231"/>
    <cellStyle name="Comma 3 5" xfId="136"/>
    <cellStyle name="Comma 30" xfId="75"/>
    <cellStyle name="Comma 31" xfId="77"/>
    <cellStyle name="Comma 32" xfId="79"/>
    <cellStyle name="Comma 33" xfId="9"/>
    <cellStyle name="Comma 4" xfId="21"/>
    <cellStyle name="Comma 4 2" xfId="170"/>
    <cellStyle name="Comma 4 2 2" xfId="179"/>
    <cellStyle name="Comma 4 2 3" xfId="233"/>
    <cellStyle name="Comma 4 3" xfId="176"/>
    <cellStyle name="Comma 4 4" xfId="226"/>
    <cellStyle name="Comma 4 5" xfId="230"/>
    <cellStyle name="Comma 5" xfId="23"/>
    <cellStyle name="Comma 5 2" xfId="173"/>
    <cellStyle name="Comma 5 2 2" xfId="181"/>
    <cellStyle name="Comma 5 2 3" xfId="235"/>
    <cellStyle name="Comma 5 3" xfId="180"/>
    <cellStyle name="Comma 5 4" xfId="234"/>
    <cellStyle name="Comma 6" xfId="25"/>
    <cellStyle name="Comma 7" xfId="27"/>
    <cellStyle name="Comma 8" xfId="29"/>
    <cellStyle name="Comma 9" xfId="31"/>
    <cellStyle name="Currency 2" xfId="3"/>
    <cellStyle name="Currency 2 2" xfId="82"/>
    <cellStyle name="Currency 2 3" xfId="13"/>
    <cellStyle name="Currency 3" xfId="18"/>
    <cellStyle name="Currency 3 2" xfId="159"/>
    <cellStyle name="Currency 3 2 2" xfId="183"/>
    <cellStyle name="Currency 3 2 3" xfId="237"/>
    <cellStyle name="Currency 3 3" xfId="182"/>
    <cellStyle name="Currency 3 4" xfId="236"/>
    <cellStyle name="Currency 3 5" xfId="137"/>
    <cellStyle name="Currency 4" xfId="12"/>
    <cellStyle name="Explanatory Text" xfId="101" builtinId="53" customBuiltin="1"/>
    <cellStyle name="General" xfId="4"/>
    <cellStyle name="Good" xfId="91" builtinId="26" customBuiltin="1"/>
    <cellStyle name="Heading 1" xfId="87" builtinId="16" customBuiltin="1"/>
    <cellStyle name="Heading 2" xfId="88" builtinId="17" customBuiltin="1"/>
    <cellStyle name="Heading 3" xfId="89" builtinId="18" customBuiltin="1"/>
    <cellStyle name="Heading 4" xfId="90" builtinId="19" customBuiltin="1"/>
    <cellStyle name="Hyperlink 2" xfId="129"/>
    <cellStyle name="Input" xfId="94" builtinId="20" customBuiltin="1"/>
    <cellStyle name="Linked Cell" xfId="97" builtinId="24" customBuiltin="1"/>
    <cellStyle name="Neutral" xfId="93" builtinId="28" customBuiltin="1"/>
    <cellStyle name="nONE" xfId="5"/>
    <cellStyle name="Normal" xfId="0" builtinId="0"/>
    <cellStyle name="Normal 10" xfId="32"/>
    <cellStyle name="Normal 11" xfId="34"/>
    <cellStyle name="Normal 12" xfId="36"/>
    <cellStyle name="Normal 13" xfId="38"/>
    <cellStyle name="Normal 14" xfId="40"/>
    <cellStyle name="Normal 15" xfId="42"/>
    <cellStyle name="Normal 16" xfId="44"/>
    <cellStyle name="Normal 17" xfId="46"/>
    <cellStyle name="Normal 18" xfId="48"/>
    <cellStyle name="Normal 19" xfId="50"/>
    <cellStyle name="Normal 2" xfId="1"/>
    <cellStyle name="Normal 2 2" xfId="64"/>
    <cellStyle name="Normal 2 2 2" xfId="134"/>
    <cellStyle name="Normal 2 2 2 2" xfId="144"/>
    <cellStyle name="Normal 2 2 2 2 2" xfId="166"/>
    <cellStyle name="Normal 2 2 2 2 2 2" xfId="188"/>
    <cellStyle name="Normal 2 2 2 2 2 3" xfId="242"/>
    <cellStyle name="Normal 2 2 2 2 3" xfId="187"/>
    <cellStyle name="Normal 2 2 2 2 4" xfId="241"/>
    <cellStyle name="Normal 2 2 2 3" xfId="155"/>
    <cellStyle name="Normal 2 2 2 3 2" xfId="189"/>
    <cellStyle name="Normal 2 2 2 3 3" xfId="243"/>
    <cellStyle name="Normal 2 2 2 4" xfId="186"/>
    <cellStyle name="Normal 2 2 2 5" xfId="240"/>
    <cellStyle name="Normal 2 2 3" xfId="140"/>
    <cellStyle name="Normal 2 2 3 2" xfId="162"/>
    <cellStyle name="Normal 2 2 3 2 2" xfId="191"/>
    <cellStyle name="Normal 2 2 3 2 3" xfId="245"/>
    <cellStyle name="Normal 2 2 3 3" xfId="190"/>
    <cellStyle name="Normal 2 2 3 4" xfId="244"/>
    <cellStyle name="Normal 2 2 4" xfId="151"/>
    <cellStyle name="Normal 2 2 4 2" xfId="192"/>
    <cellStyle name="Normal 2 2 4 3" xfId="246"/>
    <cellStyle name="Normal 2 2 5" xfId="185"/>
    <cellStyle name="Normal 2 2 6" xfId="239"/>
    <cellStyle name="Normal 2 2 7" xfId="130"/>
    <cellStyle name="Normal 2 3" xfId="84"/>
    <cellStyle name="Normal 2 3 2" xfId="142"/>
    <cellStyle name="Normal 2 3 2 2" xfId="164"/>
    <cellStyle name="Normal 2 3 2 2 2" xfId="195"/>
    <cellStyle name="Normal 2 3 2 2 3" xfId="249"/>
    <cellStyle name="Normal 2 3 2 3" xfId="194"/>
    <cellStyle name="Normal 2 3 2 4" xfId="248"/>
    <cellStyle name="Normal 2 3 3" xfId="153"/>
    <cellStyle name="Normal 2 3 3 2" xfId="196"/>
    <cellStyle name="Normal 2 3 3 3" xfId="250"/>
    <cellStyle name="Normal 2 3 4" xfId="193"/>
    <cellStyle name="Normal 2 3 5" xfId="247"/>
    <cellStyle name="Normal 2 3 6" xfId="132"/>
    <cellStyle name="Normal 2 4" xfId="14"/>
    <cellStyle name="Normal 2 4 2" xfId="160"/>
    <cellStyle name="Normal 2 4 2 2" xfId="198"/>
    <cellStyle name="Normal 2 4 2 3" xfId="252"/>
    <cellStyle name="Normal 2 4 3" xfId="197"/>
    <cellStyle name="Normal 2 4 4" xfId="251"/>
    <cellStyle name="Normal 2 5" xfId="147"/>
    <cellStyle name="Normal 2 6" xfId="149"/>
    <cellStyle name="Normal 2 6 2" xfId="199"/>
    <cellStyle name="Normal 2 6 3" xfId="253"/>
    <cellStyle name="Normal 2 7" xfId="184"/>
    <cellStyle name="Normal 2 8" xfId="238"/>
    <cellStyle name="Normal 20" xfId="52"/>
    <cellStyle name="Normal 21" xfId="54"/>
    <cellStyle name="Normal 22" xfId="56"/>
    <cellStyle name="Normal 23" xfId="58"/>
    <cellStyle name="Normal 24" xfId="60"/>
    <cellStyle name="Normal 25" xfId="62"/>
    <cellStyle name="Normal 26" xfId="66"/>
    <cellStyle name="Normal 27" xfId="68"/>
    <cellStyle name="Normal 28" xfId="70"/>
    <cellStyle name="Normal 29" xfId="72"/>
    <cellStyle name="Normal 3" xfId="15"/>
    <cellStyle name="Normal 3 2" xfId="80"/>
    <cellStyle name="Normal 3 2 2" xfId="135"/>
    <cellStyle name="Normal 3 2 2 2" xfId="145"/>
    <cellStyle name="Normal 3 2 2 2 2" xfId="167"/>
    <cellStyle name="Normal 3 2 2 2 2 2" xfId="204"/>
    <cellStyle name="Normal 3 2 2 2 2 3" xfId="258"/>
    <cellStyle name="Normal 3 2 2 2 3" xfId="203"/>
    <cellStyle name="Normal 3 2 2 2 4" xfId="257"/>
    <cellStyle name="Normal 3 2 2 3" xfId="156"/>
    <cellStyle name="Normal 3 2 2 3 2" xfId="205"/>
    <cellStyle name="Normal 3 2 2 3 3" xfId="259"/>
    <cellStyle name="Normal 3 2 2 4" xfId="202"/>
    <cellStyle name="Normal 3 2 2 5" xfId="256"/>
    <cellStyle name="Normal 3 2 3" xfId="141"/>
    <cellStyle name="Normal 3 2 3 2" xfId="163"/>
    <cellStyle name="Normal 3 2 3 2 2" xfId="207"/>
    <cellStyle name="Normal 3 2 3 2 3" xfId="261"/>
    <cellStyle name="Normal 3 2 3 3" xfId="206"/>
    <cellStyle name="Normal 3 2 3 4" xfId="260"/>
    <cellStyle name="Normal 3 2 4" xfId="152"/>
    <cellStyle name="Normal 3 2 4 2" xfId="208"/>
    <cellStyle name="Normal 3 2 4 3" xfId="262"/>
    <cellStyle name="Normal 3 2 5" xfId="201"/>
    <cellStyle name="Normal 3 2 6" xfId="255"/>
    <cellStyle name="Normal 3 2 7" xfId="131"/>
    <cellStyle name="Normal 3 3" xfId="133"/>
    <cellStyle name="Normal 3 3 2" xfId="143"/>
    <cellStyle name="Normal 3 3 2 2" xfId="165"/>
    <cellStyle name="Normal 3 3 2 2 2" xfId="211"/>
    <cellStyle name="Normal 3 3 2 2 3" xfId="265"/>
    <cellStyle name="Normal 3 3 2 3" xfId="210"/>
    <cellStyle name="Normal 3 3 2 4" xfId="264"/>
    <cellStyle name="Normal 3 3 3" xfId="154"/>
    <cellStyle name="Normal 3 3 3 2" xfId="212"/>
    <cellStyle name="Normal 3 3 3 3" xfId="266"/>
    <cellStyle name="Normal 3 3 4" xfId="209"/>
    <cellStyle name="Normal 3 3 5" xfId="263"/>
    <cellStyle name="Normal 3 4" xfId="139"/>
    <cellStyle name="Normal 3 4 2" xfId="161"/>
    <cellStyle name="Normal 3 4 2 2" xfId="214"/>
    <cellStyle name="Normal 3 4 2 3" xfId="268"/>
    <cellStyle name="Normal 3 4 3" xfId="213"/>
    <cellStyle name="Normal 3 4 4" xfId="267"/>
    <cellStyle name="Normal 3 5" xfId="150"/>
    <cellStyle name="Normal 3 5 2" xfId="215"/>
    <cellStyle name="Normal 3 5 3" xfId="269"/>
    <cellStyle name="Normal 3 6" xfId="200"/>
    <cellStyle name="Normal 3 7" xfId="254"/>
    <cellStyle name="Normal 3 8" xfId="128"/>
    <cellStyle name="Normal 30" xfId="74"/>
    <cellStyle name="Normal 31" xfId="76"/>
    <cellStyle name="Normal 32" xfId="78"/>
    <cellStyle name="Normal 33" xfId="8"/>
    <cellStyle name="Normal 4" xfId="20"/>
    <cellStyle name="Normal 4 2" xfId="138"/>
    <cellStyle name="Normal 5" xfId="22"/>
    <cellStyle name="Normal 5 2" xfId="157"/>
    <cellStyle name="Normal 5 2 2" xfId="217"/>
    <cellStyle name="Normal 5 2 3" xfId="271"/>
    <cellStyle name="Normal 5 3" xfId="216"/>
    <cellStyle name="Normal 5 4" xfId="270"/>
    <cellStyle name="Normal 6" xfId="24"/>
    <cellStyle name="Normal 6 2" xfId="168"/>
    <cellStyle name="Normal 6 2 2" xfId="218"/>
    <cellStyle name="Normal 6 2 3" xfId="272"/>
    <cellStyle name="Normal 6 3" xfId="174"/>
    <cellStyle name="Normal 6 4" xfId="224"/>
    <cellStyle name="Normal 6 5" xfId="228"/>
    <cellStyle name="Normal 7" xfId="26"/>
    <cellStyle name="Normal 7 2" xfId="172"/>
    <cellStyle name="Normal 7 2 2" xfId="220"/>
    <cellStyle name="Normal 7 2 3" xfId="274"/>
    <cellStyle name="Normal 7 3" xfId="219"/>
    <cellStyle name="Normal 7 4" xfId="227"/>
    <cellStyle name="Normal 7 5" xfId="273"/>
    <cellStyle name="Normal 8" xfId="28"/>
    <cellStyle name="Normal 9" xfId="30"/>
    <cellStyle name="Note" xfId="100" builtinId="10" customBuiltin="1"/>
    <cellStyle name="Output" xfId="95" builtinId="21" customBuiltin="1"/>
    <cellStyle name="Percent" xfId="279" builtinId="5"/>
    <cellStyle name="Percent 2" xfId="6"/>
    <cellStyle name="Percent 2 2" xfId="81"/>
    <cellStyle name="Percent 2 3" xfId="65"/>
    <cellStyle name="Percent 3" xfId="16"/>
    <cellStyle name="Percent 3 2" xfId="169"/>
    <cellStyle name="Percent 3 2 2" xfId="221"/>
    <cellStyle name="Percent 3 2 3" xfId="275"/>
    <cellStyle name="Percent 3 3" xfId="175"/>
    <cellStyle name="Percent 3 4" xfId="225"/>
    <cellStyle name="Percent 3 5" xfId="229"/>
    <cellStyle name="Percent 3 6" xfId="146"/>
    <cellStyle name="Percent 4" xfId="148"/>
    <cellStyle name="Percent 4 2" xfId="171"/>
    <cellStyle name="Percent 4 2 2" xfId="223"/>
    <cellStyle name="Percent 4 2 3" xfId="277"/>
    <cellStyle name="Percent 4 3" xfId="222"/>
    <cellStyle name="Percent 4 4" xfId="276"/>
    <cellStyle name="Percent 5" xfId="278"/>
    <cellStyle name="Title" xfId="86" builtinId="15" customBuiltin="1"/>
    <cellStyle name="Total" xfId="102" builtinId="25" customBuiltin="1"/>
    <cellStyle name="TRANSMISSION RELIABILITY PORTION OF PROJECT" xfId="7"/>
    <cellStyle name="TRANSMISSION RELIABILITY PORTION OF PROJECT 2" xfId="17"/>
    <cellStyle name="TRANSMISSION RELIABILITY PORTION OF PROJECT 2 2" xfId="127"/>
    <cellStyle name="Warning Text" xfId="9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n-lt"/>
                <a:cs typeface="Times New Roman" pitchFamily="18" charset="0"/>
              </a:defRPr>
            </a:pPr>
            <a:r>
              <a:rPr lang="en-US">
                <a:latin typeface="+mn-lt"/>
                <a:cs typeface="Times New Roman" pitchFamily="18" charset="0"/>
              </a:rPr>
              <a:t>2017 Utah Irrigation Load Reduction Potential</a:t>
            </a:r>
            <a:r>
              <a:rPr lang="en-US" baseline="0">
                <a:latin typeface="+mn-lt"/>
                <a:cs typeface="Times New Roman" pitchFamily="18" charset="0"/>
              </a:rPr>
              <a:t> </a:t>
            </a:r>
            <a:r>
              <a:rPr lang="en-US">
                <a:latin typeface="+mn-lt"/>
                <a:cs typeface="Times New Roman" pitchFamily="18" charset="0"/>
              </a:rPr>
              <a:t>Forecast</a:t>
            </a:r>
          </a:p>
        </c:rich>
      </c:tx>
      <c:layout>
        <c:manualLayout>
          <c:xMode val="edge"/>
          <c:yMode val="edge"/>
          <c:x val="0.14856989441205345"/>
          <c:y val="1.8348623853211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12620464426677"/>
          <c:y val="0.17149100628476485"/>
          <c:w val="0.62975527591761338"/>
          <c:h val="0.729864672879193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'[3]Utah Forecast'!$A$5</c:f>
              <c:strCache>
                <c:ptCount val="1"/>
                <c:pt idx="0">
                  <c:v>Estimated Load Reduction (2017)</c:v>
                </c:pt>
              </c:strCache>
            </c:strRef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'[3]Utah Forecast'!$B$4:$M$4</c:f>
              <c:numCache>
                <c:formatCode>General</c:formatCode>
                <c:ptCount val="12"/>
                <c:pt idx="0">
                  <c:v>42519</c:v>
                </c:pt>
                <c:pt idx="1">
                  <c:v>42526</c:v>
                </c:pt>
                <c:pt idx="2">
                  <c:v>42533</c:v>
                </c:pt>
                <c:pt idx="3">
                  <c:v>42540</c:v>
                </c:pt>
                <c:pt idx="4">
                  <c:v>42547</c:v>
                </c:pt>
                <c:pt idx="5">
                  <c:v>42554</c:v>
                </c:pt>
                <c:pt idx="6">
                  <c:v>42561</c:v>
                </c:pt>
                <c:pt idx="7">
                  <c:v>42568</c:v>
                </c:pt>
                <c:pt idx="8">
                  <c:v>42575</c:v>
                </c:pt>
                <c:pt idx="9">
                  <c:v>42582</c:v>
                </c:pt>
                <c:pt idx="10">
                  <c:v>42589</c:v>
                </c:pt>
                <c:pt idx="11">
                  <c:v>42596</c:v>
                </c:pt>
              </c:numCache>
            </c:numRef>
          </c:xVal>
          <c:yVal>
            <c:numRef>
              <c:f>'[3]Utah Forecast'!$B$5:$M$5</c:f>
              <c:numCache>
                <c:formatCode>General</c:formatCode>
                <c:ptCount val="12"/>
                <c:pt idx="0">
                  <c:v>12.710963079016098</c:v>
                </c:pt>
                <c:pt idx="1">
                  <c:v>12.171865018352971</c:v>
                </c:pt>
                <c:pt idx="2">
                  <c:v>13.2256652859566</c:v>
                </c:pt>
                <c:pt idx="3">
                  <c:v>15.553259995091805</c:v>
                </c:pt>
                <c:pt idx="4">
                  <c:v>18.400156719896948</c:v>
                </c:pt>
                <c:pt idx="5">
                  <c:v>17.920650094417905</c:v>
                </c:pt>
                <c:pt idx="6">
                  <c:v>16.913503730366397</c:v>
                </c:pt>
                <c:pt idx="7">
                  <c:v>16.645917137760424</c:v>
                </c:pt>
                <c:pt idx="8">
                  <c:v>17.908658443746681</c:v>
                </c:pt>
                <c:pt idx="9">
                  <c:v>17.582245169215007</c:v>
                </c:pt>
                <c:pt idx="10">
                  <c:v>16.344569148504331</c:v>
                </c:pt>
                <c:pt idx="11">
                  <c:v>16.456569133116275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12736"/>
        <c:axId val="130005656"/>
      </c:scatterChart>
      <c:valAx>
        <c:axId val="187012736"/>
        <c:scaling>
          <c:orientation val="minMax"/>
          <c:min val="4251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7433968463865683"/>
              <c:y val="0.95350140865419342"/>
            </c:manualLayout>
          </c:layout>
          <c:overlay val="0"/>
        </c:title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  <a:cs typeface="Times New Roman" pitchFamily="18" charset="0"/>
              </a:defRPr>
            </a:pPr>
            <a:endParaRPr lang="en-US"/>
          </a:p>
        </c:txPr>
        <c:crossAx val="130005656"/>
        <c:crosses val="autoZero"/>
        <c:crossBetween val="midCat"/>
        <c:majorUnit val="7"/>
      </c:valAx>
      <c:valAx>
        <c:axId val="130005656"/>
        <c:scaling>
          <c:orientation val="minMax"/>
          <c:max val="22"/>
          <c:min val="8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MegaWatts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  <a:cs typeface="Times New Roman" pitchFamily="18" charset="0"/>
              </a:defRPr>
            </a:pPr>
            <a:endParaRPr lang="en-US"/>
          </a:p>
        </c:txPr>
        <c:crossAx val="187012736"/>
        <c:crossesAt val="42511"/>
        <c:crossBetween val="midCat"/>
      </c:valAx>
    </c:plotArea>
    <c:legend>
      <c:legendPos val="r"/>
      <c:layout>
        <c:manualLayout>
          <c:xMode val="edge"/>
          <c:yMode val="edge"/>
          <c:x val="0.81379900756011714"/>
          <c:y val="0.350028449194071"/>
          <c:w val="0.18620099243988342"/>
          <c:h val="0.278426306743345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11</xdr:row>
      <xdr:rowOff>47625</xdr:rowOff>
    </xdr:from>
    <xdr:to>
      <xdr:col>13</xdr:col>
      <xdr:colOff>9525</xdr:colOff>
      <xdr:row>34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SM\Program%20Mgmt\UT\Filings\0.collections\Nov%202015%20UT%20DSM%20Proj%20Exp%20(Cal%20Yr%202016)\Utah%20Nov%201%20Class%202%20Capacity%20Impact%20Estimator%20v2%20for%20present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96776\AppData\Local\Microsoft\Windows\Temporary%20Internet%20Files\Content.Outlook\G03OXY53\2017%20UT%20Irrigation%20Load%20Control%20Forecast%20at%20Gen%20101816%20S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ings Forecast - Attachment 1"/>
      <sheetName val="Calculations"/>
      <sheetName val="IRP Tables"/>
      <sheetName val="IRP Peak Capacity by Load Bubbl"/>
    </sheetNames>
    <sheetDataSet>
      <sheetData sheetId="0"/>
      <sheetData sheetId="1">
        <row r="9">
          <cell r="D9">
            <v>333400</v>
          </cell>
        </row>
        <row r="18">
          <cell r="D18">
            <v>84.4</v>
          </cell>
        </row>
        <row r="19">
          <cell r="D19">
            <v>4.57</v>
          </cell>
        </row>
        <row r="20">
          <cell r="D20">
            <v>9.92</v>
          </cell>
        </row>
        <row r="25">
          <cell r="D25">
            <v>73.859999999999985</v>
          </cell>
        </row>
      </sheetData>
      <sheetData sheetId="2"/>
      <sheetData sheetId="3">
        <row r="12">
          <cell r="C12">
            <v>109.49999999999999</v>
          </cell>
          <cell r="D12">
            <v>172.56999999999996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ah Forecast"/>
      <sheetName val="Sheet3"/>
    </sheetNames>
    <sheetDataSet>
      <sheetData sheetId="0">
        <row r="4">
          <cell r="B4">
            <v>42519</v>
          </cell>
          <cell r="C4">
            <v>42526</v>
          </cell>
          <cell r="D4">
            <v>42533</v>
          </cell>
          <cell r="E4">
            <v>42540</v>
          </cell>
          <cell r="F4">
            <v>42547</v>
          </cell>
          <cell r="G4">
            <v>42554</v>
          </cell>
          <cell r="H4">
            <v>42561</v>
          </cell>
          <cell r="I4">
            <v>42568</v>
          </cell>
          <cell r="J4">
            <v>42575</v>
          </cell>
          <cell r="K4">
            <v>42582</v>
          </cell>
          <cell r="L4">
            <v>42589</v>
          </cell>
          <cell r="M4">
            <v>42596</v>
          </cell>
        </row>
        <row r="5">
          <cell r="A5" t="str">
            <v>Estimated Load Reduction (2017)</v>
          </cell>
          <cell r="B5">
            <v>12.710963079016098</v>
          </cell>
          <cell r="C5">
            <v>12.171865018352971</v>
          </cell>
          <cell r="D5">
            <v>13.2256652859566</v>
          </cell>
          <cell r="E5">
            <v>15.553259995091805</v>
          </cell>
          <cell r="F5">
            <v>18.400156719896948</v>
          </cell>
          <cell r="G5">
            <v>17.920650094417905</v>
          </cell>
          <cell r="H5">
            <v>16.913503730366397</v>
          </cell>
          <cell r="I5">
            <v>16.645917137760424</v>
          </cell>
          <cell r="J5">
            <v>17.908658443746681</v>
          </cell>
          <cell r="K5">
            <v>17.582245169215007</v>
          </cell>
          <cell r="L5">
            <v>16.344569148504331</v>
          </cell>
          <cell r="M5">
            <v>16.456569133116275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activeCell="L26" sqref="L26"/>
    </sheetView>
  </sheetViews>
  <sheetFormatPr defaultRowHeight="15"/>
  <cols>
    <col min="1" max="1" width="64.5703125" customWidth="1"/>
    <col min="2" max="2" width="8.5703125" style="122" bestFit="1" customWidth="1"/>
    <col min="3" max="3" width="10.7109375" style="69" customWidth="1"/>
    <col min="4" max="4" width="2.5703125" style="123" customWidth="1"/>
    <col min="5" max="6" width="10.5703125" style="69" customWidth="1"/>
  </cols>
  <sheetData>
    <row r="1" spans="1:7" ht="15.75">
      <c r="A1" s="192" t="s">
        <v>57</v>
      </c>
      <c r="B1" s="192"/>
      <c r="C1" s="192"/>
      <c r="D1" s="192"/>
      <c r="E1" s="192"/>
      <c r="F1" s="192"/>
    </row>
    <row r="2" spans="1:7" ht="15.75">
      <c r="A2" s="193" t="s">
        <v>103</v>
      </c>
      <c r="B2" s="194"/>
      <c r="C2" s="194"/>
      <c r="D2" s="194"/>
      <c r="E2" s="194"/>
      <c r="F2" s="194"/>
      <c r="G2" s="134"/>
    </row>
    <row r="3" spans="1:7">
      <c r="A3" s="72"/>
      <c r="B3" s="73"/>
      <c r="C3" s="74"/>
      <c r="D3" s="75"/>
      <c r="E3" s="74"/>
      <c r="F3" s="74"/>
      <c r="G3" s="70"/>
    </row>
    <row r="4" spans="1:7" ht="29.25" customHeight="1">
      <c r="A4" s="76"/>
      <c r="B4" s="195" t="s">
        <v>58</v>
      </c>
      <c r="C4" s="196"/>
      <c r="D4" s="77"/>
      <c r="E4" s="195" t="s">
        <v>59</v>
      </c>
      <c r="F4" s="196"/>
      <c r="G4" s="70"/>
    </row>
    <row r="5" spans="1:7">
      <c r="A5" s="76"/>
      <c r="B5" s="78" t="s">
        <v>60</v>
      </c>
      <c r="C5" s="78" t="s">
        <v>61</v>
      </c>
      <c r="D5" s="79"/>
      <c r="E5" s="78" t="s">
        <v>60</v>
      </c>
      <c r="F5" s="78" t="s">
        <v>61</v>
      </c>
      <c r="G5" s="70"/>
    </row>
    <row r="6" spans="1:7">
      <c r="A6" s="76"/>
      <c r="B6" s="78">
        <v>2017</v>
      </c>
      <c r="C6" s="78">
        <f>B6</f>
        <v>2017</v>
      </c>
      <c r="D6" s="79"/>
      <c r="E6" s="80">
        <f>B6</f>
        <v>2017</v>
      </c>
      <c r="F6" s="81">
        <f>B6</f>
        <v>2017</v>
      </c>
      <c r="G6" s="70"/>
    </row>
    <row r="7" spans="1:7">
      <c r="A7" s="71" t="s">
        <v>62</v>
      </c>
      <c r="B7" s="82"/>
      <c r="C7" s="83"/>
      <c r="D7" s="84"/>
      <c r="E7" s="85"/>
      <c r="F7" s="86"/>
      <c r="G7" s="70"/>
    </row>
    <row r="8" spans="1:7">
      <c r="A8" s="87" t="s">
        <v>63</v>
      </c>
      <c r="B8" s="82"/>
      <c r="C8" s="88">
        <v>115</v>
      </c>
      <c r="D8" s="89"/>
      <c r="E8" s="86"/>
      <c r="F8" s="88">
        <v>115</v>
      </c>
      <c r="G8" s="70"/>
    </row>
    <row r="9" spans="1:7">
      <c r="A9" s="87" t="s">
        <v>64</v>
      </c>
      <c r="B9" s="90"/>
      <c r="C9" s="91">
        <v>20</v>
      </c>
      <c r="D9" s="92"/>
      <c r="E9" s="91"/>
      <c r="F9" s="91">
        <v>20</v>
      </c>
      <c r="G9" s="70"/>
    </row>
    <row r="10" spans="1:7" ht="15.75" thickBot="1">
      <c r="A10" s="93" t="s">
        <v>65</v>
      </c>
      <c r="B10" s="94"/>
      <c r="C10" s="95">
        <f>SUM(C8:C9)</f>
        <v>135</v>
      </c>
      <c r="D10" s="92"/>
      <c r="E10" s="95"/>
      <c r="F10" s="95">
        <f>SUM(F8:F9)</f>
        <v>135</v>
      </c>
      <c r="G10" s="70"/>
    </row>
    <row r="11" spans="1:7" ht="15.75" thickTop="1">
      <c r="A11" s="72"/>
      <c r="B11" s="96"/>
      <c r="C11" s="85"/>
      <c r="D11" s="97"/>
      <c r="E11" s="85"/>
      <c r="F11" s="86"/>
      <c r="G11" s="70"/>
    </row>
    <row r="12" spans="1:7">
      <c r="A12" s="98" t="s">
        <v>66</v>
      </c>
      <c r="B12" s="96"/>
      <c r="C12" s="99"/>
      <c r="D12" s="97"/>
      <c r="E12" s="85"/>
      <c r="F12" s="86"/>
      <c r="G12" s="70"/>
    </row>
    <row r="13" spans="1:7">
      <c r="A13" s="100" t="s">
        <v>1</v>
      </c>
      <c r="B13" s="101">
        <v>250</v>
      </c>
      <c r="C13" s="89">
        <f>B13/$B$32*$B$33/$B$34*$B$35</f>
        <v>4.7268713918253859E-2</v>
      </c>
      <c r="D13" s="102"/>
      <c r="E13" s="88" t="s">
        <v>67</v>
      </c>
      <c r="F13" s="88" t="s">
        <v>67</v>
      </c>
      <c r="G13" s="70"/>
    </row>
    <row r="14" spans="1:7">
      <c r="A14" s="100" t="s">
        <v>2</v>
      </c>
      <c r="B14" s="101">
        <v>1366</v>
      </c>
      <c r="C14" s="89">
        <f t="shared" ref="C14:C16" si="0">B14/$B$32*$B$33/$B$34*$B$35</f>
        <v>0.25827625284933908</v>
      </c>
      <c r="D14" s="102"/>
      <c r="E14" s="88" t="s">
        <v>67</v>
      </c>
      <c r="F14" s="88" t="s">
        <v>67</v>
      </c>
      <c r="G14" s="70"/>
    </row>
    <row r="15" spans="1:7">
      <c r="A15" s="100" t="s">
        <v>68</v>
      </c>
      <c r="B15" s="101">
        <v>53566</v>
      </c>
      <c r="C15" s="89">
        <f t="shared" si="0"/>
        <v>10.127983718980746</v>
      </c>
      <c r="D15" s="102"/>
      <c r="E15" s="88" t="s">
        <v>67</v>
      </c>
      <c r="F15" s="88" t="s">
        <v>67</v>
      </c>
      <c r="G15" s="70"/>
    </row>
    <row r="16" spans="1:7">
      <c r="A16" s="100" t="s">
        <v>69</v>
      </c>
      <c r="B16" s="101">
        <v>76874</v>
      </c>
      <c r="C16" s="88">
        <f t="shared" si="0"/>
        <v>14.534940455007391</v>
      </c>
      <c r="D16" s="102"/>
      <c r="E16" s="88" t="s">
        <v>67</v>
      </c>
      <c r="F16" s="88" t="s">
        <v>67</v>
      </c>
      <c r="G16" s="70"/>
    </row>
    <row r="17" spans="1:9">
      <c r="A17" s="93" t="s">
        <v>70</v>
      </c>
      <c r="B17" s="103">
        <f>SUM(B13:B16)</f>
        <v>132056</v>
      </c>
      <c r="C17" s="104">
        <f>SUM(C13:C16)</f>
        <v>24.96846914075573</v>
      </c>
      <c r="D17" s="105"/>
      <c r="E17" s="104" t="s">
        <v>67</v>
      </c>
      <c r="F17" s="104" t="s">
        <v>67</v>
      </c>
      <c r="G17" s="70"/>
    </row>
    <row r="18" spans="1:9">
      <c r="A18" s="106"/>
      <c r="B18" s="107"/>
      <c r="C18" s="86"/>
      <c r="D18" s="97"/>
      <c r="E18" s="86"/>
      <c r="F18" s="86"/>
      <c r="G18" s="70"/>
    </row>
    <row r="19" spans="1:9">
      <c r="A19" s="108" t="s">
        <v>71</v>
      </c>
      <c r="B19" s="107"/>
      <c r="C19" s="109"/>
      <c r="D19" s="97"/>
      <c r="E19" s="86"/>
      <c r="F19" s="86"/>
      <c r="G19" s="70"/>
    </row>
    <row r="20" spans="1:9">
      <c r="A20" s="100" t="s">
        <v>42</v>
      </c>
      <c r="B20" s="101">
        <v>251954</v>
      </c>
      <c r="C20" s="88">
        <f t="shared" ref="C20" si="1">B20/$B$32*$B$33/$B$34*$B$35</f>
        <v>47.638166186238927</v>
      </c>
      <c r="D20" s="102"/>
      <c r="E20" s="88" t="s">
        <v>67</v>
      </c>
      <c r="F20" s="88" t="s">
        <v>67</v>
      </c>
      <c r="G20" s="70"/>
    </row>
    <row r="21" spans="1:9">
      <c r="A21" s="93" t="s">
        <v>72</v>
      </c>
      <c r="B21" s="110">
        <f>SUM(B20:B20)</f>
        <v>251954</v>
      </c>
      <c r="C21" s="111">
        <f>C20</f>
        <v>47.638166186238927</v>
      </c>
      <c r="D21" s="105"/>
      <c r="E21" s="104" t="s">
        <v>67</v>
      </c>
      <c r="F21" s="104" t="s">
        <v>67</v>
      </c>
      <c r="G21" s="70"/>
    </row>
    <row r="22" spans="1:9">
      <c r="A22" s="112"/>
      <c r="B22" s="102"/>
      <c r="C22" s="89"/>
      <c r="D22" s="84"/>
      <c r="E22" s="109"/>
      <c r="F22" s="109"/>
      <c r="G22" s="70"/>
    </row>
    <row r="23" spans="1:9" ht="15.75" thickBot="1">
      <c r="A23" s="98" t="s">
        <v>73</v>
      </c>
      <c r="B23" s="113">
        <f>B21+B17</f>
        <v>384010</v>
      </c>
      <c r="C23" s="114">
        <f>C21+C17</f>
        <v>72.606635326994649</v>
      </c>
      <c r="D23" s="102"/>
      <c r="E23" s="115">
        <f>B32</f>
        <v>333400</v>
      </c>
      <c r="F23" s="115">
        <f>'[2]IRP Peak Capacity by Load Bubbl'!$D$12-'[2]IRP Peak Capacity by Load Bubbl'!$C$12</f>
        <v>63.069999999999979</v>
      </c>
      <c r="G23" s="70"/>
    </row>
    <row r="24" spans="1:9" ht="24" customHeight="1" thickTop="1">
      <c r="A24" s="98" t="s">
        <v>74</v>
      </c>
      <c r="B24" s="102">
        <f>B23-B15</f>
        <v>330444</v>
      </c>
      <c r="C24" s="116">
        <f t="shared" ref="C24" si="2">B24/$B$32*$B$33/$B$34*$B$35</f>
        <v>62.478651608013912</v>
      </c>
      <c r="D24" s="102"/>
      <c r="E24" s="109"/>
      <c r="F24" s="109"/>
      <c r="G24" s="70"/>
    </row>
    <row r="25" spans="1:9">
      <c r="A25" s="73"/>
      <c r="B25" s="73"/>
      <c r="C25" s="74"/>
      <c r="D25" s="75"/>
      <c r="E25" s="117"/>
      <c r="F25" s="74"/>
      <c r="G25" s="70"/>
    </row>
    <row r="26" spans="1:9">
      <c r="A26" s="177" t="s">
        <v>37</v>
      </c>
      <c r="B26" s="178"/>
      <c r="C26" s="179"/>
      <c r="D26" s="118"/>
      <c r="E26" s="74"/>
      <c r="F26" s="74"/>
      <c r="G26" s="70"/>
    </row>
    <row r="27" spans="1:9">
      <c r="A27" s="180" t="s">
        <v>75</v>
      </c>
      <c r="B27" s="178"/>
      <c r="C27" s="179"/>
      <c r="D27" s="118"/>
      <c r="E27" s="74"/>
      <c r="F27" s="74"/>
      <c r="G27" s="70"/>
    </row>
    <row r="28" spans="1:9">
      <c r="A28" s="180" t="s">
        <v>76</v>
      </c>
      <c r="B28" s="178"/>
      <c r="C28" s="179"/>
      <c r="D28" s="118"/>
      <c r="E28" s="74"/>
      <c r="F28" s="74"/>
      <c r="G28" s="70"/>
    </row>
    <row r="29" spans="1:9">
      <c r="A29" s="181" t="s">
        <v>77</v>
      </c>
      <c r="B29" s="178"/>
      <c r="C29" s="179"/>
      <c r="D29" s="118"/>
      <c r="E29" s="74"/>
      <c r="F29" s="74"/>
      <c r="G29" s="70"/>
    </row>
    <row r="30" spans="1:9">
      <c r="A30" s="182" t="s">
        <v>123</v>
      </c>
      <c r="B30" s="178"/>
      <c r="C30" s="179"/>
      <c r="D30" s="118"/>
      <c r="E30" s="74"/>
      <c r="F30" s="119"/>
      <c r="G30" s="76"/>
      <c r="H30" s="120"/>
      <c r="I30" s="120"/>
    </row>
    <row r="31" spans="1:9">
      <c r="A31" s="182" t="s">
        <v>78</v>
      </c>
      <c r="B31" s="183">
        <f>B23</f>
        <v>384010</v>
      </c>
      <c r="C31" s="179" t="s">
        <v>79</v>
      </c>
      <c r="D31" s="118"/>
      <c r="E31" s="74"/>
      <c r="F31" s="119"/>
      <c r="G31" s="76"/>
      <c r="H31" s="120"/>
      <c r="I31" s="120"/>
    </row>
    <row r="32" spans="1:9">
      <c r="A32" s="182" t="s">
        <v>119</v>
      </c>
      <c r="B32" s="183">
        <f>[2]Calculations!$D$9</f>
        <v>333400</v>
      </c>
      <c r="C32" s="179" t="s">
        <v>79</v>
      </c>
      <c r="D32" s="118"/>
      <c r="E32" s="74"/>
      <c r="F32" s="119"/>
      <c r="G32" s="76"/>
      <c r="H32" s="120"/>
      <c r="I32" s="120"/>
    </row>
    <row r="33" spans="1:9">
      <c r="A33" s="182" t="s">
        <v>120</v>
      </c>
      <c r="B33" s="184">
        <f>[2]Calculations!$D$18</f>
        <v>84.4</v>
      </c>
      <c r="C33" s="179" t="s">
        <v>61</v>
      </c>
      <c r="D33" s="118"/>
      <c r="E33" s="74"/>
      <c r="F33" s="119"/>
      <c r="G33" s="76"/>
      <c r="H33" s="120"/>
      <c r="I33" s="120"/>
    </row>
    <row r="34" spans="1:9">
      <c r="A34" s="182" t="s">
        <v>80</v>
      </c>
      <c r="B34" s="184">
        <f>SUM([2]Calculations!$D$18:$D$20)</f>
        <v>98.89</v>
      </c>
      <c r="C34" s="179" t="s">
        <v>61</v>
      </c>
      <c r="D34" s="118"/>
      <c r="E34" s="74"/>
      <c r="F34" s="119"/>
      <c r="G34" s="76"/>
      <c r="H34" s="120"/>
      <c r="I34" s="120"/>
    </row>
    <row r="35" spans="1:9" ht="15.75" thickBot="1">
      <c r="A35" s="185" t="s">
        <v>81</v>
      </c>
      <c r="B35" s="186">
        <f>[2]Calculations!$D$25</f>
        <v>73.859999999999985</v>
      </c>
      <c r="C35" s="187" t="s">
        <v>61</v>
      </c>
      <c r="D35" s="118"/>
      <c r="E35" s="74"/>
      <c r="F35" s="74"/>
      <c r="G35" s="70"/>
    </row>
    <row r="36" spans="1:9">
      <c r="A36" s="182" t="s">
        <v>121</v>
      </c>
      <c r="B36" s="188">
        <f>B31/B32*B33/B34*B35</f>
        <v>72.606635326994649</v>
      </c>
      <c r="C36" s="189" t="s">
        <v>61</v>
      </c>
      <c r="D36" s="121"/>
      <c r="E36" s="74"/>
      <c r="F36" s="74"/>
      <c r="G36" s="70"/>
    </row>
    <row r="37" spans="1:9">
      <c r="A37" s="182" t="s">
        <v>122</v>
      </c>
      <c r="B37" s="178"/>
      <c r="C37" s="179"/>
      <c r="D37" s="75"/>
      <c r="E37" s="74"/>
      <c r="F37" s="74"/>
      <c r="G37" s="70"/>
    </row>
    <row r="38" spans="1:9">
      <c r="A38" s="182" t="s">
        <v>118</v>
      </c>
      <c r="B38" s="190"/>
      <c r="C38" s="191"/>
      <c r="E38" s="74"/>
      <c r="F38" s="74"/>
      <c r="G38" s="70"/>
    </row>
    <row r="39" spans="1:9">
      <c r="A39" s="182" t="s">
        <v>117</v>
      </c>
      <c r="B39" s="178"/>
      <c r="C39" s="179"/>
      <c r="D39" s="75"/>
      <c r="E39" s="74"/>
      <c r="F39" s="74"/>
      <c r="G39" s="70"/>
    </row>
    <row r="40" spans="1:9">
      <c r="A40" s="180"/>
      <c r="B40" s="178"/>
      <c r="C40" s="179"/>
      <c r="D40" s="75"/>
      <c r="E40" s="74"/>
      <c r="F40" s="74"/>
      <c r="G40" s="70"/>
    </row>
    <row r="41" spans="1:9">
      <c r="A41" s="124"/>
      <c r="B41" s="73"/>
      <c r="C41" s="74"/>
      <c r="D41" s="75"/>
      <c r="E41" s="74"/>
      <c r="F41" s="74"/>
      <c r="G41" s="70"/>
    </row>
    <row r="42" spans="1:9">
      <c r="A42" s="124"/>
      <c r="B42" s="73"/>
      <c r="C42" s="74"/>
      <c r="D42" s="75"/>
      <c r="E42" s="74"/>
      <c r="F42" s="74"/>
      <c r="G42" s="70"/>
    </row>
    <row r="43" spans="1:9">
      <c r="A43" s="70"/>
      <c r="B43" s="73"/>
      <c r="C43" s="74"/>
      <c r="D43" s="75"/>
      <c r="E43" s="74"/>
      <c r="F43" s="74"/>
      <c r="G43" s="70"/>
    </row>
    <row r="44" spans="1:9">
      <c r="A44" s="70"/>
      <c r="B44" s="73"/>
      <c r="C44" s="74"/>
      <c r="D44" s="75"/>
      <c r="E44" s="74"/>
      <c r="F44" s="74"/>
      <c r="G44" s="70"/>
    </row>
  </sheetData>
  <mergeCells count="4">
    <mergeCell ref="A1:F1"/>
    <mergeCell ref="A2:F2"/>
    <mergeCell ref="B4:C4"/>
    <mergeCell ref="E4:F4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zoomScale="90" zoomScaleNormal="90" workbookViewId="0">
      <pane ySplit="5" topLeftCell="A49" activePane="bottomLeft" state="frozen"/>
      <selection pane="bottomLeft" activeCell="J79" sqref="J79"/>
    </sheetView>
  </sheetViews>
  <sheetFormatPr defaultRowHeight="14.25"/>
  <cols>
    <col min="1" max="1" width="17.5703125" style="15" customWidth="1"/>
    <col min="2" max="2" width="17.28515625" style="15" customWidth="1"/>
    <col min="3" max="3" width="15.28515625" style="15" customWidth="1"/>
    <col min="4" max="4" width="17" style="15" customWidth="1"/>
    <col min="5" max="5" width="15.7109375" style="15" bestFit="1" customWidth="1"/>
    <col min="6" max="6" width="17" style="15" bestFit="1" customWidth="1"/>
    <col min="7" max="7" width="16.85546875" style="15" customWidth="1"/>
    <col min="8" max="8" width="9.28515625" style="15" customWidth="1"/>
    <col min="9" max="9" width="1.42578125" style="15" customWidth="1"/>
    <col min="10" max="10" width="16.42578125" style="15" customWidth="1"/>
    <col min="11" max="11" width="2.7109375" style="15" customWidth="1"/>
    <col min="12" max="16384" width="9.140625" style="15"/>
  </cols>
  <sheetData>
    <row r="1" spans="1:134" s="9" customFormat="1" ht="12.75" customHeight="1">
      <c r="A1" s="5" t="s">
        <v>114</v>
      </c>
      <c r="B1" s="5"/>
      <c r="C1" s="5"/>
      <c r="D1" s="6"/>
      <c r="E1" s="5"/>
      <c r="F1" s="5"/>
      <c r="G1" s="5"/>
      <c r="H1" s="7"/>
      <c r="I1" s="8"/>
      <c r="J1" s="8"/>
    </row>
    <row r="2" spans="1:134" s="10" customFormat="1" ht="12.75" customHeight="1">
      <c r="A2" s="5" t="s">
        <v>10</v>
      </c>
      <c r="B2" s="5"/>
      <c r="C2" s="5"/>
      <c r="D2" s="6"/>
      <c r="E2" s="5"/>
      <c r="F2" s="5"/>
      <c r="G2" s="5"/>
      <c r="H2" s="7"/>
      <c r="I2" s="8"/>
      <c r="J2" s="8"/>
    </row>
    <row r="3" spans="1:134" s="10" customFormat="1" ht="12.75" customHeight="1">
      <c r="A3" s="197" t="s">
        <v>108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34">
      <c r="A4" s="11"/>
      <c r="B4" s="12"/>
      <c r="C4" s="12"/>
      <c r="D4" s="12"/>
      <c r="E4" s="16"/>
      <c r="F4" s="17" t="s">
        <v>11</v>
      </c>
      <c r="G4" s="17"/>
      <c r="H4" s="18"/>
      <c r="I4" s="14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</row>
    <row r="5" spans="1:134" s="9" customFormat="1" ht="51" customHeight="1">
      <c r="A5" s="20"/>
      <c r="B5" s="21" t="s">
        <v>12</v>
      </c>
      <c r="C5" s="21" t="s">
        <v>13</v>
      </c>
      <c r="D5" s="21" t="s">
        <v>14</v>
      </c>
      <c r="E5" s="21" t="s">
        <v>15</v>
      </c>
      <c r="F5" s="21" t="s">
        <v>16</v>
      </c>
      <c r="G5" s="21" t="s">
        <v>17</v>
      </c>
      <c r="H5" s="22" t="s">
        <v>113</v>
      </c>
      <c r="I5" s="23"/>
      <c r="J5" s="22" t="s">
        <v>18</v>
      </c>
    </row>
    <row r="6" spans="1:134" ht="13.5" customHeight="1">
      <c r="A6" s="24"/>
      <c r="B6" s="25"/>
      <c r="C6" s="25"/>
      <c r="D6" s="25"/>
      <c r="E6" s="25"/>
      <c r="F6" s="25"/>
      <c r="G6" s="25"/>
      <c r="H6" s="26"/>
      <c r="I6" s="14"/>
      <c r="J6" s="27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3"/>
      <c r="EA6" s="13"/>
      <c r="EB6" s="13"/>
      <c r="EC6" s="14"/>
      <c r="ED6" s="14"/>
    </row>
    <row r="7" spans="1:134">
      <c r="A7" s="28" t="s">
        <v>31</v>
      </c>
      <c r="B7" s="45">
        <v>43638929.749999993</v>
      </c>
      <c r="C7" s="45">
        <v>3865060.19</v>
      </c>
      <c r="D7" s="45">
        <v>-54147493.57</v>
      </c>
      <c r="E7" s="45">
        <v>-428385</v>
      </c>
      <c r="F7" s="42">
        <v>-8770676.345999999</v>
      </c>
      <c r="G7" s="42">
        <v>-4905616.1559999995</v>
      </c>
      <c r="H7" s="30"/>
      <c r="I7" s="14"/>
      <c r="J7" s="51"/>
    </row>
    <row r="8" spans="1:134" ht="7.5" customHeight="1">
      <c r="A8" s="28"/>
      <c r="B8" s="43"/>
      <c r="C8" s="43"/>
      <c r="D8" s="43"/>
      <c r="E8" s="43"/>
      <c r="F8" s="44"/>
      <c r="G8" s="44"/>
      <c r="H8" s="30"/>
      <c r="I8" s="14"/>
      <c r="J8" s="51"/>
    </row>
    <row r="9" spans="1:134">
      <c r="A9" s="28" t="s">
        <v>32</v>
      </c>
      <c r="B9" s="45">
        <v>44887095</v>
      </c>
      <c r="C9" s="45">
        <v>781573.44000000018</v>
      </c>
      <c r="D9" s="45">
        <v>-47901079.229999989</v>
      </c>
      <c r="E9" s="45">
        <v>-1154860</v>
      </c>
      <c r="F9" s="44">
        <v>-12939520.576000005</v>
      </c>
      <c r="G9" s="44">
        <v>-8292886.9460000051</v>
      </c>
      <c r="H9" s="66">
        <v>7.8299999999999995E-2</v>
      </c>
      <c r="I9" s="14"/>
      <c r="J9" s="51">
        <v>3416696</v>
      </c>
    </row>
    <row r="10" spans="1:134" ht="6" customHeight="1">
      <c r="A10" s="28"/>
      <c r="B10" s="43"/>
      <c r="C10" s="43"/>
      <c r="D10" s="43"/>
      <c r="E10" s="43"/>
      <c r="F10" s="44"/>
      <c r="G10" s="44"/>
      <c r="H10" s="30"/>
      <c r="I10" s="14"/>
      <c r="J10" s="51"/>
    </row>
    <row r="11" spans="1:134">
      <c r="A11" s="28" t="s">
        <v>33</v>
      </c>
      <c r="B11" s="52">
        <v>51076863.060000002</v>
      </c>
      <c r="C11" s="52">
        <v>-1985771.9799999986</v>
      </c>
      <c r="D11" s="52">
        <v>-45941420.799999997</v>
      </c>
      <c r="E11" s="52">
        <v>-1128853</v>
      </c>
      <c r="F11" s="53">
        <v>-8932931.3160000034</v>
      </c>
      <c r="G11" s="53">
        <v>-6272069.6660000021</v>
      </c>
      <c r="H11" s="66">
        <v>7.7700000000000005E-2</v>
      </c>
      <c r="I11" s="35"/>
      <c r="J11" s="51">
        <v>2287843</v>
      </c>
    </row>
    <row r="12" spans="1:134" ht="6.75" customHeight="1">
      <c r="A12" s="28"/>
      <c r="B12" s="55"/>
      <c r="C12" s="55"/>
      <c r="D12" s="55"/>
      <c r="E12" s="55"/>
      <c r="F12" s="53"/>
      <c r="G12" s="53"/>
      <c r="H12" s="54"/>
      <c r="I12" s="35"/>
      <c r="J12" s="51"/>
    </row>
    <row r="13" spans="1:134" hidden="1">
      <c r="A13" s="31" t="s">
        <v>19</v>
      </c>
      <c r="B13" s="41">
        <v>4196557.4000000004</v>
      </c>
      <c r="C13" s="41">
        <v>1838939.81</v>
      </c>
      <c r="D13" s="41">
        <v>-4530672.1500000004</v>
      </c>
      <c r="E13" s="41">
        <f>ROUND((((B13+D13)/2)+F11)*(7.77%/12),0)</f>
        <v>-58922</v>
      </c>
      <c r="F13" s="41">
        <f>+F11+B13+D13+E13</f>
        <v>-9325968.0660000034</v>
      </c>
      <c r="G13" s="41">
        <f>SUM(C13)+$C$7+$C$9+$C$11+F13</f>
        <v>-4826166.6060000015</v>
      </c>
      <c r="H13" s="29">
        <v>7.7600000000000002E-2</v>
      </c>
      <c r="I13" s="35"/>
      <c r="J13" s="41">
        <f>+J11+E13</f>
        <v>2228921</v>
      </c>
    </row>
    <row r="14" spans="1:134" hidden="1">
      <c r="A14" s="32" t="s">
        <v>20</v>
      </c>
      <c r="B14" s="41">
        <v>7301899.2400000002</v>
      </c>
      <c r="C14" s="41">
        <v>-719294.72</v>
      </c>
      <c r="D14" s="41">
        <v>-3936377.67</v>
      </c>
      <c r="E14" s="41">
        <f t="shared" ref="E14:E23" si="0">ROUND((((B14+D14)/2)+F13)*(7.77%/12),0)</f>
        <v>-49490</v>
      </c>
      <c r="F14" s="41">
        <f t="shared" ref="F14:F24" si="1">+F13+B14+D14+E14</f>
        <v>-6009936.4960000031</v>
      </c>
      <c r="G14" s="41">
        <f>SUM(C13:C14)+$C$7+$C$9+$C$11+F14</f>
        <v>-2229429.756000001</v>
      </c>
      <c r="H14" s="29">
        <v>7.7600000000000002E-2</v>
      </c>
      <c r="I14" s="35"/>
      <c r="J14" s="41">
        <f t="shared" ref="J14:J19" si="2">+J13+E14</f>
        <v>2179431</v>
      </c>
    </row>
    <row r="15" spans="1:134" hidden="1">
      <c r="A15" s="33" t="s">
        <v>21</v>
      </c>
      <c r="B15" s="41">
        <v>9513000.9499999993</v>
      </c>
      <c r="C15" s="41">
        <v>107508.32</v>
      </c>
      <c r="D15" s="41">
        <v>-4826683.72</v>
      </c>
      <c r="E15" s="41">
        <f t="shared" si="0"/>
        <v>-23742</v>
      </c>
      <c r="F15" s="41">
        <f t="shared" si="1"/>
        <v>-1347361.2660000036</v>
      </c>
      <c r="G15" s="41">
        <f>SUM(C13:C15)+$C$7+$C$9+$C$11+F15</f>
        <v>2540653.7939999979</v>
      </c>
      <c r="H15" s="29">
        <v>7.7600000000000002E-2</v>
      </c>
      <c r="I15" s="34"/>
      <c r="J15" s="41">
        <f t="shared" si="2"/>
        <v>2155689</v>
      </c>
    </row>
    <row r="16" spans="1:134" hidden="1">
      <c r="A16" s="31" t="s">
        <v>22</v>
      </c>
      <c r="B16" s="41">
        <v>8332524.4299999997</v>
      </c>
      <c r="C16" s="41">
        <v>-364021.59</v>
      </c>
      <c r="D16" s="41">
        <v>-4024107.75</v>
      </c>
      <c r="E16" s="41">
        <f t="shared" si="0"/>
        <v>5224</v>
      </c>
      <c r="F16" s="41">
        <f t="shared" si="1"/>
        <v>2966279.4139999961</v>
      </c>
      <c r="G16" s="41">
        <f>SUM(C13:C16)+$C$7+$C$9+$C$11+F16</f>
        <v>6490272.8839999977</v>
      </c>
      <c r="H16" s="29">
        <v>7.7600000000000002E-2</v>
      </c>
      <c r="I16" s="35"/>
      <c r="J16" s="41">
        <f t="shared" si="2"/>
        <v>2160913</v>
      </c>
    </row>
    <row r="17" spans="1:10" hidden="1">
      <c r="A17" s="32" t="s">
        <v>23</v>
      </c>
      <c r="B17" s="41">
        <v>5867664.04</v>
      </c>
      <c r="C17" s="41">
        <v>86444.05</v>
      </c>
      <c r="D17" s="41">
        <v>-4206797.6900000004</v>
      </c>
      <c r="E17" s="41">
        <f t="shared" si="0"/>
        <v>24584</v>
      </c>
      <c r="F17" s="41">
        <f t="shared" si="1"/>
        <v>4651729.7639999958</v>
      </c>
      <c r="G17" s="41">
        <f>SUM(C13:C17)+$C$7+$C$9+$C$11+F17</f>
        <v>8262167.2839999981</v>
      </c>
      <c r="H17" s="29">
        <v>7.7600000000000002E-2</v>
      </c>
      <c r="I17" s="35"/>
      <c r="J17" s="41">
        <f t="shared" si="2"/>
        <v>2185497</v>
      </c>
    </row>
    <row r="18" spans="1:10" hidden="1">
      <c r="A18" s="32" t="s">
        <v>24</v>
      </c>
      <c r="B18" s="41">
        <v>9395350.6799999997</v>
      </c>
      <c r="C18" s="41">
        <v>-224949.94</v>
      </c>
      <c r="D18" s="41">
        <v>-5230146.9000000004</v>
      </c>
      <c r="E18" s="41">
        <f t="shared" si="0"/>
        <v>43605</v>
      </c>
      <c r="F18" s="41">
        <f t="shared" si="1"/>
        <v>8860538.5439999942</v>
      </c>
      <c r="G18" s="41">
        <f>SUM(C13:C18)+$C$7+$C$9+$C$11+F18</f>
        <v>12246026.123999996</v>
      </c>
      <c r="H18" s="29">
        <v>7.7600000000000002E-2</v>
      </c>
      <c r="I18" s="35"/>
      <c r="J18" s="41">
        <f t="shared" si="2"/>
        <v>2229102</v>
      </c>
    </row>
    <row r="19" spans="1:10" hidden="1">
      <c r="A19" s="31" t="s">
        <v>25</v>
      </c>
      <c r="B19" s="41">
        <v>6005272.6799999997</v>
      </c>
      <c r="C19" s="41">
        <v>707312.72</v>
      </c>
      <c r="D19" s="41">
        <v>-6293445.3200000003</v>
      </c>
      <c r="E19" s="41">
        <f t="shared" si="0"/>
        <v>56439</v>
      </c>
      <c r="F19" s="41">
        <f t="shared" si="1"/>
        <v>8628804.9039999936</v>
      </c>
      <c r="G19" s="41">
        <f>SUM(C13:C19)+$C$7+$C$9+$C$11+F19</f>
        <v>12721605.203999996</v>
      </c>
      <c r="H19" s="29">
        <v>7.7600000000000002E-2</v>
      </c>
      <c r="I19" s="35"/>
      <c r="J19" s="41">
        <f t="shared" si="2"/>
        <v>2285541</v>
      </c>
    </row>
    <row r="20" spans="1:10" hidden="1">
      <c r="A20" s="31" t="s">
        <v>26</v>
      </c>
      <c r="B20" s="41">
        <v>5839647.3200000003</v>
      </c>
      <c r="C20" s="41">
        <v>1966034.46</v>
      </c>
      <c r="D20" s="41">
        <v>-6733047.1699999999</v>
      </c>
      <c r="E20" s="41">
        <f t="shared" si="0"/>
        <v>52979</v>
      </c>
      <c r="F20" s="41">
        <f t="shared" si="1"/>
        <v>7788384.053999994</v>
      </c>
      <c r="G20" s="41">
        <f>SUM(C13:C20)+$C$7+$C$9+$C$11+F20</f>
        <v>13847218.813999996</v>
      </c>
      <c r="H20" s="29">
        <v>7.7600000000000002E-2</v>
      </c>
      <c r="I20" s="35"/>
      <c r="J20" s="41">
        <f>+J19+E20</f>
        <v>2338520</v>
      </c>
    </row>
    <row r="21" spans="1:10" hidden="1">
      <c r="A21" s="31" t="s">
        <v>27</v>
      </c>
      <c r="B21" s="41">
        <v>4767034.04</v>
      </c>
      <c r="C21" s="41">
        <v>334494.95</v>
      </c>
      <c r="D21" s="41">
        <v>-5742216.3899999997</v>
      </c>
      <c r="E21" s="41">
        <f t="shared" si="0"/>
        <v>47273</v>
      </c>
      <c r="F21" s="41">
        <f t="shared" si="1"/>
        <v>6860474.7039999934</v>
      </c>
      <c r="G21" s="41">
        <f>SUM(C13:C21)+$C$7+$C$9+$C$11+F21</f>
        <v>13253804.413999995</v>
      </c>
      <c r="H21" s="29">
        <v>7.7600000000000002E-2</v>
      </c>
      <c r="I21" s="35"/>
      <c r="J21" s="41">
        <f>+J20+E21</f>
        <v>2385793</v>
      </c>
    </row>
    <row r="22" spans="1:10" hidden="1">
      <c r="A22" s="31" t="s">
        <v>28</v>
      </c>
      <c r="B22" s="41">
        <v>5954205.6799999997</v>
      </c>
      <c r="C22" s="41">
        <v>-1449084.99</v>
      </c>
      <c r="D22" s="41">
        <v>-4844019.55</v>
      </c>
      <c r="E22" s="41">
        <f t="shared" si="0"/>
        <v>48016</v>
      </c>
      <c r="F22" s="41">
        <f t="shared" si="1"/>
        <v>8018676.8339999923</v>
      </c>
      <c r="G22" s="41">
        <f>SUM(C13:C22)+$C$7+$C$9+$C$11+F22</f>
        <v>12962921.553999994</v>
      </c>
      <c r="H22" s="29">
        <v>7.7600000000000002E-2</v>
      </c>
      <c r="I22" s="35"/>
      <c r="J22" s="41">
        <f>+J21+E22</f>
        <v>2433809</v>
      </c>
    </row>
    <row r="23" spans="1:10" hidden="1">
      <c r="A23" s="31" t="s">
        <v>29</v>
      </c>
      <c r="B23" s="41">
        <v>8026170.0499999998</v>
      </c>
      <c r="C23" s="41">
        <v>-832510.46</v>
      </c>
      <c r="D23" s="41">
        <v>-4253145.43</v>
      </c>
      <c r="E23" s="41">
        <f t="shared" si="0"/>
        <v>64136</v>
      </c>
      <c r="F23" s="41">
        <f t="shared" si="1"/>
        <v>11855837.453999992</v>
      </c>
      <c r="G23" s="41">
        <f>SUM(C13:C23)+$C$7+$C$9+$C$11+F23</f>
        <v>15967571.713999994</v>
      </c>
      <c r="H23" s="29">
        <v>7.7600000000000002E-2</v>
      </c>
      <c r="I23" s="35"/>
      <c r="J23" s="41">
        <f>+J22+E23</f>
        <v>2497945</v>
      </c>
    </row>
    <row r="24" spans="1:10" hidden="1">
      <c r="A24" s="31" t="s">
        <v>30</v>
      </c>
      <c r="B24" s="41">
        <v>6528307.1600000001</v>
      </c>
      <c r="C24" s="41">
        <v>572303.66</v>
      </c>
      <c r="D24" s="41">
        <v>-4736239.2699999996</v>
      </c>
      <c r="E24" s="41">
        <v>82192</v>
      </c>
      <c r="F24" s="41">
        <f t="shared" si="1"/>
        <v>13730097.343999993</v>
      </c>
      <c r="G24" s="41">
        <f>SUM(C13:C24)+$C$7+$C$9+$C$11+F24</f>
        <v>18414135.263999995</v>
      </c>
      <c r="H24" s="29">
        <v>7.7600000000000002E-2</v>
      </c>
      <c r="I24" s="35"/>
      <c r="J24" s="41">
        <f>+J23+E24</f>
        <v>2580137</v>
      </c>
    </row>
    <row r="25" spans="1:10">
      <c r="A25" s="28" t="s">
        <v>34</v>
      </c>
      <c r="B25" s="45">
        <f>SUM(B13:B24)</f>
        <v>81727633.670000002</v>
      </c>
      <c r="C25" s="45">
        <f>SUM(C13:C24)</f>
        <v>2023176.2700000005</v>
      </c>
      <c r="D25" s="45">
        <f>SUM(D13:D24)</f>
        <v>-59356899.010000005</v>
      </c>
      <c r="E25" s="52">
        <f>SUM(E13:E24)</f>
        <v>292294</v>
      </c>
      <c r="F25" s="53">
        <v>13730097.343999993</v>
      </c>
      <c r="G25" s="53">
        <v>18414135.263999995</v>
      </c>
      <c r="H25" s="66">
        <v>7.7600000000000002E-2</v>
      </c>
      <c r="I25" s="35"/>
      <c r="J25" s="51">
        <v>2580137</v>
      </c>
    </row>
    <row r="26" spans="1:10">
      <c r="B26" s="48"/>
      <c r="C26" s="48"/>
      <c r="D26" s="48"/>
      <c r="E26" s="56"/>
      <c r="F26" s="56"/>
      <c r="G26" s="56"/>
      <c r="H26" s="57"/>
      <c r="I26" s="57"/>
      <c r="J26" s="56"/>
    </row>
    <row r="27" spans="1:10">
      <c r="A27" s="31" t="s">
        <v>19</v>
      </c>
      <c r="B27" s="41">
        <v>3318076.89</v>
      </c>
      <c r="C27" s="41">
        <v>97753.14</v>
      </c>
      <c r="D27" s="41">
        <v>-4853002.2699999996</v>
      </c>
      <c r="E27" s="41">
        <f>ROUND((((B27+D27)/2)+F24)*(7.76%/12),0)-71</f>
        <v>83754</v>
      </c>
      <c r="F27" s="41">
        <f>+F24+B27+D27+E27</f>
        <v>12278925.963999994</v>
      </c>
      <c r="G27" s="41">
        <f>SUM(C27)+$C$7+$C$9+$C$11+F27+C25</f>
        <v>17060717.023999996</v>
      </c>
      <c r="H27" s="29">
        <v>7.3200000000000001E-2</v>
      </c>
      <c r="I27" s="35"/>
      <c r="J27" s="41">
        <f>+J24+E27</f>
        <v>2663891</v>
      </c>
    </row>
    <row r="28" spans="1:10">
      <c r="A28" s="32" t="s">
        <v>20</v>
      </c>
      <c r="B28" s="41">
        <v>3457488.39</v>
      </c>
      <c r="C28" s="41">
        <v>774323.81</v>
      </c>
      <c r="D28" s="41">
        <v>-4566382.75</v>
      </c>
      <c r="E28" s="41">
        <f>ROUND((((B28+D28)/2)+F27)*(7.76%/12),0)-145</f>
        <v>75673</v>
      </c>
      <c r="F28" s="41">
        <f t="shared" ref="F28:F38" si="3">+F27+B28+D28+E28</f>
        <v>11245704.603999995</v>
      </c>
      <c r="G28" s="41">
        <f>SUM(C27:C28)+$C$7+$C$9+$C$11+F28+C25</f>
        <v>16801819.473999996</v>
      </c>
      <c r="H28" s="29">
        <v>7.3200000000000001E-2</v>
      </c>
      <c r="I28" s="35"/>
      <c r="J28" s="41">
        <f t="shared" ref="J28:J33" si="4">+J27+E28</f>
        <v>2739564</v>
      </c>
    </row>
    <row r="29" spans="1:10">
      <c r="A29" s="33" t="s">
        <v>21</v>
      </c>
      <c r="B29" s="41">
        <v>6337484.4500000002</v>
      </c>
      <c r="C29" s="41">
        <v>-1655767.62</v>
      </c>
      <c r="D29" s="41">
        <v>-4692272.12</v>
      </c>
      <c r="E29" s="41">
        <f>ROUND((((B29+D29)/2)+F28)*(7.76%/12),0)+218</f>
        <v>78260</v>
      </c>
      <c r="F29" s="41">
        <f t="shared" si="3"/>
        <v>12969176.933999993</v>
      </c>
      <c r="G29" s="41">
        <f>SUM(C27:C29)+$C$7+$C$9+$C$11+F29+C25</f>
        <v>16869524.183999993</v>
      </c>
      <c r="H29" s="29">
        <v>7.3200000000000001E-2</v>
      </c>
      <c r="I29" s="34"/>
      <c r="J29" s="41">
        <f t="shared" si="4"/>
        <v>2817824</v>
      </c>
    </row>
    <row r="30" spans="1:10">
      <c r="A30" s="31" t="s">
        <v>22</v>
      </c>
      <c r="B30" s="41">
        <v>6266841.8499999996</v>
      </c>
      <c r="C30" s="41">
        <v>-54610.2</v>
      </c>
      <c r="D30" s="41">
        <v>-4546601.7699999996</v>
      </c>
      <c r="E30" s="41">
        <f t="shared" ref="E30:E37" si="5">ROUND((((B30+D30)/2)+F29)*(7.76%/12),0)</f>
        <v>89429</v>
      </c>
      <c r="F30" s="41">
        <f t="shared" si="3"/>
        <v>14778846.013999995</v>
      </c>
      <c r="G30" s="41">
        <f>SUM(C27:C30)+$C$7+$C$9+$C$11+F30+C25</f>
        <v>18624583.063999996</v>
      </c>
      <c r="H30" s="29">
        <v>7.3200000000000001E-2</v>
      </c>
      <c r="I30" s="35"/>
      <c r="J30" s="41">
        <f t="shared" si="4"/>
        <v>2907253</v>
      </c>
    </row>
    <row r="31" spans="1:10">
      <c r="A31" s="32" t="s">
        <v>23</v>
      </c>
      <c r="B31" s="41">
        <v>4339625.5199999996</v>
      </c>
      <c r="C31" s="41">
        <v>424983.98</v>
      </c>
      <c r="D31" s="41">
        <v>-4905098.67</v>
      </c>
      <c r="E31" s="41">
        <f t="shared" si="5"/>
        <v>93742</v>
      </c>
      <c r="F31" s="41">
        <f t="shared" si="3"/>
        <v>14307114.863999994</v>
      </c>
      <c r="G31" s="41">
        <f>SUM(C27:C31)+$C$7+$C$9+$C$11+F31+C25</f>
        <v>18577835.893999998</v>
      </c>
      <c r="H31" s="29">
        <v>7.3200000000000001E-2</v>
      </c>
      <c r="I31" s="35"/>
      <c r="J31" s="41">
        <f t="shared" si="4"/>
        <v>3000995</v>
      </c>
    </row>
    <row r="32" spans="1:10">
      <c r="A32" s="32" t="s">
        <v>24</v>
      </c>
      <c r="B32" s="41">
        <v>6359044.46</v>
      </c>
      <c r="C32" s="41">
        <v>-316592.64000000001</v>
      </c>
      <c r="D32" s="41">
        <v>-5996971.2199999997</v>
      </c>
      <c r="E32" s="41">
        <f t="shared" si="5"/>
        <v>93690</v>
      </c>
      <c r="F32" s="41">
        <f t="shared" si="3"/>
        <v>14762878.103999995</v>
      </c>
      <c r="G32" s="41">
        <f>SUM(C27:C32)+$C$7+$C$9+$C$11+F32+C25</f>
        <v>18717006.493999995</v>
      </c>
      <c r="H32" s="29">
        <v>7.3200000000000001E-2</v>
      </c>
      <c r="I32" s="35"/>
      <c r="J32" s="41">
        <f t="shared" si="4"/>
        <v>3094685</v>
      </c>
    </row>
    <row r="33" spans="1:10">
      <c r="A33" s="31" t="s">
        <v>25</v>
      </c>
      <c r="B33" s="41">
        <v>4432790.5999999996</v>
      </c>
      <c r="C33" s="41">
        <v>1038998.71</v>
      </c>
      <c r="D33" s="41">
        <v>-7896361.6799999997</v>
      </c>
      <c r="E33" s="41">
        <f t="shared" si="5"/>
        <v>84268</v>
      </c>
      <c r="F33" s="41">
        <f t="shared" si="3"/>
        <v>11383575.023999996</v>
      </c>
      <c r="G33" s="41">
        <f>SUM(C27:C33)+$C$7+$C$9+$C$11+F33+C25</f>
        <v>16376702.123999998</v>
      </c>
      <c r="H33" s="29">
        <v>7.3200000000000001E-2</v>
      </c>
      <c r="I33" s="35"/>
      <c r="J33" s="41">
        <f t="shared" si="4"/>
        <v>3178953</v>
      </c>
    </row>
    <row r="34" spans="1:10">
      <c r="A34" s="31" t="s">
        <v>26</v>
      </c>
      <c r="B34" s="41">
        <v>5145653.0199999996</v>
      </c>
      <c r="C34" s="41">
        <v>1071909.69</v>
      </c>
      <c r="D34" s="41">
        <v>-7295459.5800000001</v>
      </c>
      <c r="E34" s="41">
        <f t="shared" si="5"/>
        <v>66663</v>
      </c>
      <c r="F34" s="41">
        <f t="shared" si="3"/>
        <v>9300431.463999996</v>
      </c>
      <c r="G34" s="41">
        <f>SUM(C27:C34)+$C$7+$C$9+$C$11+F34+C25</f>
        <v>15365468.253999997</v>
      </c>
      <c r="H34" s="29">
        <v>7.3200000000000001E-2</v>
      </c>
      <c r="I34" s="35"/>
      <c r="J34" s="41">
        <f>+J33+E34</f>
        <v>3245616</v>
      </c>
    </row>
    <row r="35" spans="1:10">
      <c r="A35" s="31" t="s">
        <v>27</v>
      </c>
      <c r="B35" s="41">
        <v>6483484.71</v>
      </c>
      <c r="C35" s="41">
        <v>-1307725.3</v>
      </c>
      <c r="D35" s="41">
        <v>-7124727.3899999997</v>
      </c>
      <c r="E35" s="41">
        <f t="shared" si="5"/>
        <v>58069</v>
      </c>
      <c r="F35" s="41">
        <f t="shared" si="3"/>
        <v>8717257.7839999944</v>
      </c>
      <c r="G35" s="41">
        <f>SUM(C27:C35)+$C$7+$C$9+$C$11+F35+C25</f>
        <v>13474569.273999996</v>
      </c>
      <c r="H35" s="29">
        <v>7.3200000000000001E-2</v>
      </c>
      <c r="I35" s="35"/>
      <c r="J35" s="41">
        <f>+J34+E35</f>
        <v>3303685</v>
      </c>
    </row>
    <row r="36" spans="1:10">
      <c r="A36" s="31" t="s">
        <v>28</v>
      </c>
      <c r="B36" s="41">
        <v>5104305.95</v>
      </c>
      <c r="C36" s="41">
        <v>-400031.34</v>
      </c>
      <c r="D36" s="41">
        <v>-5654586.3200000003</v>
      </c>
      <c r="E36" s="41">
        <f t="shared" si="5"/>
        <v>54592</v>
      </c>
      <c r="F36" s="41">
        <f t="shared" si="3"/>
        <v>8221569.4139999934</v>
      </c>
      <c r="G36" s="41">
        <f>SUM(C27:C36)+$C$7+$C$9+$C$11+F36+C25</f>
        <v>12578849.563999996</v>
      </c>
      <c r="H36" s="29">
        <v>7.3200000000000001E-2</v>
      </c>
      <c r="I36" s="35"/>
      <c r="J36" s="41">
        <f>+J35+E36</f>
        <v>3358277</v>
      </c>
    </row>
    <row r="37" spans="1:10">
      <c r="A37" s="31" t="s">
        <v>29</v>
      </c>
      <c r="B37" s="41">
        <v>6351919.1500000004</v>
      </c>
      <c r="C37" s="41">
        <v>215829.67</v>
      </c>
      <c r="D37" s="41">
        <v>-4933463.7</v>
      </c>
      <c r="E37" s="41">
        <f t="shared" si="5"/>
        <v>57752</v>
      </c>
      <c r="F37" s="41">
        <f t="shared" si="3"/>
        <v>9697776.8639999926</v>
      </c>
      <c r="G37" s="41">
        <f>SUM(C27:C37)+$C$7+$C$9+$C$11+F37+C25</f>
        <v>14270886.683999993</v>
      </c>
      <c r="H37" s="29">
        <v>7.3200000000000001E-2</v>
      </c>
      <c r="I37" s="35"/>
      <c r="J37" s="41">
        <f>+J36+E37</f>
        <v>3416029</v>
      </c>
    </row>
    <row r="38" spans="1:10">
      <c r="A38" s="31" t="s">
        <v>30</v>
      </c>
      <c r="B38" s="41">
        <v>4644388.6500000004</v>
      </c>
      <c r="C38" s="41">
        <v>933148.8</v>
      </c>
      <c r="D38" s="41">
        <v>-5585785.9500000002</v>
      </c>
      <c r="E38" s="41">
        <v>7276</v>
      </c>
      <c r="F38" s="41">
        <f t="shared" si="3"/>
        <v>8763655.5639999919</v>
      </c>
      <c r="G38" s="41">
        <f>SUM(C27:C38)+$C$7+$C$9+$C$11+F38+C25</f>
        <v>14269914.183999993</v>
      </c>
      <c r="H38" s="29">
        <v>7.3200000000000001E-2</v>
      </c>
      <c r="I38" s="35"/>
      <c r="J38" s="41">
        <f>+J37+E38</f>
        <v>3423305</v>
      </c>
    </row>
    <row r="39" spans="1:10">
      <c r="A39" s="28" t="s">
        <v>38</v>
      </c>
      <c r="B39" s="45">
        <f>SUM(B27:B38)</f>
        <v>62241103.639999993</v>
      </c>
      <c r="C39" s="45">
        <f>SUM(C27:C38)</f>
        <v>822220.69999999984</v>
      </c>
      <c r="D39" s="45">
        <f>SUM(D27:D38)</f>
        <v>-68050713.420000002</v>
      </c>
      <c r="E39" s="52">
        <f>SUM(E27:E38)</f>
        <v>843168</v>
      </c>
      <c r="F39" s="53"/>
      <c r="G39" s="53"/>
      <c r="H39" s="54"/>
      <c r="I39" s="35"/>
      <c r="J39" s="51"/>
    </row>
    <row r="40" spans="1:10">
      <c r="B40" s="48"/>
      <c r="C40" s="48"/>
      <c r="D40" s="48"/>
      <c r="E40" s="56"/>
      <c r="F40" s="56"/>
      <c r="G40" s="56"/>
      <c r="H40" s="57"/>
      <c r="I40" s="57"/>
      <c r="J40" s="56"/>
    </row>
    <row r="41" spans="1:10">
      <c r="A41" s="31" t="s">
        <v>19</v>
      </c>
      <c r="B41" s="41">
        <v>3957447.2</v>
      </c>
      <c r="C41" s="41">
        <v>-640324.02</v>
      </c>
      <c r="D41" s="41">
        <v>-6219136.7800000003</v>
      </c>
      <c r="E41" s="41">
        <f>ROUND((((B41+D41)/2)+F38)*(7.74%/12),0)</f>
        <v>49232</v>
      </c>
      <c r="F41" s="41">
        <f>+F38+B41+D41+E41</f>
        <v>6551197.9839999909</v>
      </c>
      <c r="G41" s="41">
        <f>SUM(C41)+$C$7+$C$9+$C$11+F41+C39+C25</f>
        <v>11417132.583999991</v>
      </c>
      <c r="H41" s="29">
        <v>7.7600000000000002E-2</v>
      </c>
      <c r="I41" s="29">
        <v>7.7600000000000002E-2</v>
      </c>
      <c r="J41" s="41">
        <f>+J38+E41</f>
        <v>3472537</v>
      </c>
    </row>
    <row r="42" spans="1:10">
      <c r="A42" s="32" t="s">
        <v>20</v>
      </c>
      <c r="B42" s="41">
        <v>5502164.0700000003</v>
      </c>
      <c r="C42" s="41">
        <v>-97140.5</v>
      </c>
      <c r="D42" s="41">
        <v>-5812722.0199999996</v>
      </c>
      <c r="E42" s="41">
        <f>ROUND((((B42+D42)/2)+F41)*(7.74%/12),0)</f>
        <v>41254</v>
      </c>
      <c r="F42" s="41">
        <f t="shared" ref="F42:F52" si="6">+F41+B42+D42+E42</f>
        <v>6281894.0339999907</v>
      </c>
      <c r="G42" s="41">
        <f>SUM(C41:C42)+$C$7+$C$9+$C$11+F42+C39+C25</f>
        <v>11050688.133999992</v>
      </c>
      <c r="H42" s="29">
        <v>7.7600000000000002E-2</v>
      </c>
      <c r="I42" s="29">
        <v>7.7600000000000002E-2</v>
      </c>
      <c r="J42" s="41">
        <f t="shared" ref="J42:J47" si="7">+J41+E42</f>
        <v>3513791</v>
      </c>
    </row>
    <row r="43" spans="1:10">
      <c r="A43" s="33" t="s">
        <v>21</v>
      </c>
      <c r="B43" s="41">
        <v>4010642.76</v>
      </c>
      <c r="C43" s="41">
        <v>-101375.81</v>
      </c>
      <c r="D43" s="41">
        <v>-5114181.01</v>
      </c>
      <c r="E43" s="41">
        <f>ROUND((((B43+D43)/2)+F42)*(4.45%/12),0)+25</f>
        <v>21274</v>
      </c>
      <c r="F43" s="41">
        <f t="shared" si="6"/>
        <v>5199629.7839999907</v>
      </c>
      <c r="G43" s="41">
        <f>SUM(C41:C43)+$C$7+$C$9+$C$11+F43+C39+C25</f>
        <v>9867048.0739999935</v>
      </c>
      <c r="H43" s="29">
        <v>4.4499999999999998E-2</v>
      </c>
      <c r="I43" s="29">
        <v>7.7600000000000002E-2</v>
      </c>
      <c r="J43" s="41">
        <f t="shared" si="7"/>
        <v>3535065</v>
      </c>
    </row>
    <row r="44" spans="1:10">
      <c r="A44" s="31" t="s">
        <v>22</v>
      </c>
      <c r="B44" s="41">
        <v>3649184.13</v>
      </c>
      <c r="C44" s="41">
        <v>1887278.57</v>
      </c>
      <c r="D44" s="41">
        <v>-5036556.5999999996</v>
      </c>
      <c r="E44" s="41">
        <f t="shared" ref="E44:E52" si="8">ROUND((((B44+D44)/2)+F43)*(4.45%/12),0)</f>
        <v>16710</v>
      </c>
      <c r="F44" s="41">
        <f t="shared" si="6"/>
        <v>3828967.31399999</v>
      </c>
      <c r="G44" s="41">
        <f>SUM(C41:C44)+$C$7+$C$9+$C$11+F44+C39+C25</f>
        <v>10383664.173999991</v>
      </c>
      <c r="H44" s="29">
        <v>4.4499999999999998E-2</v>
      </c>
      <c r="I44" s="29">
        <v>7.7600000000000002E-2</v>
      </c>
      <c r="J44" s="41">
        <f t="shared" si="7"/>
        <v>3551775</v>
      </c>
    </row>
    <row r="45" spans="1:10">
      <c r="A45" s="32" t="s">
        <v>23</v>
      </c>
      <c r="B45" s="41">
        <v>4189551.42</v>
      </c>
      <c r="C45" s="41">
        <v>-1727121.6</v>
      </c>
      <c r="D45" s="41">
        <v>-5313045.41</v>
      </c>
      <c r="E45" s="41">
        <f t="shared" si="8"/>
        <v>12116</v>
      </c>
      <c r="F45" s="41">
        <f t="shared" si="6"/>
        <v>2717589.3239999898</v>
      </c>
      <c r="G45" s="41">
        <f>SUM(C41:C45)+$C$7+$C$9+$C$11+F45+C39+C25</f>
        <v>7545164.5839999923</v>
      </c>
      <c r="H45" s="29">
        <v>4.4499999999999998E-2</v>
      </c>
      <c r="I45" s="29">
        <v>7.7600000000000002E-2</v>
      </c>
      <c r="J45" s="41">
        <f t="shared" si="7"/>
        <v>3563891</v>
      </c>
    </row>
    <row r="46" spans="1:10">
      <c r="A46" s="32" t="s">
        <v>24</v>
      </c>
      <c r="B46" s="41">
        <v>7211523.1900000004</v>
      </c>
      <c r="C46" s="41">
        <v>-962707.25</v>
      </c>
      <c r="D46" s="41">
        <v>-6686874.79</v>
      </c>
      <c r="E46" s="41">
        <f t="shared" si="8"/>
        <v>11051</v>
      </c>
      <c r="F46" s="41">
        <f t="shared" si="6"/>
        <v>3253288.7239999911</v>
      </c>
      <c r="G46" s="41">
        <f>SUM(C41:C46)+$C$7+$C$9+$C$11+F46+C39+C25</f>
        <v>7118156.7339999937</v>
      </c>
      <c r="H46" s="29">
        <v>4.4499999999999998E-2</v>
      </c>
      <c r="I46" s="29">
        <v>7.7600000000000002E-2</v>
      </c>
      <c r="J46" s="41">
        <f t="shared" si="7"/>
        <v>3574942</v>
      </c>
    </row>
    <row r="47" spans="1:10">
      <c r="A47" s="31" t="s">
        <v>25</v>
      </c>
      <c r="B47" s="41">
        <v>3541877.75</v>
      </c>
      <c r="C47" s="41">
        <v>1301932.57</v>
      </c>
      <c r="D47" s="41">
        <v>-8541981.0299999993</v>
      </c>
      <c r="E47" s="41">
        <f t="shared" si="8"/>
        <v>2793</v>
      </c>
      <c r="F47" s="41">
        <f t="shared" si="6"/>
        <v>-1744021.5560000082</v>
      </c>
      <c r="G47" s="41">
        <f>SUM(C41:C47)+$C$7+$C$9+$C$11+F47+C39+C25</f>
        <v>3422779.0239999932</v>
      </c>
      <c r="H47" s="29">
        <v>4.4499999999999998E-2</v>
      </c>
      <c r="I47" s="29">
        <v>7.7600000000000002E-2</v>
      </c>
      <c r="J47" s="41">
        <f t="shared" si="7"/>
        <v>3577735</v>
      </c>
    </row>
    <row r="48" spans="1:10">
      <c r="A48" s="31" t="s">
        <v>26</v>
      </c>
      <c r="B48" s="41">
        <v>5719255.9699999997</v>
      </c>
      <c r="C48" s="41">
        <v>-1630704.05</v>
      </c>
      <c r="D48" s="41">
        <v>-8970590.6500000004</v>
      </c>
      <c r="E48" s="41">
        <f t="shared" si="8"/>
        <v>-12496</v>
      </c>
      <c r="F48" s="41">
        <f t="shared" si="6"/>
        <v>-5007852.2360000089</v>
      </c>
      <c r="G48" s="41">
        <f>SUM(C41:C48)+$C$7+$C$9+$C$11+F48+C39+C25</f>
        <v>-1471755.7060000072</v>
      </c>
      <c r="H48" s="29">
        <v>4.4499999999999998E-2</v>
      </c>
      <c r="I48" s="29">
        <v>7.7600000000000002E-2</v>
      </c>
      <c r="J48" s="41">
        <f>+J47+E48</f>
        <v>3565239</v>
      </c>
    </row>
    <row r="49" spans="1:10">
      <c r="A49" s="31" t="s">
        <v>27</v>
      </c>
      <c r="B49" s="41">
        <v>4877905.8099999996</v>
      </c>
      <c r="C49" s="41">
        <v>1748387.19</v>
      </c>
      <c r="D49" s="41">
        <v>-7603915.2000000002</v>
      </c>
      <c r="E49" s="41">
        <f t="shared" si="8"/>
        <v>-23625</v>
      </c>
      <c r="F49" s="41">
        <f t="shared" si="6"/>
        <v>-7757486.6260000095</v>
      </c>
      <c r="G49" s="46">
        <f>SUM(C41:C49)+$C$7+$C$9+$C$11+F49+C39+C25</f>
        <v>-2473002.9060000069</v>
      </c>
      <c r="H49" s="29">
        <v>4.4499999999999998E-2</v>
      </c>
      <c r="I49" s="29">
        <v>7.7600000000000002E-2</v>
      </c>
      <c r="J49" s="41">
        <f>+J48+E49</f>
        <v>3541614</v>
      </c>
    </row>
    <row r="50" spans="1:10">
      <c r="A50" s="31" t="s">
        <v>28</v>
      </c>
      <c r="B50" s="47">
        <f>+'Projected Exp - Attachment 3'!E29</f>
        <v>6144384.4266666658</v>
      </c>
      <c r="C50" s="47"/>
      <c r="D50" s="47">
        <v>-5545925.0247408478</v>
      </c>
      <c r="E50" s="41">
        <f t="shared" si="8"/>
        <v>-27658</v>
      </c>
      <c r="F50" s="41">
        <f t="shared" si="6"/>
        <v>-7186685.2240741914</v>
      </c>
      <c r="G50" s="41">
        <f>SUM(C41:C50)+$C$7+$C$9+$C$11+F50+C39+C25</f>
        <v>-1902201.5040741893</v>
      </c>
      <c r="H50" s="29">
        <v>4.4499999999999998E-2</v>
      </c>
      <c r="I50" s="29">
        <v>7.7600000000000002E-2</v>
      </c>
      <c r="J50" s="41">
        <f>+J49+E50</f>
        <v>3513956</v>
      </c>
    </row>
    <row r="51" spans="1:10">
      <c r="A51" s="31" t="s">
        <v>29</v>
      </c>
      <c r="B51" s="47">
        <f>+'Projected Exp - Attachment 3'!F29</f>
        <v>5570460.4266666668</v>
      </c>
      <c r="C51" s="47"/>
      <c r="D51" s="47">
        <v>-5615774.4933432378</v>
      </c>
      <c r="E51" s="41">
        <f t="shared" si="8"/>
        <v>-26735</v>
      </c>
      <c r="F51" s="41">
        <f t="shared" si="6"/>
        <v>-7258734.2907507624</v>
      </c>
      <c r="G51" s="41">
        <f>SUM(C41:C51)+$C$7+$C$9+$C$11+F51+C39+C25</f>
        <v>-1974250.5707507604</v>
      </c>
      <c r="H51" s="29">
        <v>4.4499999999999998E-2</v>
      </c>
      <c r="I51" s="29">
        <v>7.7600000000000002E-2</v>
      </c>
      <c r="J51" s="41">
        <f>+J50+E51</f>
        <v>3487221</v>
      </c>
    </row>
    <row r="52" spans="1:10">
      <c r="A52" s="31" t="s">
        <v>30</v>
      </c>
      <c r="B52" s="47">
        <f>+'Projected Exp - Attachment 3'!G29</f>
        <v>6318343.4266666658</v>
      </c>
      <c r="C52" s="47"/>
      <c r="D52" s="47">
        <v>-6195559.2145590475</v>
      </c>
      <c r="E52" s="41">
        <f t="shared" si="8"/>
        <v>-26690</v>
      </c>
      <c r="F52" s="41">
        <f t="shared" si="6"/>
        <v>-7162640.0786431441</v>
      </c>
      <c r="G52" s="41">
        <f>SUM(C41:C52)+$C$7+$C$9+$C$11+F52+C39+C25</f>
        <v>-1878156.358643142</v>
      </c>
      <c r="H52" s="29">
        <v>4.4499999999999998E-2</v>
      </c>
      <c r="I52" s="29">
        <v>7.7600000000000002E-2</v>
      </c>
      <c r="J52" s="41">
        <f>+J51+E52</f>
        <v>3460531</v>
      </c>
    </row>
    <row r="53" spans="1:10">
      <c r="A53" s="28" t="s">
        <v>47</v>
      </c>
      <c r="B53" s="45">
        <f>SUM(B41:B52)</f>
        <v>60692740.580000013</v>
      </c>
      <c r="C53" s="45">
        <f>SUM(C41:C52)</f>
        <v>-221774.90000000014</v>
      </c>
      <c r="D53" s="45">
        <f>SUM(D41:D52)</f>
        <v>-76656262.222643137</v>
      </c>
      <c r="E53" s="52">
        <f>SUM(E41:E52)</f>
        <v>37226</v>
      </c>
      <c r="F53" s="53"/>
      <c r="G53" s="53"/>
      <c r="H53" s="54"/>
      <c r="I53" s="35"/>
      <c r="J53" s="51"/>
    </row>
    <row r="54" spans="1:10">
      <c r="A54" s="28"/>
      <c r="B54" s="43"/>
      <c r="C54" s="43"/>
      <c r="D54" s="43"/>
      <c r="E54" s="55"/>
      <c r="F54" s="53"/>
      <c r="G54" s="53"/>
      <c r="H54" s="54"/>
      <c r="I54" s="35"/>
      <c r="J54" s="51"/>
    </row>
    <row r="55" spans="1:10">
      <c r="A55" s="31" t="s">
        <v>19</v>
      </c>
      <c r="B55" s="47">
        <f>+'Projected Exp - Attachment 3'!M29</f>
        <v>5330533.8530633328</v>
      </c>
      <c r="C55" s="47"/>
      <c r="D55" s="47">
        <v>-5977194.8761992212</v>
      </c>
      <c r="E55" s="41">
        <f>ROUND((((B55+D55)/2)+F52)*(10.65%/12),0)</f>
        <v>-66438</v>
      </c>
      <c r="F55" s="41">
        <f>+F52+B55+D55+E55</f>
        <v>-7875739.1017790325</v>
      </c>
      <c r="G55" s="41">
        <f>SUM(C55)+$C$7+$C$9+$C$11+F55+C53+C39+C25</f>
        <v>-2591255.3817790309</v>
      </c>
      <c r="H55" s="29">
        <v>0.1065</v>
      </c>
      <c r="I55" s="29">
        <v>7.7600000000000002E-2</v>
      </c>
      <c r="J55" s="41">
        <f>+J52+E55</f>
        <v>3394093</v>
      </c>
    </row>
    <row r="56" spans="1:10">
      <c r="A56" s="32" t="s">
        <v>20</v>
      </c>
      <c r="B56" s="47">
        <f>+'Projected Exp - Attachment 3'!N29</f>
        <v>5330392.9930633325</v>
      </c>
      <c r="C56" s="47"/>
      <c r="D56" s="47">
        <v>-5279190.3703194177</v>
      </c>
      <c r="E56" s="41">
        <f t="shared" ref="E56:E66" si="9">ROUND((((B56+D56)/2)+F55)*(10.65%/12),0)</f>
        <v>-69670</v>
      </c>
      <c r="F56" s="41">
        <f t="shared" ref="F56:F66" si="10">+F55+B56+D56+E56</f>
        <v>-7894206.4790351177</v>
      </c>
      <c r="G56" s="41">
        <f>SUM(C55:C56)+$C$7+$C$9+$C$11+F56+C53+C39+C25</f>
        <v>-2609722.7590351161</v>
      </c>
      <c r="H56" s="29">
        <v>0.1065</v>
      </c>
      <c r="I56" s="29">
        <v>7.7600000000000002E-2</v>
      </c>
      <c r="J56" s="41">
        <f t="shared" ref="J56:J61" si="11">+J55+E56</f>
        <v>3324423</v>
      </c>
    </row>
    <row r="57" spans="1:10">
      <c r="A57" s="33" t="s">
        <v>21</v>
      </c>
      <c r="B57" s="47">
        <f>+'Projected Exp - Attachment 3'!O29</f>
        <v>6345772.2730633328</v>
      </c>
      <c r="C57" s="47"/>
      <c r="D57" s="47">
        <v>-5536659.078345973</v>
      </c>
      <c r="E57" s="41">
        <f t="shared" si="9"/>
        <v>-66471</v>
      </c>
      <c r="F57" s="41">
        <f t="shared" si="10"/>
        <v>-7151564.2843177579</v>
      </c>
      <c r="G57" s="41">
        <f>SUM(C55:C57)+$C$7+$C$9+$C$11+F57+C53+C39+C25</f>
        <v>-1867080.5643177568</v>
      </c>
      <c r="H57" s="29">
        <v>0.1065</v>
      </c>
      <c r="I57" s="29">
        <v>7.7600000000000002E-2</v>
      </c>
      <c r="J57" s="41">
        <f t="shared" si="11"/>
        <v>3257952</v>
      </c>
    </row>
    <row r="58" spans="1:10">
      <c r="A58" s="31" t="s">
        <v>22</v>
      </c>
      <c r="B58" s="47">
        <f>+'Projected Exp - Attachment 3'!P29</f>
        <v>5832750.9930633325</v>
      </c>
      <c r="C58" s="47"/>
      <c r="D58" s="47">
        <v>-5221452.1406707941</v>
      </c>
      <c r="E58" s="41">
        <f t="shared" si="9"/>
        <v>-60757</v>
      </c>
      <c r="F58" s="41">
        <f t="shared" si="10"/>
        <v>-6601022.4319252195</v>
      </c>
      <c r="G58" s="41">
        <f>SUM(C55:C58)+$C$7+$C$9+$C$11+F58+C53+C39+C25</f>
        <v>-1316538.7119252183</v>
      </c>
      <c r="H58" s="29">
        <v>0.1065</v>
      </c>
      <c r="I58" s="29">
        <v>7.7600000000000002E-2</v>
      </c>
      <c r="J58" s="41">
        <f t="shared" si="11"/>
        <v>3197195</v>
      </c>
    </row>
    <row r="59" spans="1:10">
      <c r="A59" s="32" t="s">
        <v>23</v>
      </c>
      <c r="B59" s="47">
        <f>+'Projected Exp - Attachment 3'!Q29</f>
        <v>5351990.8030633321</v>
      </c>
      <c r="C59" s="47"/>
      <c r="D59" s="47">
        <v>-6120595.002084367</v>
      </c>
      <c r="E59" s="41">
        <f t="shared" si="9"/>
        <v>-61995</v>
      </c>
      <c r="F59" s="41">
        <f t="shared" si="10"/>
        <v>-7431621.6309462544</v>
      </c>
      <c r="G59" s="41">
        <f>SUM(C55:C59)+$C$7+$C$9+$C$11+F59+C53+C39+C25</f>
        <v>-2147137.9109462532</v>
      </c>
      <c r="H59" s="29">
        <v>0.1065</v>
      </c>
      <c r="I59" s="29">
        <v>7.7600000000000002E-2</v>
      </c>
      <c r="J59" s="41">
        <f t="shared" si="11"/>
        <v>3135200</v>
      </c>
    </row>
    <row r="60" spans="1:10">
      <c r="A60" s="32" t="s">
        <v>24</v>
      </c>
      <c r="B60" s="47">
        <f>+'Projected Exp - Attachment 3'!R29</f>
        <v>5865012.0830633324</v>
      </c>
      <c r="C60" s="47"/>
      <c r="D60" s="47">
        <v>-6993020.728438681</v>
      </c>
      <c r="E60" s="41">
        <f t="shared" si="9"/>
        <v>-70961</v>
      </c>
      <c r="F60" s="41">
        <f t="shared" si="10"/>
        <v>-8630591.276321603</v>
      </c>
      <c r="G60" s="41">
        <f>SUM(C55:C60)+$C$7+$C$9+$C$11+F60+C53+C39+C25</f>
        <v>-3346107.5563216014</v>
      </c>
      <c r="H60" s="29">
        <v>0.1065</v>
      </c>
      <c r="I60" s="29">
        <v>7.7600000000000002E-2</v>
      </c>
      <c r="J60" s="41">
        <f t="shared" si="11"/>
        <v>3064239</v>
      </c>
    </row>
    <row r="61" spans="1:10">
      <c r="A61" s="31" t="s">
        <v>25</v>
      </c>
      <c r="B61" s="47">
        <f>+'Projected Exp - Attachment 3'!S29</f>
        <v>5379927.1030633328</v>
      </c>
      <c r="C61" s="47"/>
      <c r="D61" s="47">
        <v>-8403742.378579542</v>
      </c>
      <c r="E61" s="41">
        <f t="shared" si="9"/>
        <v>-90015</v>
      </c>
      <c r="F61" s="41">
        <f t="shared" si="10"/>
        <v>-11744421.551837813</v>
      </c>
      <c r="G61" s="41">
        <f>SUM(C55:C61)+$C$7+$C$9+$C$11+F61+C53+C39+C25</f>
        <v>-6459937.8318378115</v>
      </c>
      <c r="H61" s="29">
        <v>0.1065</v>
      </c>
      <c r="I61" s="29">
        <v>7.7600000000000002E-2</v>
      </c>
      <c r="J61" s="41">
        <f t="shared" si="11"/>
        <v>2974224</v>
      </c>
    </row>
    <row r="62" spans="1:10">
      <c r="A62" s="31" t="s">
        <v>26</v>
      </c>
      <c r="B62" s="47">
        <f>+'Projected Exp - Attachment 3'!T29</f>
        <v>5379927.1030633328</v>
      </c>
      <c r="C62" s="47"/>
      <c r="D62" s="47">
        <v>-8029765.8530469434</v>
      </c>
      <c r="E62" s="41">
        <f t="shared" si="9"/>
        <v>-115990</v>
      </c>
      <c r="F62" s="41">
        <f t="shared" si="10"/>
        <v>-14510250.301821424</v>
      </c>
      <c r="G62" s="41">
        <f>SUM(C55:C62)+$C$7+$C$9+$C$11+F62+C53+C39+C25</f>
        <v>-9225766.581821423</v>
      </c>
      <c r="H62" s="29">
        <v>0.1065</v>
      </c>
      <c r="I62" s="29">
        <v>7.7600000000000002E-2</v>
      </c>
      <c r="J62" s="41">
        <f>+J61+E62</f>
        <v>2858234</v>
      </c>
    </row>
    <row r="63" spans="1:10">
      <c r="A63" s="31" t="s">
        <v>27</v>
      </c>
      <c r="B63" s="47">
        <f>+'Projected Exp - Attachment 3'!U29</f>
        <v>5865012.0830633324</v>
      </c>
      <c r="C63" s="47"/>
      <c r="D63" s="47">
        <v>-6672579.3546777768</v>
      </c>
      <c r="E63" s="41">
        <f t="shared" si="9"/>
        <v>-132362</v>
      </c>
      <c r="F63" s="41">
        <f t="shared" si="10"/>
        <v>-15450179.573435869</v>
      </c>
      <c r="G63" s="41">
        <f>SUM(C55:C63)+$C$7+$C$9+$C$11+F63+C53+C39+C25</f>
        <v>-10165695.853435867</v>
      </c>
      <c r="H63" s="29">
        <v>0.1065</v>
      </c>
      <c r="I63" s="29">
        <v>7.7600000000000002E-2</v>
      </c>
      <c r="J63" s="41">
        <f>+J62+E63</f>
        <v>2725872</v>
      </c>
    </row>
    <row r="64" spans="1:10">
      <c r="A64" s="31" t="s">
        <v>28</v>
      </c>
      <c r="B64" s="47">
        <f>+'Projected Exp - Attachment 3'!V29</f>
        <v>5358329.2930633323</v>
      </c>
      <c r="C64" s="47"/>
      <c r="D64" s="47">
        <v>-5366209.9499155832</v>
      </c>
      <c r="E64" s="41">
        <f t="shared" si="9"/>
        <v>-137155</v>
      </c>
      <c r="F64" s="41">
        <f t="shared" si="10"/>
        <v>-15595215.230288122</v>
      </c>
      <c r="G64" s="41">
        <f>SUM(C55:C64)+$C$7+$C$9+$C$11+F64+C53+C39+C25</f>
        <v>-10310731.510288119</v>
      </c>
      <c r="H64" s="29">
        <v>0.1065</v>
      </c>
      <c r="I64" s="29">
        <v>7.7600000000000002E-2</v>
      </c>
      <c r="J64" s="41">
        <f>+J63+E64</f>
        <v>2588717</v>
      </c>
    </row>
    <row r="65" spans="1:10">
      <c r="A65" s="31" t="s">
        <v>29</v>
      </c>
      <c r="B65" s="47">
        <f>+'Projected Exp - Attachment 3'!W29</f>
        <v>8457317.1730633322</v>
      </c>
      <c r="C65" s="47"/>
      <c r="D65" s="47">
        <v>-5394910.4409514172</v>
      </c>
      <c r="E65" s="41">
        <f t="shared" si="9"/>
        <v>-124818</v>
      </c>
      <c r="F65" s="41">
        <f t="shared" si="10"/>
        <v>-12657626.498176206</v>
      </c>
      <c r="G65" s="41">
        <f>SUM(C55:C65)+$C$7+$C$9+$C$11+F65+C53+C39+C25</f>
        <v>-7373142.7781762043</v>
      </c>
      <c r="H65" s="29">
        <v>0.1065</v>
      </c>
      <c r="I65" s="29">
        <v>7.7600000000000002E-2</v>
      </c>
      <c r="J65" s="41">
        <f>+J64+E65</f>
        <v>2463899</v>
      </c>
    </row>
    <row r="66" spans="1:10">
      <c r="A66" s="31" t="s">
        <v>30</v>
      </c>
      <c r="B66" s="47">
        <f>+'Projected Exp - Attachment 3'!X29</f>
        <v>5931542.763063333</v>
      </c>
      <c r="C66" s="47"/>
      <c r="D66" s="47">
        <v>-5939417.4191558268</v>
      </c>
      <c r="E66" s="41">
        <f t="shared" si="9"/>
        <v>-112371</v>
      </c>
      <c r="F66" s="41">
        <f t="shared" si="10"/>
        <v>-12777872.154268701</v>
      </c>
      <c r="G66" s="41">
        <f>SUM(C55:C66)+$C$7+$C$9+$C$11+F66+C53+C39+C25</f>
        <v>-7493388.434268699</v>
      </c>
      <c r="H66" s="29">
        <v>0.1065</v>
      </c>
      <c r="I66" s="29">
        <v>7.7600000000000002E-2</v>
      </c>
      <c r="J66" s="41">
        <f>+J65+E66</f>
        <v>2351528</v>
      </c>
    </row>
    <row r="67" spans="1:10">
      <c r="A67" s="28" t="s">
        <v>82</v>
      </c>
      <c r="B67" s="45">
        <f>SUM(B55:B66)</f>
        <v>70428508.516759992</v>
      </c>
      <c r="C67" s="45">
        <f>SUM(C55:C66)</f>
        <v>0</v>
      </c>
      <c r="D67" s="45">
        <f>SUM(D55:D66)</f>
        <v>-74934737.59238553</v>
      </c>
      <c r="E67" s="52">
        <f>SUM(E55:E66)</f>
        <v>-1109003</v>
      </c>
      <c r="F67" s="53"/>
      <c r="G67" s="53"/>
      <c r="H67" s="54"/>
      <c r="I67" s="35"/>
      <c r="J67" s="51"/>
    </row>
    <row r="68" spans="1:10" ht="9" customHeight="1">
      <c r="A68" s="28"/>
      <c r="B68" s="43"/>
      <c r="C68" s="43"/>
      <c r="D68" s="43"/>
      <c r="E68" s="55"/>
      <c r="F68" s="53"/>
      <c r="G68" s="53"/>
      <c r="H68" s="54"/>
      <c r="I68" s="35"/>
      <c r="J68" s="51"/>
    </row>
    <row r="69" spans="1:10">
      <c r="A69" s="31" t="s">
        <v>49</v>
      </c>
      <c r="B69" s="48"/>
      <c r="C69" s="43">
        <f>+C39+C25+C11+C9+C7+C53</f>
        <v>5284483.7200000016</v>
      </c>
      <c r="D69" s="48"/>
      <c r="E69" s="56"/>
      <c r="F69" s="56"/>
      <c r="G69" s="56"/>
      <c r="H69" s="57"/>
      <c r="I69" s="57"/>
      <c r="J69" s="56"/>
    </row>
    <row r="70" spans="1:10" ht="20.25" customHeight="1">
      <c r="B70" s="48"/>
      <c r="C70" s="67"/>
      <c r="D70" s="48"/>
      <c r="E70" s="56"/>
      <c r="F70" s="56"/>
      <c r="G70" s="56"/>
      <c r="H70" s="57"/>
      <c r="I70" s="57"/>
      <c r="J70" s="56"/>
    </row>
    <row r="71" spans="1:10">
      <c r="A71" s="36" t="s">
        <v>83</v>
      </c>
      <c r="B71" s="48"/>
      <c r="C71" s="48"/>
      <c r="D71" s="48"/>
      <c r="E71" s="48"/>
      <c r="F71" s="48"/>
      <c r="G71" s="48">
        <f>+G49</f>
        <v>-2473002.9060000069</v>
      </c>
      <c r="J71" s="48"/>
    </row>
    <row r="72" spans="1:10" ht="8.25" customHeight="1">
      <c r="A72" s="37"/>
      <c r="B72" s="48"/>
      <c r="C72" s="48"/>
      <c r="D72" s="48"/>
      <c r="E72" s="48"/>
      <c r="F72" s="48"/>
      <c r="G72" s="48"/>
      <c r="J72" s="48"/>
    </row>
    <row r="73" spans="1:10">
      <c r="A73" s="36" t="s">
        <v>84</v>
      </c>
      <c r="B73" s="48"/>
      <c r="C73" s="48"/>
      <c r="D73" s="48"/>
      <c r="E73" s="48"/>
      <c r="F73" s="48"/>
      <c r="G73" s="48">
        <f>+SUM(B50:B52)+SUM(B55:B66)</f>
        <v>88461696.796759993</v>
      </c>
      <c r="J73" s="48"/>
    </row>
    <row r="74" spans="1:10">
      <c r="A74" s="36" t="s">
        <v>85</v>
      </c>
      <c r="B74" s="48"/>
      <c r="C74" s="48"/>
      <c r="D74" s="48"/>
      <c r="E74" s="48"/>
      <c r="F74" s="48"/>
      <c r="G74" s="48">
        <f>+SUM(E50:E52)+SUM(E55:E66)</f>
        <v>-1190086</v>
      </c>
    </row>
    <row r="75" spans="1:10">
      <c r="A75" s="36" t="s">
        <v>86</v>
      </c>
      <c r="B75" s="48"/>
      <c r="C75" s="48"/>
      <c r="D75" s="48"/>
      <c r="E75" s="48"/>
      <c r="F75" s="48"/>
      <c r="G75" s="49">
        <f>SUM(G73:G74)</f>
        <v>87271610.796759993</v>
      </c>
    </row>
    <row r="76" spans="1:10" ht="9" customHeight="1">
      <c r="A76" s="37"/>
      <c r="B76" s="48"/>
      <c r="C76" s="48"/>
      <c r="D76" s="48"/>
      <c r="E76" s="48"/>
      <c r="F76" s="48"/>
      <c r="G76" s="48"/>
    </row>
    <row r="77" spans="1:10">
      <c r="A77" s="36" t="s">
        <v>88</v>
      </c>
      <c r="B77" s="48"/>
      <c r="C77" s="48"/>
      <c r="D77" s="48"/>
      <c r="E77" s="48"/>
      <c r="F77" s="48"/>
      <c r="G77" s="48">
        <f>SUM(D50:D52)+SUM(D55:D66)</f>
        <v>-92291996.325028658</v>
      </c>
    </row>
    <row r="78" spans="1:10" ht="9" customHeight="1">
      <c r="A78" s="38"/>
      <c r="B78" s="48"/>
      <c r="C78" s="48"/>
      <c r="D78" s="48"/>
      <c r="E78" s="48"/>
      <c r="F78" s="48"/>
      <c r="G78" s="48"/>
    </row>
    <row r="79" spans="1:10" ht="15" thickBot="1">
      <c r="A79" s="36" t="s">
        <v>87</v>
      </c>
      <c r="B79" s="48"/>
      <c r="C79" s="48"/>
      <c r="D79" s="48"/>
      <c r="E79" s="48"/>
      <c r="F79" s="48"/>
      <c r="G79" s="50">
        <f>+G71+G75+G77</f>
        <v>-7493388.4342686683</v>
      </c>
    </row>
    <row r="80" spans="1:10" ht="15" thickTop="1">
      <c r="A80" s="37"/>
      <c r="B80" s="48"/>
      <c r="C80" s="48"/>
      <c r="D80" s="48"/>
      <c r="E80" s="48"/>
      <c r="F80" s="48"/>
      <c r="G80" s="48"/>
    </row>
    <row r="81" spans="1:7">
      <c r="A81" s="39" t="s">
        <v>37</v>
      </c>
      <c r="B81" s="48"/>
      <c r="C81" s="48"/>
      <c r="D81" s="48"/>
      <c r="E81" s="48"/>
      <c r="F81" s="48"/>
      <c r="G81" s="48"/>
    </row>
    <row r="82" spans="1:7">
      <c r="A82" s="39" t="s">
        <v>89</v>
      </c>
      <c r="B82" s="48"/>
      <c r="C82" s="56"/>
      <c r="D82" s="56"/>
      <c r="E82" s="48"/>
      <c r="F82" s="48"/>
      <c r="G82" s="48"/>
    </row>
    <row r="83" spans="1:7" ht="14.25" customHeight="1">
      <c r="A83" s="39" t="s">
        <v>110</v>
      </c>
      <c r="B83" s="56"/>
      <c r="C83" s="56"/>
      <c r="D83" s="56"/>
      <c r="E83" s="56"/>
      <c r="F83" s="56"/>
      <c r="G83" s="48"/>
    </row>
    <row r="84" spans="1:7">
      <c r="A84" s="39" t="s">
        <v>109</v>
      </c>
    </row>
  </sheetData>
  <mergeCells count="1">
    <mergeCell ref="A3:J3"/>
  </mergeCells>
  <pageMargins left="0.7" right="0.45" top="0.75" bottom="0.75" header="0.3" footer="0.3"/>
  <pageSetup scale="65" orientation="portrait" r:id="rId1"/>
  <ignoredErrors>
    <ignoredError sqref="J14:J24 F38:G38 J27:J38 E19:F23 E14:F16 E17:F17 C25:E25 B25:B26 B39:D39 E39 F24:G24 E18:F18 F27:G27 F28 F29 F30 F31 F32 F33 F34 F35 F36 F37 E31:E37 F52 J41:J52 E27:E30 F41 F42 F43 F44 F45 F46 F47 F48 F49 F50 F51 G41 D40 E41:E48 G49:G52 F62 F55 F56 F57 J55:J66 F66 F65 E67 B67:D67 D53 C54:E54 C53 E53 F58 F59:G59 F60 F61 F63 F64 G55 C69 G56:G58 E49:E52 B53 B54 B50:B52 B55:B66 G60:G66 G13 E55:E66" unlockedFormula="1"/>
    <ignoredError sqref="G14:G18 G19:G23 G29:G30 G28 G33:G34 G32 G31 G37 G36 G35 G42:G48" formulaRange="1" unlockedFormula="1"/>
    <ignoredError sqref="G7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3" sqref="E33"/>
    </sheetView>
  </sheetViews>
  <sheetFormatPr defaultRowHeight="12.75" outlineLevelCol="1"/>
  <cols>
    <col min="1" max="1" width="44.140625" style="137" customWidth="1"/>
    <col min="2" max="2" width="13.5703125" style="151" customWidth="1" outlineLevel="1"/>
    <col min="3" max="3" width="11.42578125" style="151" customWidth="1" outlineLevel="1"/>
    <col min="4" max="4" width="11.42578125" style="151" customWidth="1"/>
    <col min="5" max="6" width="12.28515625" style="137" bestFit="1" customWidth="1"/>
    <col min="7" max="7" width="14.5703125" style="137" customWidth="1"/>
    <col min="8" max="8" width="14.28515625" style="137" customWidth="1"/>
    <col min="9" max="9" width="11.28515625" style="137" bestFit="1" customWidth="1"/>
    <col min="10" max="10" width="12.5703125" style="137" customWidth="1"/>
    <col min="11" max="11" width="11.140625" style="137" bestFit="1" customWidth="1"/>
    <col min="12" max="12" width="1.5703125" style="137" customWidth="1"/>
    <col min="13" max="24" width="11.5703125" style="137" customWidth="1" outlineLevel="1"/>
    <col min="25" max="25" width="12.140625" style="137" bestFit="1" customWidth="1"/>
    <col min="26" max="26" width="1.7109375" style="137" customWidth="1"/>
    <col min="27" max="27" width="13" style="137" bestFit="1" customWidth="1"/>
    <col min="28" max="16384" width="9.140625" style="137"/>
  </cols>
  <sheetData>
    <row r="1" spans="1:34">
      <c r="A1" s="135" t="s">
        <v>116</v>
      </c>
      <c r="B1" s="136"/>
      <c r="C1" s="136"/>
      <c r="D1" s="136"/>
    </row>
    <row r="2" spans="1:34">
      <c r="A2" s="138" t="s">
        <v>5</v>
      </c>
      <c r="B2" s="139"/>
      <c r="C2" s="139"/>
      <c r="D2" s="139"/>
      <c r="G2" s="140"/>
      <c r="N2" s="138"/>
    </row>
    <row r="3" spans="1:34">
      <c r="B3" s="141" t="s">
        <v>8</v>
      </c>
      <c r="C3" s="141" t="s">
        <v>35</v>
      </c>
      <c r="D3" s="141" t="s">
        <v>48</v>
      </c>
      <c r="H3" s="142" t="s">
        <v>9</v>
      </c>
      <c r="I3" s="143" t="s">
        <v>91</v>
      </c>
      <c r="J3" s="143" t="s">
        <v>92</v>
      </c>
      <c r="K3" s="143" t="s">
        <v>102</v>
      </c>
      <c r="Y3" s="144" t="s">
        <v>6</v>
      </c>
      <c r="AA3" s="144" t="s">
        <v>93</v>
      </c>
    </row>
    <row r="4" spans="1:34">
      <c r="B4" s="145" t="s">
        <v>90</v>
      </c>
      <c r="C4" s="145" t="s">
        <v>50</v>
      </c>
      <c r="D4" s="145" t="s">
        <v>90</v>
      </c>
      <c r="E4" s="174">
        <v>42644</v>
      </c>
      <c r="F4" s="174">
        <v>42675</v>
      </c>
      <c r="G4" s="174">
        <v>42705</v>
      </c>
      <c r="H4" s="146" t="s">
        <v>94</v>
      </c>
      <c r="I4" s="147" t="s">
        <v>36</v>
      </c>
      <c r="J4" s="147" t="s">
        <v>36</v>
      </c>
      <c r="K4" s="147" t="s">
        <v>36</v>
      </c>
      <c r="L4" s="148"/>
      <c r="M4" s="174">
        <v>42736</v>
      </c>
      <c r="N4" s="174">
        <v>42767</v>
      </c>
      <c r="O4" s="174">
        <v>42795</v>
      </c>
      <c r="P4" s="174">
        <v>42826</v>
      </c>
      <c r="Q4" s="174">
        <v>42856</v>
      </c>
      <c r="R4" s="174">
        <v>42887</v>
      </c>
      <c r="S4" s="174">
        <v>42917</v>
      </c>
      <c r="T4" s="174">
        <v>42948</v>
      </c>
      <c r="U4" s="174">
        <v>42979</v>
      </c>
      <c r="V4" s="174">
        <v>43009</v>
      </c>
      <c r="W4" s="174">
        <v>43040</v>
      </c>
      <c r="X4" s="174">
        <v>43070</v>
      </c>
      <c r="Y4" s="149" t="s">
        <v>95</v>
      </c>
      <c r="Z4" s="150"/>
      <c r="AA4" s="147" t="s">
        <v>36</v>
      </c>
      <c r="AB4" s="150"/>
      <c r="AC4" s="150"/>
      <c r="AD4" s="150"/>
      <c r="AE4" s="150"/>
      <c r="AF4" s="150"/>
      <c r="AG4" s="150"/>
      <c r="AH4" s="150"/>
    </row>
    <row r="5" spans="1:34">
      <c r="E5" s="148"/>
      <c r="F5" s="148"/>
      <c r="G5" s="148"/>
      <c r="H5" s="147"/>
      <c r="I5" s="147"/>
      <c r="J5" s="147"/>
      <c r="K5" s="147"/>
      <c r="L5" s="150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50"/>
      <c r="AA5" s="1"/>
      <c r="AB5" s="150"/>
      <c r="AC5" s="150"/>
      <c r="AD5" s="150"/>
      <c r="AE5" s="150"/>
      <c r="AF5" s="150"/>
      <c r="AG5" s="150"/>
      <c r="AH5" s="150"/>
    </row>
    <row r="6" spans="1:34">
      <c r="A6" s="138" t="s">
        <v>0</v>
      </c>
      <c r="B6" s="152"/>
      <c r="C6" s="152"/>
      <c r="D6" s="152"/>
      <c r="E6" s="150"/>
      <c r="F6" s="150"/>
      <c r="G6" s="150"/>
      <c r="H6" s="150"/>
      <c r="I6" s="150"/>
      <c r="J6" s="150"/>
      <c r="K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AA6" s="1"/>
    </row>
    <row r="7" spans="1:34" ht="15">
      <c r="A7" s="58" t="s">
        <v>46</v>
      </c>
      <c r="B7" s="153">
        <v>2440994.17</v>
      </c>
      <c r="C7" s="153">
        <v>2139217</v>
      </c>
      <c r="D7" s="153">
        <f t="shared" ref="D7:D12" si="0">SUM(B7:C7)</f>
        <v>4580211.17</v>
      </c>
      <c r="E7" s="3">
        <f>+(-$D$7+$K$7)/3</f>
        <v>175223.2766666667</v>
      </c>
      <c r="F7" s="3">
        <f>+(-$D$7+$K$7)/3</f>
        <v>175223.2766666667</v>
      </c>
      <c r="G7" s="3">
        <f>+(-$D$7+$K$7)/3</f>
        <v>175223.2766666667</v>
      </c>
      <c r="H7" s="3">
        <f t="shared" ref="H7:H12" si="1">SUM(D7:G7)</f>
        <v>5105880.9999999991</v>
      </c>
      <c r="I7" s="3">
        <v>6305881</v>
      </c>
      <c r="J7" s="3">
        <f>6305881-1100000</f>
        <v>5205881</v>
      </c>
      <c r="K7" s="3">
        <f>5205881-100000</f>
        <v>5105881</v>
      </c>
      <c r="M7" s="154">
        <v>251179</v>
      </c>
      <c r="N7" s="154">
        <v>251179</v>
      </c>
      <c r="O7" s="154">
        <v>753537</v>
      </c>
      <c r="P7" s="154">
        <v>753537</v>
      </c>
      <c r="Q7" s="154">
        <v>251179</v>
      </c>
      <c r="R7" s="154">
        <v>251179</v>
      </c>
      <c r="S7" s="154">
        <v>251179</v>
      </c>
      <c r="T7" s="154">
        <v>251179</v>
      </c>
      <c r="U7" s="154">
        <v>251179</v>
      </c>
      <c r="V7" s="154">
        <v>251179</v>
      </c>
      <c r="W7" s="154">
        <v>2511790</v>
      </c>
      <c r="X7" s="154">
        <v>251179</v>
      </c>
      <c r="Y7" s="65">
        <f t="shared" ref="Y7:Y12" si="2">SUM(M7:X7)</f>
        <v>6279475</v>
      </c>
      <c r="Z7" s="158"/>
      <c r="AA7" s="162">
        <v>6279475</v>
      </c>
    </row>
    <row r="8" spans="1:34" ht="15">
      <c r="A8" s="58" t="s">
        <v>1</v>
      </c>
      <c r="B8" s="153">
        <v>38911.24</v>
      </c>
      <c r="C8" s="153"/>
      <c r="D8" s="153">
        <f t="shared" si="0"/>
        <v>38911.24</v>
      </c>
      <c r="E8" s="60">
        <f>+(+$K$8-$D$8)/3</f>
        <v>4362.920000000001</v>
      </c>
      <c r="F8" s="60">
        <f>+(+$K$8-$D$8)/3</f>
        <v>4362.920000000001</v>
      </c>
      <c r="G8" s="60">
        <f>+(+$K$8-$D$8)/3</f>
        <v>4362.920000000001</v>
      </c>
      <c r="H8" s="3">
        <f t="shared" si="1"/>
        <v>51999.999999999993</v>
      </c>
      <c r="I8" s="3">
        <v>135000</v>
      </c>
      <c r="J8" s="3">
        <v>65000</v>
      </c>
      <c r="K8" s="3">
        <v>52000</v>
      </c>
      <c r="M8" s="154">
        <v>7083.333333333333</v>
      </c>
      <c r="N8" s="154">
        <v>7083.333333333333</v>
      </c>
      <c r="O8" s="154">
        <v>7083.333333333333</v>
      </c>
      <c r="P8" s="154">
        <v>7083.333333333333</v>
      </c>
      <c r="Q8" s="154">
        <v>7083.333333333333</v>
      </c>
      <c r="R8" s="154">
        <v>7083.333333333333</v>
      </c>
      <c r="S8" s="154">
        <v>7083.333333333333</v>
      </c>
      <c r="T8" s="154">
        <v>7083.333333333333</v>
      </c>
      <c r="U8" s="154">
        <v>7083.333333333333</v>
      </c>
      <c r="V8" s="154">
        <v>7083.333333333333</v>
      </c>
      <c r="W8" s="154">
        <v>7083.333333333333</v>
      </c>
      <c r="X8" s="154">
        <v>7083.333333333333</v>
      </c>
      <c r="Y8" s="65">
        <f t="shared" si="2"/>
        <v>85000</v>
      </c>
      <c r="Z8" s="158"/>
      <c r="AA8" s="162">
        <v>85000</v>
      </c>
    </row>
    <row r="9" spans="1:34">
      <c r="A9" s="58" t="s">
        <v>2</v>
      </c>
      <c r="B9" s="153">
        <v>1126356</v>
      </c>
      <c r="C9" s="153">
        <v>92735.81</v>
      </c>
      <c r="D9" s="153">
        <f t="shared" si="0"/>
        <v>1219091.81</v>
      </c>
      <c r="E9" s="60">
        <f>351225/3</f>
        <v>117075</v>
      </c>
      <c r="F9" s="60">
        <f>351225/3</f>
        <v>117075</v>
      </c>
      <c r="G9" s="60">
        <f>351225/3</f>
        <v>117075</v>
      </c>
      <c r="H9" s="3">
        <f t="shared" si="1"/>
        <v>1570316.81</v>
      </c>
      <c r="I9" s="3">
        <v>1735505</v>
      </c>
      <c r="J9" s="3">
        <v>1735505</v>
      </c>
      <c r="K9" s="3">
        <v>1570317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65">
        <f t="shared" si="2"/>
        <v>0</v>
      </c>
      <c r="Z9" s="158"/>
      <c r="AA9" s="162">
        <v>0</v>
      </c>
    </row>
    <row r="10" spans="1:34" ht="15">
      <c r="A10" s="58" t="s">
        <v>7</v>
      </c>
      <c r="B10" s="153">
        <v>1496949.63</v>
      </c>
      <c r="C10" s="153">
        <f>4590.47+80507</f>
        <v>85097.47</v>
      </c>
      <c r="D10" s="153">
        <f t="shared" si="0"/>
        <v>1582047.0999999999</v>
      </c>
      <c r="E10" s="1">
        <f>443969+190275+3400</f>
        <v>637644</v>
      </c>
      <c r="F10" s="1">
        <v>3400</v>
      </c>
      <c r="G10" s="1">
        <f>634000+3400</f>
        <v>637400</v>
      </c>
      <c r="H10" s="3">
        <f t="shared" si="1"/>
        <v>2860491.0999999996</v>
      </c>
      <c r="I10" s="3">
        <v>2641995</v>
      </c>
      <c r="J10" s="3">
        <v>2641995</v>
      </c>
      <c r="K10" s="3">
        <v>2860491</v>
      </c>
      <c r="M10" s="154">
        <v>54002.239999999998</v>
      </c>
      <c r="N10" s="154">
        <v>54002.239999999998</v>
      </c>
      <c r="O10" s="154">
        <v>567023.52</v>
      </c>
      <c r="P10" s="154">
        <v>54002.239999999998</v>
      </c>
      <c r="Q10" s="154">
        <v>54002.239999999998</v>
      </c>
      <c r="R10" s="154">
        <v>567023.52</v>
      </c>
      <c r="S10" s="154">
        <v>54002.239999999998</v>
      </c>
      <c r="T10" s="154">
        <v>54002.239999999998</v>
      </c>
      <c r="U10" s="154">
        <v>567023.52</v>
      </c>
      <c r="V10" s="154">
        <v>54002.239999999998</v>
      </c>
      <c r="W10" s="154">
        <v>54002.239999999998</v>
      </c>
      <c r="X10" s="154">
        <v>567023.52</v>
      </c>
      <c r="Y10" s="65">
        <f>SUM(M10:X10)</f>
        <v>2700112</v>
      </c>
      <c r="Z10" s="158"/>
      <c r="AA10" s="162">
        <v>2700112</v>
      </c>
    </row>
    <row r="11" spans="1:34">
      <c r="A11" s="58" t="s">
        <v>39</v>
      </c>
      <c r="B11" s="153">
        <f>2836.68+30+179658.26</f>
        <v>182524.94</v>
      </c>
      <c r="C11" s="153"/>
      <c r="D11" s="153">
        <f t="shared" si="0"/>
        <v>182524.94</v>
      </c>
      <c r="E11" s="61">
        <v>0</v>
      </c>
      <c r="F11" s="62">
        <v>0</v>
      </c>
      <c r="G11" s="62">
        <v>0</v>
      </c>
      <c r="H11" s="3">
        <f t="shared" si="1"/>
        <v>182524.94</v>
      </c>
      <c r="I11" s="3">
        <v>1597829</v>
      </c>
      <c r="J11" s="3">
        <v>174141</v>
      </c>
      <c r="K11" s="3">
        <v>182525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65">
        <f t="shared" si="2"/>
        <v>0</v>
      </c>
      <c r="Z11" s="158"/>
      <c r="AA11" s="162">
        <v>0</v>
      </c>
    </row>
    <row r="12" spans="1:34" ht="15">
      <c r="A12" s="58" t="s">
        <v>40</v>
      </c>
      <c r="B12" s="153">
        <v>8828369.3399999999</v>
      </c>
      <c r="C12" s="153">
        <v>1158662.51</v>
      </c>
      <c r="D12" s="153">
        <f t="shared" si="0"/>
        <v>9987031.8499999996</v>
      </c>
      <c r="E12" s="60">
        <f>3916829/3</f>
        <v>1305609.6666666667</v>
      </c>
      <c r="F12" s="60">
        <f>3916829/3</f>
        <v>1305609.6666666667</v>
      </c>
      <c r="G12" s="60">
        <f>3916829/3</f>
        <v>1305609.6666666667</v>
      </c>
      <c r="H12" s="3">
        <f t="shared" si="1"/>
        <v>13903860.849999998</v>
      </c>
      <c r="I12" s="3">
        <v>14258496</v>
      </c>
      <c r="J12" s="3">
        <v>12536201</v>
      </c>
      <c r="K12" s="3">
        <v>13903861</v>
      </c>
      <c r="M12" s="154">
        <v>1194224.9283333332</v>
      </c>
      <c r="N12" s="154">
        <v>1194224.9283333332</v>
      </c>
      <c r="O12" s="154">
        <v>1194224.9283333332</v>
      </c>
      <c r="P12" s="154">
        <v>1194224.9283333332</v>
      </c>
      <c r="Q12" s="154">
        <v>1194224.9283333332</v>
      </c>
      <c r="R12" s="154">
        <v>1194224.9283333332</v>
      </c>
      <c r="S12" s="154">
        <v>1194224.9283333332</v>
      </c>
      <c r="T12" s="154">
        <v>1194224.9283333332</v>
      </c>
      <c r="U12" s="154">
        <v>1194224.9283333332</v>
      </c>
      <c r="V12" s="154">
        <v>1194224.9283333332</v>
      </c>
      <c r="W12" s="154">
        <v>1194224.9283333332</v>
      </c>
      <c r="X12" s="154">
        <v>1194224.9283333332</v>
      </c>
      <c r="Y12" s="65">
        <f t="shared" si="2"/>
        <v>14330699.139999995</v>
      </c>
      <c r="Z12" s="158"/>
      <c r="AA12" s="162">
        <v>14330699</v>
      </c>
    </row>
    <row r="13" spans="1:34" ht="15">
      <c r="A13" s="144"/>
      <c r="B13" s="59">
        <f>SUM(B7:B12)</f>
        <v>14114105.32</v>
      </c>
      <c r="C13" s="59">
        <f t="shared" ref="C13:J13" si="3">SUM(C7:C12)</f>
        <v>3475712.79</v>
      </c>
      <c r="D13" s="59">
        <f t="shared" si="3"/>
        <v>17589818.109999999</v>
      </c>
      <c r="E13" s="2">
        <f t="shared" si="3"/>
        <v>2239914.8633333333</v>
      </c>
      <c r="F13" s="2">
        <f t="shared" si="3"/>
        <v>1605670.8633333335</v>
      </c>
      <c r="G13" s="2">
        <f t="shared" si="3"/>
        <v>2239670.8633333333</v>
      </c>
      <c r="H13" s="2">
        <f t="shared" si="3"/>
        <v>23675074.699999996</v>
      </c>
      <c r="I13" s="2">
        <f t="shared" si="3"/>
        <v>26674706</v>
      </c>
      <c r="J13" s="2">
        <f t="shared" si="3"/>
        <v>22358723</v>
      </c>
      <c r="K13" s="2">
        <f t="shared" ref="K13" si="4">SUM(K7:K12)</f>
        <v>23675075</v>
      </c>
      <c r="M13" s="160">
        <f t="shared" ref="M13:Y13" si="5">SUM(M7:M12)</f>
        <v>1506489.5016666665</v>
      </c>
      <c r="N13" s="160">
        <f t="shared" si="5"/>
        <v>1506489.5016666665</v>
      </c>
      <c r="O13" s="160">
        <f t="shared" si="5"/>
        <v>2521868.7816666667</v>
      </c>
      <c r="P13" s="160">
        <f t="shared" si="5"/>
        <v>2008847.5016666665</v>
      </c>
      <c r="Q13" s="160">
        <f t="shared" si="5"/>
        <v>1506489.5016666665</v>
      </c>
      <c r="R13" s="160">
        <f t="shared" si="5"/>
        <v>2019510.7816666667</v>
      </c>
      <c r="S13" s="160">
        <f t="shared" si="5"/>
        <v>1506489.5016666665</v>
      </c>
      <c r="T13" s="160">
        <f t="shared" si="5"/>
        <v>1506489.5016666665</v>
      </c>
      <c r="U13" s="160">
        <f t="shared" si="5"/>
        <v>2019510.7816666667</v>
      </c>
      <c r="V13" s="160">
        <f t="shared" si="5"/>
        <v>1506489.5016666665</v>
      </c>
      <c r="W13" s="160">
        <f t="shared" si="5"/>
        <v>3767100.5016666669</v>
      </c>
      <c r="X13" s="160">
        <f t="shared" si="5"/>
        <v>2019510.7816666667</v>
      </c>
      <c r="Y13" s="161">
        <f t="shared" si="5"/>
        <v>23395286.139999993</v>
      </c>
      <c r="Z13" s="158"/>
      <c r="AA13" s="161">
        <f>SUM(AA7:AA12)</f>
        <v>23395286</v>
      </c>
    </row>
    <row r="14" spans="1:34" ht="15">
      <c r="B14" s="153"/>
      <c r="C14" s="153"/>
      <c r="D14" s="153"/>
      <c r="E14" s="1"/>
      <c r="F14" s="1"/>
      <c r="G14" s="1"/>
      <c r="H14" s="1"/>
      <c r="I14" s="1"/>
      <c r="J14" s="1"/>
      <c r="K14" s="1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62"/>
      <c r="Z14" s="158"/>
      <c r="AA14" s="162"/>
    </row>
    <row r="15" spans="1:34" ht="15">
      <c r="A15" s="138" t="s">
        <v>41</v>
      </c>
      <c r="B15" s="152"/>
      <c r="C15" s="152"/>
      <c r="D15" s="152"/>
      <c r="E15" s="1"/>
      <c r="F15" s="1"/>
      <c r="G15" s="1"/>
      <c r="H15" s="1"/>
      <c r="I15" s="1"/>
      <c r="J15" s="1"/>
      <c r="K15" s="1"/>
      <c r="M15" s="154" t="s">
        <v>4</v>
      </c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62"/>
      <c r="Z15" s="158"/>
      <c r="AA15" s="162"/>
    </row>
    <row r="16" spans="1:34" ht="15">
      <c r="A16" s="58" t="s">
        <v>42</v>
      </c>
      <c r="B16" s="153">
        <f>15869577.82+(3465464.19*0.62)</f>
        <v>18018165.617800001</v>
      </c>
      <c r="C16" s="153">
        <f>2500+((1301314.36+10760)*0.62)</f>
        <v>815986.10320000001</v>
      </c>
      <c r="D16" s="153">
        <f>SUM(B16:C16)</f>
        <v>18834151.721000001</v>
      </c>
      <c r="E16" s="3">
        <f>+(-$D$16+$K$16)/3</f>
        <v>1932904.7529999998</v>
      </c>
      <c r="F16" s="3">
        <f t="shared" ref="F16:G16" si="6">+(-$D$16+$K$16)/3</f>
        <v>1932904.7529999998</v>
      </c>
      <c r="G16" s="3">
        <f t="shared" si="6"/>
        <v>1932904.7529999998</v>
      </c>
      <c r="H16" s="3">
        <f>SUM(D16:G16)</f>
        <v>24632865.979999997</v>
      </c>
      <c r="I16" s="3">
        <v>23404097</v>
      </c>
      <c r="J16" s="3">
        <f>23404097+2000000</f>
        <v>25404097</v>
      </c>
      <c r="K16" s="3">
        <f>39730429*0.62</f>
        <v>24632865.98</v>
      </c>
      <c r="M16" s="154">
        <v>2426787.1999999997</v>
      </c>
      <c r="N16" s="154">
        <v>2426787.1999999997</v>
      </c>
      <c r="O16" s="154">
        <v>2426787.1999999997</v>
      </c>
      <c r="P16" s="154">
        <v>2426787.1999999997</v>
      </c>
      <c r="Q16" s="154">
        <v>2426787.1999999997</v>
      </c>
      <c r="R16" s="154">
        <v>2426787.1999999997</v>
      </c>
      <c r="S16" s="154">
        <v>2426787.1999999997</v>
      </c>
      <c r="T16" s="154">
        <v>2426787.1999999997</v>
      </c>
      <c r="U16" s="154">
        <v>2426787.1999999997</v>
      </c>
      <c r="V16" s="154">
        <v>2426787.1999999997</v>
      </c>
      <c r="W16" s="154">
        <v>2426787.1999999997</v>
      </c>
      <c r="X16" s="154">
        <v>2426787.1999999997</v>
      </c>
      <c r="Y16" s="65">
        <f>SUM(M16:X16)</f>
        <v>29121446.399999995</v>
      </c>
      <c r="Z16" s="158"/>
      <c r="AA16" s="162">
        <v>29121446</v>
      </c>
    </row>
    <row r="17" spans="1:27" ht="15">
      <c r="A17" s="144"/>
      <c r="B17" s="59">
        <f t="shared" ref="B17:J17" si="7">SUM(B16:B16)</f>
        <v>18018165.617800001</v>
      </c>
      <c r="C17" s="59">
        <f t="shared" si="7"/>
        <v>815986.10320000001</v>
      </c>
      <c r="D17" s="59">
        <f t="shared" si="7"/>
        <v>18834151.721000001</v>
      </c>
      <c r="E17" s="59">
        <f t="shared" si="7"/>
        <v>1932904.7529999998</v>
      </c>
      <c r="F17" s="59">
        <f t="shared" si="7"/>
        <v>1932904.7529999998</v>
      </c>
      <c r="G17" s="59">
        <f t="shared" si="7"/>
        <v>1932904.7529999998</v>
      </c>
      <c r="H17" s="59">
        <f t="shared" si="7"/>
        <v>24632865.979999997</v>
      </c>
      <c r="I17" s="59">
        <f t="shared" si="7"/>
        <v>23404097</v>
      </c>
      <c r="J17" s="59">
        <f t="shared" si="7"/>
        <v>25404097</v>
      </c>
      <c r="K17" s="59">
        <f t="shared" ref="K17" si="8">SUM(K16:K16)</f>
        <v>24632865.98</v>
      </c>
      <c r="M17" s="160">
        <f t="shared" ref="M17:Y17" si="9">SUM(M16:M16)</f>
        <v>2426787.1999999997</v>
      </c>
      <c r="N17" s="160">
        <f t="shared" si="9"/>
        <v>2426787.1999999997</v>
      </c>
      <c r="O17" s="160">
        <f t="shared" si="9"/>
        <v>2426787.1999999997</v>
      </c>
      <c r="P17" s="160">
        <f t="shared" si="9"/>
        <v>2426787.1999999997</v>
      </c>
      <c r="Q17" s="160">
        <f t="shared" si="9"/>
        <v>2426787.1999999997</v>
      </c>
      <c r="R17" s="160">
        <f t="shared" si="9"/>
        <v>2426787.1999999997</v>
      </c>
      <c r="S17" s="160">
        <f t="shared" si="9"/>
        <v>2426787.1999999997</v>
      </c>
      <c r="T17" s="160">
        <f t="shared" si="9"/>
        <v>2426787.1999999997</v>
      </c>
      <c r="U17" s="160">
        <f t="shared" si="9"/>
        <v>2426787.1999999997</v>
      </c>
      <c r="V17" s="160">
        <f t="shared" si="9"/>
        <v>2426787.1999999997</v>
      </c>
      <c r="W17" s="160">
        <f t="shared" si="9"/>
        <v>2426787.1999999997</v>
      </c>
      <c r="X17" s="160">
        <f t="shared" si="9"/>
        <v>2426787.1999999997</v>
      </c>
      <c r="Y17" s="161">
        <f t="shared" si="9"/>
        <v>29121446.399999995</v>
      </c>
      <c r="Z17" s="158"/>
      <c r="AA17" s="161">
        <f>SUM(AA16:AA16)</f>
        <v>29121446</v>
      </c>
    </row>
    <row r="18" spans="1:27" ht="15">
      <c r="A18" s="172"/>
      <c r="B18" s="153"/>
      <c r="C18" s="153"/>
      <c r="D18" s="1"/>
      <c r="E18" s="171"/>
      <c r="F18" s="1"/>
      <c r="G18" s="1"/>
      <c r="H18" s="1"/>
      <c r="I18" s="1"/>
      <c r="J18" s="1"/>
      <c r="K18" s="1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62"/>
      <c r="Z18" s="158"/>
      <c r="AA18" s="162"/>
    </row>
    <row r="19" spans="1:27" ht="15">
      <c r="A19" s="138" t="s">
        <v>96</v>
      </c>
      <c r="B19" s="152"/>
      <c r="C19" s="152"/>
      <c r="D19" s="152"/>
      <c r="E19" s="1"/>
      <c r="F19" s="1"/>
      <c r="G19" s="1"/>
      <c r="H19" s="1"/>
      <c r="I19" s="1"/>
      <c r="J19" s="1"/>
      <c r="K19" s="1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62"/>
      <c r="Z19" s="158"/>
      <c r="AA19" s="162"/>
    </row>
    <row r="20" spans="1:27" ht="15">
      <c r="A20" s="58" t="s">
        <v>42</v>
      </c>
      <c r="B20" s="153">
        <f>(7278276.29+1076636.13)+(3465464.19*0.38)</f>
        <v>9671788.8122000005</v>
      </c>
      <c r="C20" s="153">
        <f>900+((1301314.36+10760)*0.38)</f>
        <v>499488.25680000003</v>
      </c>
      <c r="D20" s="153">
        <f>SUM(B20:C20)</f>
        <v>10171277.069</v>
      </c>
      <c r="E20" s="3">
        <f>+(-$D$20+$K$20)/3</f>
        <v>1642095.3169999998</v>
      </c>
      <c r="F20" s="3">
        <f t="shared" ref="F20:G20" si="10">+(-$D$20+$K$20)/3</f>
        <v>1642095.3169999998</v>
      </c>
      <c r="G20" s="3">
        <f t="shared" si="10"/>
        <v>1642095.3169999998</v>
      </c>
      <c r="H20" s="3">
        <f>SUM(D20:G20)</f>
        <v>15097563.02</v>
      </c>
      <c r="I20" s="3">
        <v>11562295</v>
      </c>
      <c r="J20" s="3">
        <v>11562295</v>
      </c>
      <c r="K20" s="3">
        <f>39730429*0.38</f>
        <v>15097563.02</v>
      </c>
      <c r="M20" s="154">
        <v>1232335.2999999998</v>
      </c>
      <c r="N20" s="154">
        <v>1232335.2999999998</v>
      </c>
      <c r="O20" s="154">
        <v>1232335.2999999998</v>
      </c>
      <c r="P20" s="154">
        <v>1232335.2999999998</v>
      </c>
      <c r="Q20" s="154">
        <v>1232335.2999999998</v>
      </c>
      <c r="R20" s="154">
        <v>1232335.2999999998</v>
      </c>
      <c r="S20" s="154">
        <v>1232335.2999999998</v>
      </c>
      <c r="T20" s="154">
        <v>1232335.2999999998</v>
      </c>
      <c r="U20" s="154">
        <v>1232335.2999999998</v>
      </c>
      <c r="V20" s="154">
        <v>1232335.2999999998</v>
      </c>
      <c r="W20" s="154">
        <v>1232335.2999999998</v>
      </c>
      <c r="X20" s="154">
        <v>1232335.2999999998</v>
      </c>
      <c r="Y20" s="173">
        <f>SUM(M20:X20)</f>
        <v>14788023.600000001</v>
      </c>
      <c r="Z20" s="158"/>
      <c r="AA20" s="162">
        <v>14788024</v>
      </c>
    </row>
    <row r="21" spans="1:27" ht="15">
      <c r="A21" s="58" t="s">
        <v>43</v>
      </c>
      <c r="B21" s="153">
        <v>12383.41</v>
      </c>
      <c r="C21" s="153">
        <v>455000</v>
      </c>
      <c r="D21" s="153">
        <f>SUM(B21:C21)</f>
        <v>467383.41</v>
      </c>
      <c r="E21" s="166">
        <f>-51000+4500</f>
        <v>-46500</v>
      </c>
      <c r="F21" s="60">
        <v>3117</v>
      </c>
      <c r="G21" s="60">
        <v>3000</v>
      </c>
      <c r="H21" s="3">
        <f>SUM(D21:G21)</f>
        <v>427000.41</v>
      </c>
      <c r="I21" s="3">
        <v>952701</v>
      </c>
      <c r="J21" s="3">
        <v>952701</v>
      </c>
      <c r="K21" s="3">
        <v>427000</v>
      </c>
      <c r="M21" s="154">
        <v>9527.01</v>
      </c>
      <c r="N21" s="154">
        <v>9527.01</v>
      </c>
      <c r="O21" s="154">
        <v>9527.01</v>
      </c>
      <c r="P21" s="154">
        <v>9527.01</v>
      </c>
      <c r="Q21" s="154">
        <v>9527.01</v>
      </c>
      <c r="R21" s="154">
        <v>9527.01</v>
      </c>
      <c r="S21" s="154">
        <v>9527.01</v>
      </c>
      <c r="T21" s="154">
        <v>9527.01</v>
      </c>
      <c r="U21" s="154">
        <v>9527.01</v>
      </c>
      <c r="V21" s="154">
        <v>9527.01</v>
      </c>
      <c r="W21" s="154">
        <v>847903.89</v>
      </c>
      <c r="X21" s="154">
        <v>9527.01</v>
      </c>
      <c r="Y21" s="65">
        <f>SUM(M21:X21)</f>
        <v>952701</v>
      </c>
      <c r="Z21" s="158"/>
      <c r="AA21" s="162">
        <v>952701</v>
      </c>
    </row>
    <row r="22" spans="1:27" ht="15">
      <c r="A22" s="144"/>
      <c r="B22" s="59">
        <f t="shared" ref="B22:J22" si="11">SUM(B20:B21)</f>
        <v>9684172.2222000007</v>
      </c>
      <c r="C22" s="59">
        <f t="shared" si="11"/>
        <v>954488.25680000009</v>
      </c>
      <c r="D22" s="59">
        <f t="shared" si="11"/>
        <v>10638660.479</v>
      </c>
      <c r="E22" s="2">
        <f t="shared" si="11"/>
        <v>1595595.3169999998</v>
      </c>
      <c r="F22" s="2">
        <f t="shared" si="11"/>
        <v>1645212.3169999998</v>
      </c>
      <c r="G22" s="2">
        <f t="shared" si="11"/>
        <v>1645095.3169999998</v>
      </c>
      <c r="H22" s="2">
        <f t="shared" si="11"/>
        <v>15524563.43</v>
      </c>
      <c r="I22" s="2">
        <f t="shared" si="11"/>
        <v>12514996</v>
      </c>
      <c r="J22" s="2">
        <f t="shared" si="11"/>
        <v>12514996</v>
      </c>
      <c r="K22" s="2">
        <f t="shared" ref="K22" si="12">SUM(K20:K21)</f>
        <v>15524563.02</v>
      </c>
      <c r="M22" s="160">
        <f t="shared" ref="M22:Y22" si="13">SUM(M20:M21)</f>
        <v>1241862.3099999998</v>
      </c>
      <c r="N22" s="160">
        <f t="shared" si="13"/>
        <v>1241862.3099999998</v>
      </c>
      <c r="O22" s="160">
        <f t="shared" si="13"/>
        <v>1241862.3099999998</v>
      </c>
      <c r="P22" s="160">
        <f t="shared" si="13"/>
        <v>1241862.3099999998</v>
      </c>
      <c r="Q22" s="160">
        <f t="shared" si="13"/>
        <v>1241862.3099999998</v>
      </c>
      <c r="R22" s="160">
        <f t="shared" si="13"/>
        <v>1241862.3099999998</v>
      </c>
      <c r="S22" s="160">
        <f t="shared" si="13"/>
        <v>1241862.3099999998</v>
      </c>
      <c r="T22" s="160">
        <f t="shared" si="13"/>
        <v>1241862.3099999998</v>
      </c>
      <c r="U22" s="160">
        <f t="shared" si="13"/>
        <v>1241862.3099999998</v>
      </c>
      <c r="V22" s="160">
        <f t="shared" si="13"/>
        <v>1241862.3099999998</v>
      </c>
      <c r="W22" s="160">
        <f t="shared" si="13"/>
        <v>2080239.19</v>
      </c>
      <c r="X22" s="160">
        <f t="shared" si="13"/>
        <v>1241862.3099999998</v>
      </c>
      <c r="Y22" s="161">
        <f t="shared" si="13"/>
        <v>15740724.600000001</v>
      </c>
      <c r="Z22" s="158"/>
      <c r="AA22" s="161">
        <f>SUM(AA20:AA21)</f>
        <v>15740725</v>
      </c>
    </row>
    <row r="23" spans="1:27" ht="15">
      <c r="A23" s="144"/>
      <c r="B23" s="152"/>
      <c r="C23" s="152"/>
      <c r="D23" s="152"/>
      <c r="E23" s="3"/>
      <c r="F23" s="3"/>
      <c r="G23" s="3"/>
      <c r="H23" s="3"/>
      <c r="I23" s="3"/>
      <c r="J23" s="3"/>
      <c r="K23" s="3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65"/>
      <c r="Z23" s="158"/>
      <c r="AA23" s="162"/>
    </row>
    <row r="24" spans="1:27" ht="15">
      <c r="A24" s="58" t="s">
        <v>44</v>
      </c>
      <c r="B24" s="153">
        <f>704322+5330.52</f>
        <v>709652.52</v>
      </c>
      <c r="C24" s="153"/>
      <c r="D24" s="153">
        <f t="shared" ref="D24:D27" si="14">SUM(B24:C24)</f>
        <v>709652.52</v>
      </c>
      <c r="E24" s="165">
        <f>+($K$24-$D$24)/3</f>
        <v>230115.82666666666</v>
      </c>
      <c r="F24" s="165">
        <f>+($K$24-$D$24)/3</f>
        <v>230115.82666666666</v>
      </c>
      <c r="G24" s="165">
        <f>+($K$24-$D$24)/3</f>
        <v>230115.82666666666</v>
      </c>
      <c r="H24" s="3">
        <f>SUM(D24:G24)</f>
        <v>1400000</v>
      </c>
      <c r="I24" s="3">
        <v>1400000</v>
      </c>
      <c r="J24" s="3">
        <v>1400000</v>
      </c>
      <c r="K24" s="3">
        <v>1400000</v>
      </c>
      <c r="M24" s="154">
        <v>116666.66666666666</v>
      </c>
      <c r="N24" s="154">
        <v>116666.66666666666</v>
      </c>
      <c r="O24" s="154">
        <v>116666.66666666666</v>
      </c>
      <c r="P24" s="154">
        <v>116666.66666666666</v>
      </c>
      <c r="Q24" s="154">
        <v>116666.66666666666</v>
      </c>
      <c r="R24" s="154">
        <v>116666.66666666666</v>
      </c>
      <c r="S24" s="154">
        <v>116666.66666666666</v>
      </c>
      <c r="T24" s="154">
        <v>116666.66666666666</v>
      </c>
      <c r="U24" s="154">
        <v>116666.66666666666</v>
      </c>
      <c r="V24" s="154">
        <v>116666.66666666666</v>
      </c>
      <c r="W24" s="154">
        <v>116666.66666666666</v>
      </c>
      <c r="X24" s="154">
        <v>116666.66666666666</v>
      </c>
      <c r="Y24" s="65">
        <f>SUM(M24:X24)</f>
        <v>1400000</v>
      </c>
      <c r="Z24" s="158"/>
      <c r="AA24" s="162">
        <v>1400000</v>
      </c>
    </row>
    <row r="25" spans="1:27" ht="15">
      <c r="A25" s="58" t="s">
        <v>101</v>
      </c>
      <c r="B25" s="153">
        <f>23678.82+36588.1+12935.59</f>
        <v>73202.509999999995</v>
      </c>
      <c r="C25" s="153"/>
      <c r="D25" s="153">
        <f t="shared" si="14"/>
        <v>73202.509999999995</v>
      </c>
      <c r="E25" s="60">
        <v>9297</v>
      </c>
      <c r="F25" s="60">
        <v>20000</v>
      </c>
      <c r="G25" s="165">
        <f>120000+14000</f>
        <v>134000</v>
      </c>
      <c r="H25" s="3">
        <f>SUM(D25:G25)</f>
        <v>236499.51</v>
      </c>
      <c r="I25" s="3">
        <v>219852</v>
      </c>
      <c r="J25" s="3">
        <v>211000</v>
      </c>
      <c r="K25" s="3">
        <v>236500</v>
      </c>
      <c r="M25" s="154">
        <v>27466.79</v>
      </c>
      <c r="N25" s="154">
        <v>10564.150000000001</v>
      </c>
      <c r="O25" s="154">
        <v>10564.150000000001</v>
      </c>
      <c r="P25" s="154">
        <v>10564.150000000001</v>
      </c>
      <c r="Q25" s="154">
        <v>4225.66</v>
      </c>
      <c r="R25" s="154">
        <v>4225.66</v>
      </c>
      <c r="S25" s="154">
        <v>4225.66</v>
      </c>
      <c r="T25" s="154">
        <v>4225.66</v>
      </c>
      <c r="U25" s="154">
        <v>4225.66</v>
      </c>
      <c r="V25" s="154">
        <v>10564.150000000001</v>
      </c>
      <c r="W25" s="154">
        <v>10564.150000000001</v>
      </c>
      <c r="X25" s="154">
        <v>109867.16</v>
      </c>
      <c r="Y25" s="65">
        <f>SUM(M25:X25)</f>
        <v>211283.00000000003</v>
      </c>
      <c r="Z25" s="158"/>
      <c r="AA25" s="162">
        <v>211283</v>
      </c>
    </row>
    <row r="26" spans="1:27" ht="15">
      <c r="A26" s="58" t="s">
        <v>45</v>
      </c>
      <c r="B26" s="153"/>
      <c r="C26" s="153">
        <v>38295.61</v>
      </c>
      <c r="D26" s="153">
        <f t="shared" si="14"/>
        <v>38295.61</v>
      </c>
      <c r="E26" s="60">
        <f>401390/3</f>
        <v>133796.66666666666</v>
      </c>
      <c r="F26" s="60">
        <f>401390/3</f>
        <v>133796.66666666666</v>
      </c>
      <c r="G26" s="60">
        <f>401390/3</f>
        <v>133796.66666666666</v>
      </c>
      <c r="H26" s="3">
        <f>SUM(D26:G26)</f>
        <v>439685.61</v>
      </c>
      <c r="I26" s="3">
        <v>1029991</v>
      </c>
      <c r="J26" s="3">
        <v>774416</v>
      </c>
      <c r="K26" s="3">
        <v>439686</v>
      </c>
      <c r="M26" s="154">
        <v>11174.52</v>
      </c>
      <c r="N26" s="154">
        <v>27936.300000000003</v>
      </c>
      <c r="O26" s="154">
        <v>27936.300000000003</v>
      </c>
      <c r="P26" s="154">
        <v>27936.300000000003</v>
      </c>
      <c r="Q26" s="154">
        <v>55872.600000000006</v>
      </c>
      <c r="R26" s="154">
        <v>55872.600000000006</v>
      </c>
      <c r="S26" s="154">
        <v>83808.899999999994</v>
      </c>
      <c r="T26" s="154">
        <v>83808.899999999994</v>
      </c>
      <c r="U26" s="154">
        <v>55872.600000000006</v>
      </c>
      <c r="V26" s="154">
        <v>55872.600000000006</v>
      </c>
      <c r="W26" s="154">
        <v>55872.600000000006</v>
      </c>
      <c r="X26" s="154">
        <v>16761.78</v>
      </c>
      <c r="Y26" s="65">
        <f>SUM(M26:X26)</f>
        <v>558726</v>
      </c>
      <c r="Z26" s="158"/>
      <c r="AA26" s="162">
        <v>558726</v>
      </c>
    </row>
    <row r="27" spans="1:27" ht="15">
      <c r="A27" s="58" t="s">
        <v>51</v>
      </c>
      <c r="B27" s="153">
        <v>60254.11</v>
      </c>
      <c r="C27" s="153"/>
      <c r="D27" s="153">
        <f t="shared" si="14"/>
        <v>60254.11</v>
      </c>
      <c r="E27" s="165">
        <v>2760</v>
      </c>
      <c r="F27" s="165">
        <v>2760</v>
      </c>
      <c r="G27" s="165">
        <v>2760</v>
      </c>
      <c r="H27" s="3">
        <f>SUM(D27:G27)</f>
        <v>68534.11</v>
      </c>
      <c r="I27" s="3">
        <v>56170</v>
      </c>
      <c r="J27" s="3">
        <v>56170</v>
      </c>
      <c r="K27" s="3">
        <v>68534</v>
      </c>
      <c r="M27" s="154">
        <v>86.86472999999998</v>
      </c>
      <c r="N27" s="154">
        <v>86.86472999999998</v>
      </c>
      <c r="O27" s="154">
        <v>86.86472999999998</v>
      </c>
      <c r="P27" s="154">
        <v>86.86472999999998</v>
      </c>
      <c r="Q27" s="154">
        <v>86.86472999999998</v>
      </c>
      <c r="R27" s="154">
        <v>86.86472999999998</v>
      </c>
      <c r="S27" s="154">
        <v>86.86472999999998</v>
      </c>
      <c r="T27" s="154">
        <v>86.86472999999998</v>
      </c>
      <c r="U27" s="154">
        <v>86.86472999999998</v>
      </c>
      <c r="V27" s="154">
        <v>86.86472999999998</v>
      </c>
      <c r="W27" s="154">
        <v>86.86472999999998</v>
      </c>
      <c r="X27" s="154">
        <v>86.86472999999998</v>
      </c>
      <c r="Y27" s="65">
        <f>SUM(M27:X27)</f>
        <v>1042.3767599999999</v>
      </c>
      <c r="Z27" s="163"/>
      <c r="AA27" s="162">
        <v>1042</v>
      </c>
    </row>
    <row r="28" spans="1:27" ht="15">
      <c r="B28" s="153"/>
      <c r="C28" s="153"/>
      <c r="D28" s="153"/>
      <c r="E28" s="40"/>
      <c r="F28" s="40"/>
      <c r="G28" s="40"/>
      <c r="H28" s="1"/>
      <c r="I28" s="1"/>
      <c r="J28" s="1"/>
      <c r="K28" s="1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62"/>
      <c r="Z28" s="163"/>
      <c r="AA28" s="162"/>
    </row>
    <row r="29" spans="1:27" ht="15">
      <c r="A29" s="155" t="s">
        <v>3</v>
      </c>
      <c r="B29" s="59">
        <f t="shared" ref="B29:Y29" si="15">+B13+B17+B22+SUM(B24:B28)</f>
        <v>42659552.300000004</v>
      </c>
      <c r="C29" s="59">
        <f t="shared" si="15"/>
        <v>5284482.7600000007</v>
      </c>
      <c r="D29" s="59">
        <f t="shared" si="15"/>
        <v>47944035.060000002</v>
      </c>
      <c r="E29" s="59">
        <f t="shared" si="15"/>
        <v>6144384.4266666658</v>
      </c>
      <c r="F29" s="59">
        <f t="shared" si="15"/>
        <v>5570460.4266666668</v>
      </c>
      <c r="G29" s="59">
        <f t="shared" si="15"/>
        <v>6318343.4266666658</v>
      </c>
      <c r="H29" s="59">
        <f t="shared" si="15"/>
        <v>65977223.339999989</v>
      </c>
      <c r="I29" s="59">
        <f t="shared" si="15"/>
        <v>65299812</v>
      </c>
      <c r="J29" s="59">
        <f t="shared" si="15"/>
        <v>62719402</v>
      </c>
      <c r="K29" s="59">
        <f t="shared" ref="K29" si="16">+K13+K17+K22+SUM(K24:K28)</f>
        <v>65977224</v>
      </c>
      <c r="L29" s="59">
        <f t="shared" si="15"/>
        <v>0</v>
      </c>
      <c r="M29" s="160">
        <f t="shared" si="15"/>
        <v>5330533.8530633328</v>
      </c>
      <c r="N29" s="160">
        <f t="shared" si="15"/>
        <v>5330392.9930633325</v>
      </c>
      <c r="O29" s="160">
        <f t="shared" si="15"/>
        <v>6345772.2730633328</v>
      </c>
      <c r="P29" s="160">
        <f t="shared" si="15"/>
        <v>5832750.9930633325</v>
      </c>
      <c r="Q29" s="160">
        <f t="shared" si="15"/>
        <v>5351990.8030633321</v>
      </c>
      <c r="R29" s="160">
        <f t="shared" si="15"/>
        <v>5865012.0830633324</v>
      </c>
      <c r="S29" s="160">
        <f t="shared" si="15"/>
        <v>5379927.1030633328</v>
      </c>
      <c r="T29" s="160">
        <f t="shared" si="15"/>
        <v>5379927.1030633328</v>
      </c>
      <c r="U29" s="160">
        <f t="shared" si="15"/>
        <v>5865012.0830633324</v>
      </c>
      <c r="V29" s="160">
        <f t="shared" si="15"/>
        <v>5358329.2930633323</v>
      </c>
      <c r="W29" s="160">
        <f t="shared" si="15"/>
        <v>8457317.1730633322</v>
      </c>
      <c r="X29" s="160">
        <f t="shared" si="15"/>
        <v>5931542.763063333</v>
      </c>
      <c r="Y29" s="164">
        <f t="shared" si="15"/>
        <v>70428508.516759992</v>
      </c>
      <c r="Z29" s="163"/>
      <c r="AA29" s="164">
        <f>+AA13+AA17+AA22+SUM(AA24:AA28)</f>
        <v>70428508</v>
      </c>
    </row>
    <row r="30" spans="1:27" s="138" customFormat="1">
      <c r="B30" s="152"/>
      <c r="C30" s="152"/>
      <c r="D30" s="152"/>
      <c r="E30" s="4"/>
      <c r="F30" s="4"/>
      <c r="G30" s="4"/>
      <c r="H30" s="4"/>
      <c r="I30" s="4"/>
      <c r="J30" s="4"/>
      <c r="K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4"/>
      <c r="Z30" s="156"/>
      <c r="AA30" s="1"/>
    </row>
    <row r="31" spans="1:27">
      <c r="A31" s="157"/>
      <c r="B31" s="152"/>
      <c r="C31" s="152"/>
      <c r="D31" s="152"/>
      <c r="E31" s="1"/>
      <c r="H31" s="65">
        <f>+'Balancing Acct-Attachment 2'!B53</f>
        <v>60692740.580000013</v>
      </c>
      <c r="I31" s="175" t="s">
        <v>115</v>
      </c>
      <c r="K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63"/>
      <c r="AA31" s="1"/>
    </row>
    <row r="32" spans="1:27">
      <c r="E32" s="1"/>
      <c r="H32" s="176">
        <f>+H29-H31</f>
        <v>5284482.7599999756</v>
      </c>
      <c r="I32" s="175" t="s">
        <v>111</v>
      </c>
      <c r="K32" s="169"/>
      <c r="M32" s="1"/>
      <c r="N32" s="1"/>
      <c r="O32" s="1"/>
      <c r="P32" s="1"/>
      <c r="Q32" s="1"/>
      <c r="R32" s="1"/>
      <c r="S32" s="1"/>
      <c r="T32" s="1"/>
      <c r="U32" s="1"/>
    </row>
    <row r="33" spans="1:13">
      <c r="A33" s="138" t="s">
        <v>97</v>
      </c>
      <c r="H33" s="158">
        <f>SUM(H31:H32)</f>
        <v>65977223.339999989</v>
      </c>
      <c r="M33" s="159"/>
    </row>
    <row r="34" spans="1:13">
      <c r="A34" s="137" t="s">
        <v>99</v>
      </c>
    </row>
    <row r="35" spans="1:13">
      <c r="A35" s="137" t="s">
        <v>112</v>
      </c>
    </row>
    <row r="36" spans="1:13">
      <c r="A36" s="137" t="s">
        <v>98</v>
      </c>
    </row>
    <row r="37" spans="1:13">
      <c r="A37" s="137" t="s">
        <v>100</v>
      </c>
    </row>
    <row r="40" spans="1:13">
      <c r="E40" s="151"/>
      <c r="F40" s="151"/>
      <c r="G40" s="151"/>
    </row>
    <row r="41" spans="1:13">
      <c r="E41" s="40"/>
      <c r="F41" s="40"/>
      <c r="G41" s="151"/>
    </row>
    <row r="42" spans="1:13">
      <c r="E42" s="168"/>
      <c r="F42" s="168"/>
      <c r="G42" s="168"/>
    </row>
    <row r="43" spans="1:13">
      <c r="E43" s="167"/>
    </row>
    <row r="44" spans="1:13">
      <c r="G44" s="167"/>
    </row>
  </sheetData>
  <pageMargins left="0.45" right="0.45" top="0.75" bottom="0.75" header="0.3" footer="0.3"/>
  <pageSetup scale="61" fitToWidth="0" orientation="landscape" r:id="rId1"/>
  <colBreaks count="1" manualBreakCount="1">
    <brk id="12" max="1048575" man="1"/>
  </colBreaks>
  <ignoredErrors>
    <ignoredError sqref="K2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"/>
  <sheetViews>
    <sheetView topLeftCell="A7" workbookViewId="0">
      <selection activeCell="P12" sqref="P12"/>
    </sheetView>
  </sheetViews>
  <sheetFormatPr defaultRowHeight="15"/>
  <cols>
    <col min="1" max="1" width="29.85546875" customWidth="1"/>
  </cols>
  <sheetData>
    <row r="2" spans="1:16" ht="15.75">
      <c r="A2" s="192" t="s">
        <v>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6" ht="15.75">
      <c r="A3" s="192" t="s">
        <v>52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6" ht="15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7" spans="1:16">
      <c r="A7" s="127" t="s">
        <v>53</v>
      </c>
      <c r="B7" s="128">
        <v>42519</v>
      </c>
      <c r="C7" s="128">
        <v>42526</v>
      </c>
      <c r="D7" s="128">
        <v>42533</v>
      </c>
      <c r="E7" s="128">
        <v>42540</v>
      </c>
      <c r="F7" s="128">
        <v>42547</v>
      </c>
      <c r="G7" s="128">
        <v>42554</v>
      </c>
      <c r="H7" s="128">
        <v>42561</v>
      </c>
      <c r="I7" s="128">
        <v>42568</v>
      </c>
      <c r="J7" s="128">
        <v>42575</v>
      </c>
      <c r="K7" s="128">
        <v>42582</v>
      </c>
      <c r="L7" s="128">
        <v>42589</v>
      </c>
      <c r="M7" s="128">
        <v>42596</v>
      </c>
    </row>
    <row r="8" spans="1:16">
      <c r="A8" s="129" t="s">
        <v>104</v>
      </c>
      <c r="B8" s="130">
        <v>12.710963079016098</v>
      </c>
      <c r="C8" s="130">
        <v>12.171865018352971</v>
      </c>
      <c r="D8" s="130">
        <v>13.2256652859566</v>
      </c>
      <c r="E8" s="130">
        <v>15.553259995091805</v>
      </c>
      <c r="F8" s="130">
        <v>18.400156719896948</v>
      </c>
      <c r="G8" s="130">
        <v>17.920650094417905</v>
      </c>
      <c r="H8" s="130">
        <v>16.913503730366397</v>
      </c>
      <c r="I8" s="130">
        <v>16.645917137760424</v>
      </c>
      <c r="J8" s="130">
        <v>17.908658443746681</v>
      </c>
      <c r="K8" s="130">
        <v>17.582245169215007</v>
      </c>
      <c r="L8" s="130">
        <v>16.344569148504331</v>
      </c>
      <c r="M8" s="130">
        <v>16.456569133116275</v>
      </c>
    </row>
    <row r="9" spans="1:16">
      <c r="A9" s="131" t="s">
        <v>105</v>
      </c>
      <c r="B9" s="130">
        <v>33.626669999999997</v>
      </c>
      <c r="C9" s="130">
        <v>33.626669999999997</v>
      </c>
      <c r="D9" s="130">
        <v>33.626666666666665</v>
      </c>
      <c r="E9" s="130">
        <v>33.626666666666665</v>
      </c>
      <c r="F9" s="130">
        <v>33.626666666666665</v>
      </c>
      <c r="G9" s="130">
        <v>33.626666666666665</v>
      </c>
      <c r="H9" s="130">
        <v>33.626666666666665</v>
      </c>
      <c r="I9" s="130">
        <v>33.626666666666665</v>
      </c>
      <c r="J9" s="130">
        <v>33.626666666666665</v>
      </c>
      <c r="K9" s="130">
        <v>33.626666666666665</v>
      </c>
      <c r="L9" s="130">
        <v>33.626669999999997</v>
      </c>
      <c r="M9" s="130">
        <v>33.626669999999997</v>
      </c>
    </row>
    <row r="10" spans="1:16">
      <c r="A10" s="132" t="s">
        <v>54</v>
      </c>
      <c r="B10" s="133">
        <v>0.37800243315844534</v>
      </c>
      <c r="C10" s="133">
        <v>0.36197057330841775</v>
      </c>
      <c r="D10" s="133">
        <v>0.39330884077983547</v>
      </c>
      <c r="E10" s="133">
        <v>0.46252755734809098</v>
      </c>
      <c r="F10" s="133">
        <v>0.547189434572669</v>
      </c>
      <c r="G10" s="133">
        <v>0.5329297212852272</v>
      </c>
      <c r="H10" s="133">
        <v>0.50297889761200631</v>
      </c>
      <c r="I10" s="133">
        <v>0.49502132645996505</v>
      </c>
      <c r="J10" s="133">
        <v>0.53257310994488549</v>
      </c>
      <c r="K10" s="133">
        <v>0.52286613310512509</v>
      </c>
      <c r="L10" s="133">
        <v>0.48605970048489283</v>
      </c>
      <c r="M10" s="133">
        <v>0.48939038962574283</v>
      </c>
      <c r="N10" s="68"/>
      <c r="O10" s="68"/>
      <c r="P10" s="170"/>
    </row>
    <row r="11" spans="1:16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35" spans="1:1">
      <c r="A35" s="126" t="s">
        <v>55</v>
      </c>
    </row>
    <row r="36" spans="1:1">
      <c r="A36" t="s">
        <v>106</v>
      </c>
    </row>
    <row r="37" spans="1:1">
      <c r="A37" t="s">
        <v>107</v>
      </c>
    </row>
  </sheetData>
  <mergeCells count="2">
    <mergeCell ref="A2:N2"/>
    <mergeCell ref="A3:N3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Savings Forecast-Attachment 1</vt:lpstr>
      <vt:lpstr>Balancing Acct-Attachment 2</vt:lpstr>
      <vt:lpstr>Projected Exp - Attachment 3</vt:lpstr>
      <vt:lpstr>Irr Prgm Impact-Attachment 4</vt:lpstr>
      <vt:lpstr>'Balancing Acct-Attachment 2'!Print_Titles</vt:lpstr>
      <vt:lpstr>'Projected Exp - Attachment 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2016-11-01T17:09:48Z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