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001\"/>
    </mc:Choice>
  </mc:AlternateContent>
  <bookViews>
    <workbookView xWindow="0" yWindow="0" windowWidth="28800" windowHeight="13020" tabRatio="685"/>
  </bookViews>
  <sheets>
    <sheet name="Historical" sheetId="5" r:id="rId1"/>
    <sheet name="Cash Flow" sheetId="9" r:id="rId2"/>
  </sheets>
  <definedNames>
    <definedName name="_xlnm.Print_Area" localSheetId="1">'Cash Flow'!$A$1:$P$48</definedName>
    <definedName name="_xlnm.Print_Area" localSheetId="0">Historical!$A$1:$O$153</definedName>
  </definedNames>
  <calcPr calcId="152511"/>
</workbook>
</file>

<file path=xl/calcChain.xml><?xml version="1.0" encoding="utf-8"?>
<calcChain xmlns="http://schemas.openxmlformats.org/spreadsheetml/2006/main">
  <c r="O126" i="5" l="1"/>
  <c r="O127" i="5"/>
  <c r="M126" i="5"/>
  <c r="L126" i="5"/>
  <c r="K126" i="5"/>
  <c r="J126" i="5"/>
  <c r="I126" i="5"/>
  <c r="E112" i="5" l="1"/>
  <c r="D112" i="5"/>
  <c r="C112" i="5"/>
  <c r="P65" i="5"/>
  <c r="U69" i="5"/>
  <c r="T69" i="5"/>
  <c r="S69" i="5"/>
  <c r="Q103" i="5"/>
  <c r="Q102" i="5"/>
  <c r="Q100" i="5"/>
  <c r="Q99" i="5"/>
  <c r="Q98" i="5"/>
  <c r="Q97" i="5"/>
  <c r="Q96" i="5"/>
  <c r="Q94" i="5"/>
  <c r="Q93" i="5"/>
  <c r="Q92" i="5"/>
  <c r="Q91" i="5"/>
  <c r="Q90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3" i="5"/>
  <c r="Q71" i="5"/>
  <c r="Q70" i="5"/>
  <c r="Q69" i="5"/>
  <c r="O62" i="5"/>
  <c r="O105" i="5" s="1"/>
  <c r="U8" i="5"/>
  <c r="T8" i="5"/>
  <c r="S8" i="5"/>
  <c r="R8" i="5"/>
  <c r="Q60" i="5"/>
  <c r="Q59" i="5"/>
  <c r="Q58" i="5"/>
  <c r="Q57" i="5"/>
  <c r="Q56" i="5"/>
  <c r="Q54" i="5"/>
  <c r="Q52" i="5"/>
  <c r="Q50" i="5"/>
  <c r="Q49" i="5"/>
  <c r="Q48" i="5"/>
  <c r="Q47" i="5"/>
  <c r="Q46" i="5"/>
  <c r="Q44" i="5"/>
  <c r="Q43" i="5"/>
  <c r="Q42" i="5"/>
  <c r="Q41" i="5"/>
  <c r="Q40" i="5"/>
  <c r="Q39" i="5"/>
  <c r="Q38" i="5"/>
  <c r="Q37" i="5"/>
  <c r="Q35" i="5"/>
  <c r="Q34" i="5"/>
  <c r="Q33" i="5"/>
  <c r="Q32" i="5"/>
  <c r="Q31" i="5"/>
  <c r="Q30" i="5"/>
  <c r="Q29" i="5"/>
  <c r="Q27" i="5"/>
  <c r="Q25" i="5"/>
  <c r="Q23" i="5"/>
  <c r="Q22" i="5"/>
  <c r="Q21" i="5"/>
  <c r="Q20" i="5"/>
  <c r="Q19" i="5"/>
  <c r="Q17" i="5"/>
  <c r="Q16" i="5"/>
  <c r="Q15" i="5"/>
  <c r="Q14" i="5"/>
  <c r="Q13" i="5"/>
  <c r="Q12" i="5"/>
  <c r="Q11" i="5"/>
  <c r="Q10" i="5"/>
  <c r="Q9" i="5"/>
  <c r="Q8" i="5"/>
  <c r="Q3" i="5"/>
  <c r="P64" i="5" s="1"/>
  <c r="A3" i="9"/>
  <c r="O67" i="5" l="1"/>
  <c r="O103" i="5"/>
  <c r="O84" i="5"/>
  <c r="O82" i="5"/>
  <c r="O80" i="5"/>
  <c r="O79" i="5"/>
  <c r="O78" i="5"/>
  <c r="O77" i="5"/>
  <c r="O76" i="5"/>
  <c r="O71" i="5"/>
  <c r="O57" i="5"/>
  <c r="O49" i="5"/>
  <c r="O47" i="5"/>
  <c r="O41" i="5"/>
  <c r="O40" i="5"/>
  <c r="O25" i="5"/>
  <c r="O21" i="5"/>
  <c r="O20" i="5"/>
  <c r="O15" i="5"/>
  <c r="O13" i="5"/>
  <c r="O10" i="5"/>
  <c r="N46" i="5"/>
  <c r="N50" i="5" s="1"/>
  <c r="N14" i="5"/>
  <c r="N32" i="5"/>
  <c r="N98" i="5"/>
  <c r="N90" i="5"/>
  <c r="N86" i="5"/>
  <c r="N81" i="5"/>
  <c r="L43" i="9"/>
  <c r="M81" i="5"/>
  <c r="M43" i="5"/>
  <c r="M42" i="5"/>
  <c r="M38" i="5"/>
  <c r="M46" i="5"/>
  <c r="M14" i="5"/>
  <c r="M21" i="5"/>
  <c r="P37" i="9"/>
  <c r="P39" i="9" s="1"/>
  <c r="O37" i="9"/>
  <c r="P30" i="9"/>
  <c r="O30" i="9"/>
  <c r="P18" i="9"/>
  <c r="O18" i="9"/>
  <c r="O9" i="9"/>
  <c r="P9" i="9" s="1"/>
  <c r="L81" i="5"/>
  <c r="L43" i="5"/>
  <c r="L38" i="5"/>
  <c r="L46" i="5"/>
  <c r="L14" i="5"/>
  <c r="L21" i="5"/>
  <c r="M94" i="5"/>
  <c r="N73" i="5"/>
  <c r="M73" i="5"/>
  <c r="N59" i="5"/>
  <c r="M59" i="5"/>
  <c r="N44" i="5"/>
  <c r="M33" i="5"/>
  <c r="N23" i="5"/>
  <c r="AC94" i="5" l="1"/>
  <c r="AD103" i="5"/>
  <c r="AD99" i="5"/>
  <c r="AD97" i="5"/>
  <c r="AD93" i="5"/>
  <c r="AD91" i="5"/>
  <c r="AD85" i="5"/>
  <c r="AD84" i="5"/>
  <c r="AD82" i="5"/>
  <c r="AD80" i="5"/>
  <c r="AD79" i="5"/>
  <c r="AD78" i="5"/>
  <c r="AD77" i="5"/>
  <c r="AD76" i="5"/>
  <c r="AD73" i="5"/>
  <c r="AD71" i="5"/>
  <c r="O86" i="5"/>
  <c r="AD86" i="5"/>
  <c r="M87" i="5"/>
  <c r="AC87" i="5" s="1"/>
  <c r="AC81" i="5"/>
  <c r="O90" i="5"/>
  <c r="AD90" i="5"/>
  <c r="O98" i="5"/>
  <c r="AD98" i="5"/>
  <c r="AC99" i="5"/>
  <c r="AC84" i="5"/>
  <c r="AC80" i="5"/>
  <c r="AC76" i="5"/>
  <c r="AC98" i="5"/>
  <c r="AC93" i="5"/>
  <c r="AC85" i="5"/>
  <c r="AC82" i="5"/>
  <c r="AC79" i="5"/>
  <c r="AC103" i="5"/>
  <c r="AC91" i="5"/>
  <c r="AC86" i="5"/>
  <c r="AC90" i="5"/>
  <c r="AC77" i="5"/>
  <c r="AC71" i="5"/>
  <c r="AC97" i="5"/>
  <c r="AC78" i="5"/>
  <c r="AC73" i="5"/>
  <c r="AD81" i="5"/>
  <c r="N116" i="5"/>
  <c r="M17" i="5"/>
  <c r="O14" i="5"/>
  <c r="M50" i="5"/>
  <c r="N27" i="5"/>
  <c r="N117" i="5"/>
  <c r="M23" i="5"/>
  <c r="O32" i="5"/>
  <c r="M133" i="5"/>
  <c r="N133" i="5"/>
  <c r="N17" i="5"/>
  <c r="N145" i="5"/>
  <c r="N33" i="5"/>
  <c r="N148" i="5"/>
  <c r="M44" i="5"/>
  <c r="N94" i="5"/>
  <c r="AD94" i="5" s="1"/>
  <c r="N87" i="5"/>
  <c r="N52" i="5"/>
  <c r="N121" i="5"/>
  <c r="N149" i="5"/>
  <c r="N122" i="5"/>
  <c r="N144" i="5"/>
  <c r="N150" i="5"/>
  <c r="O39" i="9"/>
  <c r="M144" i="5"/>
  <c r="M148" i="5"/>
  <c r="M150" i="5"/>
  <c r="M145" i="5"/>
  <c r="M149" i="5"/>
  <c r="M132" i="5"/>
  <c r="N132" i="5"/>
  <c r="K81" i="5"/>
  <c r="J81" i="5"/>
  <c r="K43" i="5"/>
  <c r="J43" i="5"/>
  <c r="K38" i="5"/>
  <c r="J38" i="5"/>
  <c r="K46" i="5"/>
  <c r="J46" i="5"/>
  <c r="K14" i="5"/>
  <c r="J14" i="5"/>
  <c r="I85" i="5"/>
  <c r="I91" i="5"/>
  <c r="I81" i="5"/>
  <c r="I43" i="5"/>
  <c r="I38" i="5"/>
  <c r="I46" i="5"/>
  <c r="I16" i="5"/>
  <c r="H81" i="5"/>
  <c r="M88" i="5" l="1"/>
  <c r="AC88" i="5" s="1"/>
  <c r="O85" i="5"/>
  <c r="O81" i="5"/>
  <c r="N88" i="5"/>
  <c r="AD88" i="5" s="1"/>
  <c r="AD87" i="5"/>
  <c r="O91" i="5"/>
  <c r="O16" i="5"/>
  <c r="N115" i="5"/>
  <c r="M27" i="5"/>
  <c r="O46" i="5"/>
  <c r="M116" i="5"/>
  <c r="N34" i="5"/>
  <c r="O43" i="5"/>
  <c r="M121" i="5"/>
  <c r="N60" i="5"/>
  <c r="N35" i="5"/>
  <c r="N134" i="5"/>
  <c r="M115" i="5"/>
  <c r="M52" i="5"/>
  <c r="M120" i="5" s="1"/>
  <c r="N120" i="5"/>
  <c r="M96" i="5"/>
  <c r="AC96" i="5" s="1"/>
  <c r="H43" i="5"/>
  <c r="H38" i="5"/>
  <c r="H46" i="5"/>
  <c r="H16" i="5"/>
  <c r="H17" i="5" s="1"/>
  <c r="N37" i="9"/>
  <c r="M37" i="9"/>
  <c r="L37" i="9"/>
  <c r="K37" i="9"/>
  <c r="J37" i="9"/>
  <c r="I37" i="9"/>
  <c r="I39" i="9" s="1"/>
  <c r="H37" i="9"/>
  <c r="N30" i="9"/>
  <c r="M30" i="9"/>
  <c r="L30" i="9"/>
  <c r="K30" i="9"/>
  <c r="J30" i="9"/>
  <c r="H30" i="9"/>
  <c r="I30" i="9"/>
  <c r="N18" i="9"/>
  <c r="M18" i="9"/>
  <c r="L18" i="9"/>
  <c r="K18" i="9"/>
  <c r="K39" i="9" s="1"/>
  <c r="J18" i="9"/>
  <c r="H18" i="9"/>
  <c r="I18" i="9"/>
  <c r="H9" i="9"/>
  <c r="I9" i="9" s="1"/>
  <c r="F81" i="5"/>
  <c r="G81" i="5"/>
  <c r="F43" i="5"/>
  <c r="G43" i="5"/>
  <c r="F38" i="5"/>
  <c r="G38" i="5"/>
  <c r="G46" i="5"/>
  <c r="G16" i="5"/>
  <c r="L94" i="5"/>
  <c r="AB94" i="5" s="1"/>
  <c r="K94" i="5"/>
  <c r="AA94" i="5" s="1"/>
  <c r="J94" i="5"/>
  <c r="I94" i="5"/>
  <c r="H94" i="5"/>
  <c r="X94" i="5" s="1"/>
  <c r="G94" i="5"/>
  <c r="W94" i="5" s="1"/>
  <c r="L87" i="5"/>
  <c r="K87" i="5"/>
  <c r="J87" i="5"/>
  <c r="I87" i="5"/>
  <c r="H87" i="5"/>
  <c r="L73" i="5"/>
  <c r="K73" i="5"/>
  <c r="J73" i="5"/>
  <c r="I73" i="5"/>
  <c r="Y85" i="5" s="1"/>
  <c r="H73" i="5"/>
  <c r="X81" i="5" s="1"/>
  <c r="G73" i="5"/>
  <c r="K44" i="5"/>
  <c r="L59" i="5"/>
  <c r="K59" i="5"/>
  <c r="J59" i="5"/>
  <c r="I59" i="5"/>
  <c r="H59" i="5"/>
  <c r="G59" i="5"/>
  <c r="L50" i="5"/>
  <c r="K50" i="5"/>
  <c r="J50" i="5"/>
  <c r="I50" i="5"/>
  <c r="L44" i="5"/>
  <c r="J44" i="5"/>
  <c r="I44" i="5"/>
  <c r="K17" i="5"/>
  <c r="L17" i="5"/>
  <c r="J17" i="5"/>
  <c r="I17" i="5"/>
  <c r="L33" i="5"/>
  <c r="K33" i="5"/>
  <c r="J33" i="5"/>
  <c r="I33" i="5"/>
  <c r="H33" i="5"/>
  <c r="G33" i="5"/>
  <c r="L23" i="5"/>
  <c r="K23" i="5"/>
  <c r="J23" i="5"/>
  <c r="J27" i="5" s="1"/>
  <c r="I23" i="5"/>
  <c r="H23" i="5"/>
  <c r="G23" i="5"/>
  <c r="F8" i="5"/>
  <c r="V8" i="5" s="1"/>
  <c r="D73" i="5"/>
  <c r="D87" i="5"/>
  <c r="T87" i="5" s="1"/>
  <c r="D94" i="5"/>
  <c r="E73" i="5"/>
  <c r="E94" i="5"/>
  <c r="C73" i="5"/>
  <c r="C87" i="5"/>
  <c r="C94" i="5"/>
  <c r="C44" i="5"/>
  <c r="C17" i="5"/>
  <c r="D17" i="5"/>
  <c r="D23" i="5"/>
  <c r="D33" i="5"/>
  <c r="F73" i="5"/>
  <c r="F94" i="5"/>
  <c r="B73" i="5"/>
  <c r="B17" i="5"/>
  <c r="E17" i="5"/>
  <c r="C23" i="5"/>
  <c r="E23" i="5"/>
  <c r="E27" i="5" s="1"/>
  <c r="F23" i="5"/>
  <c r="F33" i="5"/>
  <c r="C33" i="5"/>
  <c r="E33" i="5"/>
  <c r="E44" i="5"/>
  <c r="D50" i="5"/>
  <c r="F50" i="5"/>
  <c r="E50" i="5"/>
  <c r="E59" i="5"/>
  <c r="C59" i="5"/>
  <c r="C150" i="5" s="1"/>
  <c r="F59" i="5"/>
  <c r="F144" i="5" s="1"/>
  <c r="A66" i="5"/>
  <c r="B69" i="5"/>
  <c r="F69" i="5"/>
  <c r="F112" i="5" s="1"/>
  <c r="B94" i="5"/>
  <c r="A109" i="5"/>
  <c r="O111" i="5"/>
  <c r="C149" i="5"/>
  <c r="D59" i="5"/>
  <c r="D145" i="5" s="1"/>
  <c r="B59" i="5"/>
  <c r="B33" i="5"/>
  <c r="B23" i="5"/>
  <c r="B87" i="5"/>
  <c r="B50" i="5"/>
  <c r="F17" i="5"/>
  <c r="C50" i="5"/>
  <c r="B44" i="5"/>
  <c r="D44" i="5"/>
  <c r="E87" i="5"/>
  <c r="R94" i="5" l="1"/>
  <c r="V94" i="5"/>
  <c r="S87" i="5"/>
  <c r="T94" i="5"/>
  <c r="Y91" i="5"/>
  <c r="Y81" i="5"/>
  <c r="R69" i="5"/>
  <c r="B112" i="5"/>
  <c r="S94" i="5"/>
  <c r="R103" i="5"/>
  <c r="R97" i="5"/>
  <c r="R91" i="5"/>
  <c r="R86" i="5"/>
  <c r="R82" i="5"/>
  <c r="R78" i="5"/>
  <c r="R71" i="5"/>
  <c r="R81" i="5"/>
  <c r="R76" i="5"/>
  <c r="R99" i="5"/>
  <c r="R90" i="5"/>
  <c r="R83" i="5"/>
  <c r="R73" i="5"/>
  <c r="R98" i="5"/>
  <c r="R80" i="5"/>
  <c r="R85" i="5"/>
  <c r="R79" i="5"/>
  <c r="R93" i="5"/>
  <c r="R84" i="5"/>
  <c r="R77" i="5"/>
  <c r="U103" i="5"/>
  <c r="U97" i="5"/>
  <c r="U91" i="5"/>
  <c r="U86" i="5"/>
  <c r="U82" i="5"/>
  <c r="U78" i="5"/>
  <c r="U71" i="5"/>
  <c r="U93" i="5"/>
  <c r="U85" i="5"/>
  <c r="U73" i="5"/>
  <c r="U99" i="5"/>
  <c r="U90" i="5"/>
  <c r="U79" i="5"/>
  <c r="U76" i="5"/>
  <c r="U98" i="5"/>
  <c r="U83" i="5"/>
  <c r="U80" i="5"/>
  <c r="U77" i="5"/>
  <c r="U84" i="5"/>
  <c r="U81" i="5"/>
  <c r="Z103" i="5"/>
  <c r="Z99" i="5"/>
  <c r="Z98" i="5"/>
  <c r="Z97" i="5"/>
  <c r="Z93" i="5"/>
  <c r="Z91" i="5"/>
  <c r="Z90" i="5"/>
  <c r="Z86" i="5"/>
  <c r="Z85" i="5"/>
  <c r="Z84" i="5"/>
  <c r="Z82" i="5"/>
  <c r="Z80" i="5"/>
  <c r="Z79" i="5"/>
  <c r="Z78" i="5"/>
  <c r="Z77" i="5"/>
  <c r="Z76" i="5"/>
  <c r="Z73" i="5"/>
  <c r="Z71" i="5"/>
  <c r="O87" i="5"/>
  <c r="Y87" i="5"/>
  <c r="G87" i="5"/>
  <c r="W87" i="5" s="1"/>
  <c r="W81" i="5"/>
  <c r="Z81" i="5"/>
  <c r="V69" i="5"/>
  <c r="W90" i="5"/>
  <c r="W85" i="5"/>
  <c r="W77" i="5"/>
  <c r="W99" i="5"/>
  <c r="W103" i="5"/>
  <c r="W91" i="5"/>
  <c r="W82" i="5"/>
  <c r="W79" i="5"/>
  <c r="W76" i="5"/>
  <c r="W98" i="5"/>
  <c r="W86" i="5"/>
  <c r="W83" i="5"/>
  <c r="W80" i="5"/>
  <c r="W97" i="5"/>
  <c r="W84" i="5"/>
  <c r="W71" i="5"/>
  <c r="W93" i="5"/>
  <c r="W78" i="5"/>
  <c r="W73" i="5"/>
  <c r="K132" i="5"/>
  <c r="AA103" i="5"/>
  <c r="AA97" i="5"/>
  <c r="AA91" i="5"/>
  <c r="AA86" i="5"/>
  <c r="AA82" i="5"/>
  <c r="AA78" i="5"/>
  <c r="AA71" i="5"/>
  <c r="AA90" i="5"/>
  <c r="AA98" i="5"/>
  <c r="AA84" i="5"/>
  <c r="AA85" i="5"/>
  <c r="AA73" i="5"/>
  <c r="AA93" i="5"/>
  <c r="AA79" i="5"/>
  <c r="AA76" i="5"/>
  <c r="AA99" i="5"/>
  <c r="AA80" i="5"/>
  <c r="AA77" i="5"/>
  <c r="Z87" i="5"/>
  <c r="F150" i="5"/>
  <c r="F87" i="5"/>
  <c r="V87" i="5" s="1"/>
  <c r="V81" i="5"/>
  <c r="N96" i="5"/>
  <c r="AD96" i="5" s="1"/>
  <c r="AA81" i="5"/>
  <c r="R87" i="5"/>
  <c r="C144" i="5"/>
  <c r="G117" i="5"/>
  <c r="V103" i="5"/>
  <c r="V99" i="5"/>
  <c r="V98" i="5"/>
  <c r="V97" i="5"/>
  <c r="V93" i="5"/>
  <c r="V91" i="5"/>
  <c r="V90" i="5"/>
  <c r="V86" i="5"/>
  <c r="V85" i="5"/>
  <c r="V84" i="5"/>
  <c r="V83" i="5"/>
  <c r="V82" i="5"/>
  <c r="V80" i="5"/>
  <c r="V79" i="5"/>
  <c r="V78" i="5"/>
  <c r="V77" i="5"/>
  <c r="V76" i="5"/>
  <c r="V73" i="5"/>
  <c r="V71" i="5"/>
  <c r="S99" i="5"/>
  <c r="S84" i="5"/>
  <c r="S80" i="5"/>
  <c r="S76" i="5"/>
  <c r="S98" i="5"/>
  <c r="S93" i="5"/>
  <c r="S77" i="5"/>
  <c r="S71" i="5"/>
  <c r="S103" i="5"/>
  <c r="S91" i="5"/>
  <c r="S81" i="5"/>
  <c r="S78" i="5"/>
  <c r="S73" i="5"/>
  <c r="S85" i="5"/>
  <c r="S82" i="5"/>
  <c r="S79" i="5"/>
  <c r="S97" i="5"/>
  <c r="S90" i="5"/>
  <c r="S86" i="5"/>
  <c r="S83" i="5"/>
  <c r="H133" i="5"/>
  <c r="X99" i="5"/>
  <c r="X84" i="5"/>
  <c r="X80" i="5"/>
  <c r="X76" i="5"/>
  <c r="X98" i="5"/>
  <c r="X93" i="5"/>
  <c r="X90" i="5"/>
  <c r="X86" i="5"/>
  <c r="X83" i="5"/>
  <c r="X97" i="5"/>
  <c r="X77" i="5"/>
  <c r="X71" i="5"/>
  <c r="X78" i="5"/>
  <c r="X73" i="5"/>
  <c r="X103" i="5"/>
  <c r="X91" i="5"/>
  <c r="X85" i="5"/>
  <c r="X82" i="5"/>
  <c r="X79" i="5"/>
  <c r="L132" i="5"/>
  <c r="AB90" i="5"/>
  <c r="AB85" i="5"/>
  <c r="AB77" i="5"/>
  <c r="AB99" i="5"/>
  <c r="AB97" i="5"/>
  <c r="AB78" i="5"/>
  <c r="AB73" i="5"/>
  <c r="AB93" i="5"/>
  <c r="AB82" i="5"/>
  <c r="AB79" i="5"/>
  <c r="AB76" i="5"/>
  <c r="AB103" i="5"/>
  <c r="AB91" i="5"/>
  <c r="AB86" i="5"/>
  <c r="AB80" i="5"/>
  <c r="AB98" i="5"/>
  <c r="AB84" i="5"/>
  <c r="AB71" i="5"/>
  <c r="AB81" i="5"/>
  <c r="AA87" i="5"/>
  <c r="O94" i="5"/>
  <c r="Y94" i="5"/>
  <c r="U87" i="5"/>
  <c r="U94" i="5"/>
  <c r="T98" i="5"/>
  <c r="T93" i="5"/>
  <c r="T83" i="5"/>
  <c r="T79" i="5"/>
  <c r="T73" i="5"/>
  <c r="T103" i="5"/>
  <c r="T97" i="5"/>
  <c r="T91" i="5"/>
  <c r="T84" i="5"/>
  <c r="T81" i="5"/>
  <c r="T78" i="5"/>
  <c r="T85" i="5"/>
  <c r="T82" i="5"/>
  <c r="T99" i="5"/>
  <c r="T90" i="5"/>
  <c r="T86" i="5"/>
  <c r="T76" i="5"/>
  <c r="T80" i="5"/>
  <c r="T77" i="5"/>
  <c r="T71" i="5"/>
  <c r="Y98" i="5"/>
  <c r="Y93" i="5"/>
  <c r="Y79" i="5"/>
  <c r="Y73" i="5"/>
  <c r="Y103" i="5"/>
  <c r="Y97" i="5"/>
  <c r="Y99" i="5"/>
  <c r="Y80" i="5"/>
  <c r="Y77" i="5"/>
  <c r="Y71" i="5"/>
  <c r="Y84" i="5"/>
  <c r="Y78" i="5"/>
  <c r="Y82" i="5"/>
  <c r="Y90" i="5"/>
  <c r="Y86" i="5"/>
  <c r="Y76" i="5"/>
  <c r="X87" i="5"/>
  <c r="AB87" i="5"/>
  <c r="Z94" i="5"/>
  <c r="D150" i="5"/>
  <c r="E145" i="5"/>
  <c r="F27" i="5"/>
  <c r="F34" i="5" s="1"/>
  <c r="J116" i="5"/>
  <c r="I148" i="5"/>
  <c r="K116" i="5"/>
  <c r="G148" i="5"/>
  <c r="B27" i="5"/>
  <c r="E52" i="5"/>
  <c r="E120" i="5" s="1"/>
  <c r="C116" i="5"/>
  <c r="L116" i="5"/>
  <c r="J149" i="5"/>
  <c r="AD57" i="5"/>
  <c r="AD49" i="5"/>
  <c r="AD48" i="5"/>
  <c r="AD47" i="5"/>
  <c r="AD43" i="5"/>
  <c r="AD42" i="5"/>
  <c r="AD41" i="5"/>
  <c r="AD40" i="5"/>
  <c r="AD39" i="5"/>
  <c r="AD38" i="5"/>
  <c r="AD35" i="5"/>
  <c r="AD25" i="5"/>
  <c r="AD21" i="5"/>
  <c r="AD20" i="5"/>
  <c r="AD16" i="5"/>
  <c r="AD15" i="5"/>
  <c r="AD12" i="5"/>
  <c r="AD10" i="5"/>
  <c r="AD13" i="5"/>
  <c r="AD11" i="5"/>
  <c r="AD50" i="5"/>
  <c r="AD44" i="5"/>
  <c r="AD23" i="5"/>
  <c r="AD14" i="5"/>
  <c r="AD59" i="5"/>
  <c r="AD46" i="5"/>
  <c r="AD32" i="5"/>
  <c r="AD27" i="5"/>
  <c r="M34" i="5"/>
  <c r="M122" i="5"/>
  <c r="D116" i="5"/>
  <c r="F121" i="5"/>
  <c r="D27" i="5"/>
  <c r="D122" i="5" s="1"/>
  <c r="G27" i="5"/>
  <c r="G34" i="5" s="1"/>
  <c r="K27" i="5"/>
  <c r="K34" i="5" s="1"/>
  <c r="O50" i="5"/>
  <c r="K145" i="5"/>
  <c r="G17" i="5"/>
  <c r="H50" i="5"/>
  <c r="M60" i="5"/>
  <c r="AC52" i="5"/>
  <c r="AD52" i="5"/>
  <c r="AD33" i="5"/>
  <c r="M35" i="5"/>
  <c r="AC27" i="5" s="1"/>
  <c r="AD17" i="5"/>
  <c r="B116" i="5"/>
  <c r="B150" i="5"/>
  <c r="F145" i="5"/>
  <c r="C148" i="5"/>
  <c r="C27" i="5"/>
  <c r="C35" i="5" s="1"/>
  <c r="H27" i="5"/>
  <c r="L27" i="5"/>
  <c r="L135" i="5" s="1"/>
  <c r="O33" i="5"/>
  <c r="O17" i="5"/>
  <c r="O44" i="5"/>
  <c r="L148" i="5"/>
  <c r="G50" i="5"/>
  <c r="G121" i="5" s="1"/>
  <c r="N61" i="5"/>
  <c r="AD60" i="5"/>
  <c r="AD34" i="5"/>
  <c r="AC60" i="5"/>
  <c r="C134" i="5"/>
  <c r="D88" i="5"/>
  <c r="J117" i="5"/>
  <c r="M61" i="5"/>
  <c r="C34" i="5"/>
  <c r="G44" i="5"/>
  <c r="D144" i="5"/>
  <c r="C52" i="5"/>
  <c r="B115" i="5"/>
  <c r="E34" i="5"/>
  <c r="J133" i="5"/>
  <c r="J148" i="5"/>
  <c r="E122" i="5"/>
  <c r="D121" i="5"/>
  <c r="K133" i="5"/>
  <c r="I27" i="5"/>
  <c r="O23" i="5"/>
  <c r="E35" i="5"/>
  <c r="U27" i="5" s="1"/>
  <c r="E88" i="5"/>
  <c r="U88" i="5" s="1"/>
  <c r="E133" i="5"/>
  <c r="E117" i="5"/>
  <c r="D133" i="5"/>
  <c r="D132" i="5"/>
  <c r="D115" i="5"/>
  <c r="F132" i="5"/>
  <c r="H150" i="5"/>
  <c r="H149" i="5"/>
  <c r="I133" i="5"/>
  <c r="O73" i="5"/>
  <c r="F44" i="5"/>
  <c r="F148" i="5"/>
  <c r="B144" i="5"/>
  <c r="C115" i="5"/>
  <c r="B148" i="5"/>
  <c r="E132" i="5"/>
  <c r="C145" i="5"/>
  <c r="C121" i="5"/>
  <c r="I132" i="5"/>
  <c r="I149" i="5"/>
  <c r="O59" i="5"/>
  <c r="J132" i="5"/>
  <c r="H148" i="5"/>
  <c r="J88" i="5"/>
  <c r="H44" i="5"/>
  <c r="L39" i="9"/>
  <c r="M39" i="9"/>
  <c r="J39" i="9"/>
  <c r="H39" i="9"/>
  <c r="H42" i="9" s="1"/>
  <c r="N39" i="9"/>
  <c r="L133" i="5"/>
  <c r="M117" i="5"/>
  <c r="M134" i="5"/>
  <c r="N135" i="5"/>
  <c r="M123" i="5"/>
  <c r="M100" i="5"/>
  <c r="G132" i="5"/>
  <c r="G144" i="5"/>
  <c r="G133" i="5"/>
  <c r="H145" i="5"/>
  <c r="K88" i="5"/>
  <c r="AA88" i="5" s="1"/>
  <c r="K117" i="5"/>
  <c r="J115" i="5"/>
  <c r="J52" i="5"/>
  <c r="J122" i="5"/>
  <c r="J134" i="5"/>
  <c r="J34" i="5"/>
  <c r="I88" i="5"/>
  <c r="I115" i="5"/>
  <c r="I52" i="5"/>
  <c r="H132" i="5"/>
  <c r="H88" i="5"/>
  <c r="X88" i="5" s="1"/>
  <c r="H144" i="5"/>
  <c r="J9" i="9"/>
  <c r="F149" i="5"/>
  <c r="G145" i="5"/>
  <c r="G149" i="5"/>
  <c r="G150" i="5"/>
  <c r="L88" i="5"/>
  <c r="AB88" i="5" s="1"/>
  <c r="H117" i="5"/>
  <c r="L117" i="5"/>
  <c r="I117" i="5"/>
  <c r="K52" i="5"/>
  <c r="K60" i="5" s="1"/>
  <c r="L52" i="5"/>
  <c r="L145" i="5"/>
  <c r="L149" i="5"/>
  <c r="L150" i="5"/>
  <c r="L144" i="5"/>
  <c r="L121" i="5"/>
  <c r="K144" i="5"/>
  <c r="K149" i="5"/>
  <c r="K150" i="5"/>
  <c r="K121" i="5"/>
  <c r="K148" i="5"/>
  <c r="K122" i="5"/>
  <c r="I145" i="5"/>
  <c r="I121" i="5"/>
  <c r="I144" i="5"/>
  <c r="J145" i="5"/>
  <c r="I150" i="5"/>
  <c r="J121" i="5"/>
  <c r="J144" i="5"/>
  <c r="J150" i="5"/>
  <c r="I116" i="5"/>
  <c r="L115" i="5"/>
  <c r="L35" i="5"/>
  <c r="AB50" i="5" s="1"/>
  <c r="K134" i="5"/>
  <c r="L134" i="5"/>
  <c r="K115" i="5"/>
  <c r="J35" i="5"/>
  <c r="Z27" i="5" s="1"/>
  <c r="D117" i="5"/>
  <c r="C117" i="5"/>
  <c r="C88" i="5"/>
  <c r="S88" i="5" s="1"/>
  <c r="B52" i="5"/>
  <c r="D134" i="5"/>
  <c r="E148" i="5"/>
  <c r="E121" i="5"/>
  <c r="E144" i="5"/>
  <c r="E150" i="5"/>
  <c r="E149" i="5"/>
  <c r="E115" i="5"/>
  <c r="E116" i="5"/>
  <c r="D52" i="5"/>
  <c r="B88" i="5"/>
  <c r="R88" i="5" s="1"/>
  <c r="A64" i="5"/>
  <c r="A107" i="5"/>
  <c r="F133" i="5"/>
  <c r="F117" i="5"/>
  <c r="E134" i="5"/>
  <c r="C133" i="5"/>
  <c r="C132" i="5"/>
  <c r="D149" i="5"/>
  <c r="D148" i="5"/>
  <c r="B121" i="5"/>
  <c r="G8" i="5"/>
  <c r="W8" i="5" s="1"/>
  <c r="B145" i="5"/>
  <c r="B149" i="5"/>
  <c r="O145" i="5" l="1"/>
  <c r="N100" i="5"/>
  <c r="O132" i="5"/>
  <c r="N123" i="5"/>
  <c r="D34" i="5"/>
  <c r="D35" i="5"/>
  <c r="T43" i="5" s="1"/>
  <c r="G52" i="5"/>
  <c r="H135" i="5"/>
  <c r="D135" i="5"/>
  <c r="D96" i="5"/>
  <c r="T96" i="5" s="1"/>
  <c r="T88" i="5"/>
  <c r="H34" i="5"/>
  <c r="N44" i="9"/>
  <c r="AC100" i="5"/>
  <c r="J96" i="5"/>
  <c r="Z96" i="5" s="1"/>
  <c r="Z88" i="5"/>
  <c r="F88" i="5"/>
  <c r="O88" i="5"/>
  <c r="Y88" i="5"/>
  <c r="G88" i="5"/>
  <c r="W88" i="5" s="1"/>
  <c r="U33" i="5"/>
  <c r="Z44" i="5"/>
  <c r="U44" i="5"/>
  <c r="K35" i="5"/>
  <c r="AA42" i="5" s="1"/>
  <c r="O144" i="5"/>
  <c r="Z34" i="5"/>
  <c r="U50" i="5"/>
  <c r="O116" i="5"/>
  <c r="B35" i="5"/>
  <c r="R48" i="5" s="1"/>
  <c r="B34" i="5"/>
  <c r="R34" i="5" s="1"/>
  <c r="L34" i="5"/>
  <c r="M135" i="5"/>
  <c r="G122" i="5"/>
  <c r="U34" i="5"/>
  <c r="AC34" i="5"/>
  <c r="AA47" i="5"/>
  <c r="S49" i="5"/>
  <c r="S40" i="5"/>
  <c r="S25" i="5"/>
  <c r="S20" i="5"/>
  <c r="S57" i="5"/>
  <c r="S48" i="5"/>
  <c r="S43" i="5"/>
  <c r="S39" i="5"/>
  <c r="S42" i="5"/>
  <c r="S32" i="5"/>
  <c r="S16" i="5"/>
  <c r="S13" i="5"/>
  <c r="S11" i="5"/>
  <c r="S41" i="5"/>
  <c r="S15" i="5"/>
  <c r="S47" i="5"/>
  <c r="S38" i="5"/>
  <c r="S22" i="5"/>
  <c r="S14" i="5"/>
  <c r="S12" i="5"/>
  <c r="S10" i="5"/>
  <c r="S46" i="5"/>
  <c r="S35" i="5"/>
  <c r="S21" i="5"/>
  <c r="S33" i="5"/>
  <c r="S44" i="5"/>
  <c r="R13" i="5"/>
  <c r="R49" i="5"/>
  <c r="R14" i="5"/>
  <c r="J135" i="5"/>
  <c r="G35" i="5"/>
  <c r="W17" i="5" s="1"/>
  <c r="AB41" i="5"/>
  <c r="AB35" i="5"/>
  <c r="AB15" i="5"/>
  <c r="AB49" i="5"/>
  <c r="AB40" i="5"/>
  <c r="AB25" i="5"/>
  <c r="AB20" i="5"/>
  <c r="AB13" i="5"/>
  <c r="AB12" i="5"/>
  <c r="AB11" i="5"/>
  <c r="AB10" i="5"/>
  <c r="AB57" i="5"/>
  <c r="AB42" i="5"/>
  <c r="AB32" i="5"/>
  <c r="AB16" i="5"/>
  <c r="AB48" i="5"/>
  <c r="AB39" i="5"/>
  <c r="AB47" i="5"/>
  <c r="AB21" i="5"/>
  <c r="AB38" i="5"/>
  <c r="AB43" i="5"/>
  <c r="AB46" i="5"/>
  <c r="AB14" i="5"/>
  <c r="O148" i="5"/>
  <c r="L60" i="5"/>
  <c r="AB60" i="5" s="1"/>
  <c r="AB52" i="5"/>
  <c r="G120" i="5"/>
  <c r="H122" i="5"/>
  <c r="AB34" i="5"/>
  <c r="T48" i="5"/>
  <c r="T16" i="5"/>
  <c r="T49" i="5"/>
  <c r="O27" i="5"/>
  <c r="S34" i="5"/>
  <c r="AB23" i="5"/>
  <c r="AB44" i="5"/>
  <c r="B122" i="5"/>
  <c r="F122" i="5"/>
  <c r="D120" i="5"/>
  <c r="Z57" i="5"/>
  <c r="Z49" i="5"/>
  <c r="Z48" i="5"/>
  <c r="Z47" i="5"/>
  <c r="Z42" i="5"/>
  <c r="Z41" i="5"/>
  <c r="Z40" i="5"/>
  <c r="Z39" i="5"/>
  <c r="Z35" i="5"/>
  <c r="Z32" i="5"/>
  <c r="Z25" i="5"/>
  <c r="Z21" i="5"/>
  <c r="Z20" i="5"/>
  <c r="Z16" i="5"/>
  <c r="Z15" i="5"/>
  <c r="Z13" i="5"/>
  <c r="Z11" i="5"/>
  <c r="Z10" i="5"/>
  <c r="Z43" i="5"/>
  <c r="Z14" i="5"/>
  <c r="Z38" i="5"/>
  <c r="Z46" i="5"/>
  <c r="K120" i="5"/>
  <c r="F135" i="5"/>
  <c r="C60" i="5"/>
  <c r="S60" i="5" s="1"/>
  <c r="S52" i="5"/>
  <c r="G115" i="5"/>
  <c r="W44" i="5"/>
  <c r="Z50" i="5"/>
  <c r="AB27" i="5"/>
  <c r="S23" i="5"/>
  <c r="S59" i="5"/>
  <c r="Z59" i="5"/>
  <c r="Z23" i="5"/>
  <c r="Z17" i="5"/>
  <c r="S17" i="5"/>
  <c r="C135" i="5"/>
  <c r="C120" i="5"/>
  <c r="I35" i="5"/>
  <c r="L122" i="5"/>
  <c r="O122" i="5" s="1"/>
  <c r="G135" i="5"/>
  <c r="H35" i="5"/>
  <c r="X50" i="5" s="1"/>
  <c r="H121" i="5"/>
  <c r="I34" i="5"/>
  <c r="K135" i="5"/>
  <c r="J120" i="5"/>
  <c r="Z52" i="5"/>
  <c r="H52" i="5"/>
  <c r="H120" i="5" s="1"/>
  <c r="F116" i="5"/>
  <c r="U47" i="5"/>
  <c r="U42" i="5"/>
  <c r="U38" i="5"/>
  <c r="U32" i="5"/>
  <c r="U22" i="5"/>
  <c r="U16" i="5"/>
  <c r="U14" i="5"/>
  <c r="U13" i="5"/>
  <c r="U12" i="5"/>
  <c r="U11" i="5"/>
  <c r="U10" i="5"/>
  <c r="U46" i="5"/>
  <c r="U41" i="5"/>
  <c r="U35" i="5"/>
  <c r="U21" i="5"/>
  <c r="U15" i="5"/>
  <c r="U49" i="5"/>
  <c r="U40" i="5"/>
  <c r="U25" i="5"/>
  <c r="U48" i="5"/>
  <c r="U39" i="5"/>
  <c r="U20" i="5"/>
  <c r="U57" i="5"/>
  <c r="U43" i="5"/>
  <c r="F35" i="5"/>
  <c r="V44" i="5" s="1"/>
  <c r="AB59" i="5"/>
  <c r="S27" i="5"/>
  <c r="C122" i="5"/>
  <c r="E135" i="5"/>
  <c r="AC49" i="5"/>
  <c r="AC40" i="5"/>
  <c r="AC25" i="5"/>
  <c r="AC20" i="5"/>
  <c r="AC13" i="5"/>
  <c r="AC12" i="5"/>
  <c r="AC11" i="5"/>
  <c r="AC10" i="5"/>
  <c r="AC57" i="5"/>
  <c r="AC48" i="5"/>
  <c r="AC39" i="5"/>
  <c r="AC32" i="5"/>
  <c r="AC16" i="5"/>
  <c r="AC41" i="5"/>
  <c r="AC15" i="5"/>
  <c r="AC47" i="5"/>
  <c r="AC35" i="5"/>
  <c r="AC14" i="5"/>
  <c r="AC59" i="5"/>
  <c r="AC33" i="5"/>
  <c r="AC21" i="5"/>
  <c r="AC43" i="5"/>
  <c r="AC42" i="5"/>
  <c r="AC38" i="5"/>
  <c r="AC46" i="5"/>
  <c r="AC17" i="5"/>
  <c r="AC50" i="5"/>
  <c r="N136" i="5"/>
  <c r="AC23" i="5"/>
  <c r="AC44" i="5"/>
  <c r="AB33" i="5"/>
  <c r="U23" i="5"/>
  <c r="AB17" i="5"/>
  <c r="E60" i="5"/>
  <c r="U60" i="5" s="1"/>
  <c r="U52" i="5"/>
  <c r="Z33" i="5"/>
  <c r="U17" i="5"/>
  <c r="U59" i="5"/>
  <c r="S50" i="5"/>
  <c r="O133" i="5"/>
  <c r="G116" i="5"/>
  <c r="H134" i="5"/>
  <c r="O150" i="5"/>
  <c r="G134" i="5"/>
  <c r="O149" i="5"/>
  <c r="I122" i="5"/>
  <c r="O117" i="5"/>
  <c r="I135" i="5"/>
  <c r="F115" i="5"/>
  <c r="O115" i="5"/>
  <c r="H115" i="5"/>
  <c r="F136" i="5"/>
  <c r="H116" i="5"/>
  <c r="I134" i="5"/>
  <c r="F134" i="5"/>
  <c r="O121" i="5"/>
  <c r="F52" i="5"/>
  <c r="I120" i="5"/>
  <c r="O52" i="5"/>
  <c r="P44" i="9"/>
  <c r="E96" i="5"/>
  <c r="U96" i="5" s="1"/>
  <c r="O134" i="5"/>
  <c r="H43" i="9"/>
  <c r="I41" i="9"/>
  <c r="I42" i="9" s="1"/>
  <c r="L120" i="5"/>
  <c r="M136" i="5"/>
  <c r="M128" i="5"/>
  <c r="M129" i="5"/>
  <c r="M127" i="5"/>
  <c r="N129" i="5"/>
  <c r="H8" i="5"/>
  <c r="X8" i="5" s="1"/>
  <c r="G69" i="5"/>
  <c r="G112" i="5" s="1"/>
  <c r="J100" i="5"/>
  <c r="Z100" i="5" s="1"/>
  <c r="K96" i="5"/>
  <c r="AA96" i="5" s="1"/>
  <c r="J60" i="5"/>
  <c r="I96" i="5"/>
  <c r="I60" i="5"/>
  <c r="H96" i="5"/>
  <c r="K9" i="9"/>
  <c r="G60" i="5"/>
  <c r="L96" i="5"/>
  <c r="B96" i="5"/>
  <c r="R96" i="5" s="1"/>
  <c r="D60" i="5"/>
  <c r="B120" i="5"/>
  <c r="B60" i="5"/>
  <c r="C96" i="5"/>
  <c r="S96" i="5" s="1"/>
  <c r="AD100" i="5" l="1"/>
  <c r="N126" i="5"/>
  <c r="Y60" i="5"/>
  <c r="N128" i="5"/>
  <c r="T23" i="5"/>
  <c r="T15" i="5"/>
  <c r="T22" i="5"/>
  <c r="T57" i="5"/>
  <c r="V34" i="5"/>
  <c r="C136" i="5"/>
  <c r="R27" i="5"/>
  <c r="T50" i="5"/>
  <c r="T35" i="5"/>
  <c r="T11" i="5"/>
  <c r="T42" i="5"/>
  <c r="R21" i="5"/>
  <c r="R39" i="5"/>
  <c r="O44" i="9"/>
  <c r="G96" i="5"/>
  <c r="T52" i="5"/>
  <c r="T46" i="5"/>
  <c r="T12" i="5"/>
  <c r="T47" i="5"/>
  <c r="R41" i="5"/>
  <c r="T44" i="5"/>
  <c r="T17" i="5"/>
  <c r="T20" i="5"/>
  <c r="T25" i="5"/>
  <c r="T41" i="5"/>
  <c r="T13" i="5"/>
  <c r="T32" i="5"/>
  <c r="T39" i="5"/>
  <c r="R46" i="5"/>
  <c r="R25" i="5"/>
  <c r="R57" i="5"/>
  <c r="T34" i="5"/>
  <c r="N127" i="5"/>
  <c r="D136" i="5"/>
  <c r="E136" i="5"/>
  <c r="D100" i="5"/>
  <c r="D129" i="5" s="1"/>
  <c r="R17" i="5"/>
  <c r="T33" i="5"/>
  <c r="T27" i="5"/>
  <c r="T59" i="5"/>
  <c r="T21" i="5"/>
  <c r="T40" i="5"/>
  <c r="T10" i="5"/>
  <c r="T14" i="5"/>
  <c r="T38" i="5"/>
  <c r="R12" i="5"/>
  <c r="R10" i="5"/>
  <c r="R35" i="5"/>
  <c r="AA50" i="5"/>
  <c r="AA46" i="5"/>
  <c r="AA23" i="5"/>
  <c r="AA33" i="5"/>
  <c r="AA15" i="5"/>
  <c r="AA16" i="5"/>
  <c r="L100" i="5"/>
  <c r="AB96" i="5"/>
  <c r="D127" i="5"/>
  <c r="T100" i="5"/>
  <c r="O96" i="5"/>
  <c r="Y96" i="5"/>
  <c r="W69" i="5"/>
  <c r="F96" i="5"/>
  <c r="V88" i="5"/>
  <c r="R60" i="5"/>
  <c r="D123" i="5"/>
  <c r="G100" i="5"/>
  <c r="G129" i="5" s="1"/>
  <c r="W96" i="5"/>
  <c r="J123" i="5"/>
  <c r="R59" i="5"/>
  <c r="R20" i="5"/>
  <c r="R32" i="5"/>
  <c r="R15" i="5"/>
  <c r="R11" i="5"/>
  <c r="R42" i="5"/>
  <c r="R43" i="5"/>
  <c r="G136" i="5"/>
  <c r="H100" i="5"/>
  <c r="X100" i="5" s="1"/>
  <c r="X96" i="5"/>
  <c r="R52" i="5"/>
  <c r="R50" i="5"/>
  <c r="R38" i="5"/>
  <c r="R40" i="5"/>
  <c r="R22" i="5"/>
  <c r="R16" i="5"/>
  <c r="R47" i="5"/>
  <c r="AA57" i="5"/>
  <c r="L136" i="5"/>
  <c r="H136" i="5"/>
  <c r="AA44" i="5"/>
  <c r="AA27" i="5"/>
  <c r="AA60" i="5"/>
  <c r="AA59" i="5"/>
  <c r="O135" i="5"/>
  <c r="AA38" i="5"/>
  <c r="AA39" i="5"/>
  <c r="AA25" i="5"/>
  <c r="AA11" i="5"/>
  <c r="AA21" i="5"/>
  <c r="K61" i="5"/>
  <c r="AA17" i="5"/>
  <c r="AA34" i="5"/>
  <c r="W27" i="5"/>
  <c r="AA14" i="5"/>
  <c r="AA48" i="5"/>
  <c r="AA40" i="5"/>
  <c r="AA13" i="5"/>
  <c r="AA35" i="5"/>
  <c r="AA32" i="5"/>
  <c r="K136" i="5"/>
  <c r="W50" i="5"/>
  <c r="AA52" i="5"/>
  <c r="W52" i="5"/>
  <c r="AA43" i="5"/>
  <c r="AA10" i="5"/>
  <c r="AA49" i="5"/>
  <c r="AA20" i="5"/>
  <c r="AA41" i="5"/>
  <c r="R23" i="5"/>
  <c r="R33" i="5"/>
  <c r="R44" i="5"/>
  <c r="Y57" i="5"/>
  <c r="Y48" i="5"/>
  <c r="Y39" i="5"/>
  <c r="Y14" i="5"/>
  <c r="Y13" i="5"/>
  <c r="Y10" i="5"/>
  <c r="Y47" i="5"/>
  <c r="Y42" i="5"/>
  <c r="Y32" i="5"/>
  <c r="Y35" i="5"/>
  <c r="Y21" i="5"/>
  <c r="Y20" i="5"/>
  <c r="Y41" i="5"/>
  <c r="Y15" i="5"/>
  <c r="Y49" i="5"/>
  <c r="Y40" i="5"/>
  <c r="Y25" i="5"/>
  <c r="Y43" i="5"/>
  <c r="Y16" i="5"/>
  <c r="Y46" i="5"/>
  <c r="Y38" i="5"/>
  <c r="Y33" i="5"/>
  <c r="Y44" i="5"/>
  <c r="Y23" i="5"/>
  <c r="Y59" i="5"/>
  <c r="Y17" i="5"/>
  <c r="Y50" i="5"/>
  <c r="I136" i="5"/>
  <c r="X49" i="5"/>
  <c r="X40" i="5"/>
  <c r="X25" i="5"/>
  <c r="X20" i="5"/>
  <c r="X57" i="5"/>
  <c r="X48" i="5"/>
  <c r="X39" i="5"/>
  <c r="X14" i="5"/>
  <c r="X13" i="5"/>
  <c r="X12" i="5"/>
  <c r="X11" i="5"/>
  <c r="X10" i="5"/>
  <c r="X47" i="5"/>
  <c r="X22" i="5"/>
  <c r="X35" i="5"/>
  <c r="X21" i="5"/>
  <c r="X42" i="5"/>
  <c r="X32" i="5"/>
  <c r="X41" i="5"/>
  <c r="X15" i="5"/>
  <c r="X43" i="5"/>
  <c r="X23" i="5"/>
  <c r="X38" i="5"/>
  <c r="X59" i="5"/>
  <c r="X17" i="5"/>
  <c r="X16" i="5"/>
  <c r="X33" i="5"/>
  <c r="X46" i="5"/>
  <c r="Y52" i="5"/>
  <c r="F120" i="5"/>
  <c r="V52" i="5"/>
  <c r="O35" i="5"/>
  <c r="X44" i="5"/>
  <c r="Y27" i="5"/>
  <c r="X34" i="5"/>
  <c r="J136" i="5"/>
  <c r="L61" i="5"/>
  <c r="O120" i="5"/>
  <c r="V57" i="5"/>
  <c r="V49" i="5"/>
  <c r="V48" i="5"/>
  <c r="V47" i="5"/>
  <c r="V46" i="5"/>
  <c r="V42" i="5"/>
  <c r="V41" i="5"/>
  <c r="V40" i="5"/>
  <c r="V39" i="5"/>
  <c r="V35" i="5"/>
  <c r="V32" i="5"/>
  <c r="V25" i="5"/>
  <c r="V22" i="5"/>
  <c r="V21" i="5"/>
  <c r="V20" i="5"/>
  <c r="V16" i="5"/>
  <c r="V15" i="5"/>
  <c r="V14" i="5"/>
  <c r="V12" i="5"/>
  <c r="V10" i="5"/>
  <c r="V13" i="5"/>
  <c r="V11" i="5"/>
  <c r="V17" i="5"/>
  <c r="V59" i="5"/>
  <c r="V38" i="5"/>
  <c r="V50" i="5"/>
  <c r="V23" i="5"/>
  <c r="V33" i="5"/>
  <c r="V43" i="5"/>
  <c r="H60" i="5"/>
  <c r="X52" i="5"/>
  <c r="O34" i="5"/>
  <c r="Y34" i="5"/>
  <c r="V27" i="5"/>
  <c r="W41" i="5"/>
  <c r="W35" i="5"/>
  <c r="W21" i="5"/>
  <c r="W15" i="5"/>
  <c r="W49" i="5"/>
  <c r="W40" i="5"/>
  <c r="W25" i="5"/>
  <c r="W20" i="5"/>
  <c r="W48" i="5"/>
  <c r="W39" i="5"/>
  <c r="W14" i="5"/>
  <c r="W12" i="5"/>
  <c r="W10" i="5"/>
  <c r="W47" i="5"/>
  <c r="W22" i="5"/>
  <c r="W57" i="5"/>
  <c r="W13" i="5"/>
  <c r="W11" i="5"/>
  <c r="W42" i="5"/>
  <c r="W32" i="5"/>
  <c r="W23" i="5"/>
  <c r="W59" i="5"/>
  <c r="W16" i="5"/>
  <c r="W43" i="5"/>
  <c r="W38" i="5"/>
  <c r="W33" i="5"/>
  <c r="W46" i="5"/>
  <c r="X27" i="5"/>
  <c r="W34" i="5"/>
  <c r="W60" i="5"/>
  <c r="J61" i="5"/>
  <c r="Z60" i="5"/>
  <c r="T60" i="5"/>
  <c r="D128" i="5"/>
  <c r="F60" i="5"/>
  <c r="F61" i="5" s="1"/>
  <c r="E123" i="5"/>
  <c r="E100" i="5"/>
  <c r="U100" i="5" s="1"/>
  <c r="G123" i="5"/>
  <c r="I61" i="5"/>
  <c r="O60" i="5"/>
  <c r="K44" i="9"/>
  <c r="J41" i="9"/>
  <c r="J42" i="9" s="1"/>
  <c r="I43" i="9"/>
  <c r="I8" i="5"/>
  <c r="Y8" i="5" s="1"/>
  <c r="H69" i="5"/>
  <c r="H112" i="5" s="1"/>
  <c r="J127" i="5"/>
  <c r="J128" i="5"/>
  <c r="J129" i="5"/>
  <c r="K123" i="5"/>
  <c r="K100" i="5"/>
  <c r="I100" i="5"/>
  <c r="Y100" i="5" s="1"/>
  <c r="I123" i="5"/>
  <c r="H123" i="5"/>
  <c r="L9" i="9"/>
  <c r="G61" i="5"/>
  <c r="L123" i="5"/>
  <c r="C123" i="5"/>
  <c r="C100" i="5"/>
  <c r="S100" i="5" s="1"/>
  <c r="B100" i="5"/>
  <c r="R100" i="5" s="1"/>
  <c r="B123" i="5"/>
  <c r="G127" i="5" l="1"/>
  <c r="G128" i="5"/>
  <c r="O123" i="5"/>
  <c r="L44" i="9"/>
  <c r="AA100" i="5"/>
  <c r="X69" i="5"/>
  <c r="I44" i="9"/>
  <c r="W100" i="5"/>
  <c r="F100" i="5"/>
  <c r="V96" i="5"/>
  <c r="F123" i="5"/>
  <c r="M44" i="9"/>
  <c r="AB100" i="5"/>
  <c r="O136" i="5"/>
  <c r="X60" i="5"/>
  <c r="H61" i="5"/>
  <c r="V60" i="5"/>
  <c r="I101" i="5"/>
  <c r="J44" i="9"/>
  <c r="O100" i="5"/>
  <c r="E128" i="5"/>
  <c r="E127" i="5"/>
  <c r="E129" i="5"/>
  <c r="K41" i="9"/>
  <c r="K42" i="9" s="1"/>
  <c r="J43" i="9"/>
  <c r="J8" i="5"/>
  <c r="Z8" i="5" s="1"/>
  <c r="I69" i="5"/>
  <c r="I112" i="5" s="1"/>
  <c r="K129" i="5"/>
  <c r="K128" i="5"/>
  <c r="K127" i="5"/>
  <c r="I128" i="5"/>
  <c r="I129" i="5"/>
  <c r="I127" i="5"/>
  <c r="H129" i="5"/>
  <c r="H128" i="5"/>
  <c r="H127" i="5"/>
  <c r="M9" i="9"/>
  <c r="L129" i="5"/>
  <c r="L128" i="5"/>
  <c r="L127" i="5"/>
  <c r="C128" i="5"/>
  <c r="C127" i="5"/>
  <c r="V100" i="5" l="1"/>
  <c r="H44" i="9"/>
  <c r="F127" i="5"/>
  <c r="F129" i="5"/>
  <c r="F128" i="5"/>
  <c r="Y69" i="5"/>
  <c r="O128" i="5"/>
  <c r="O129" i="5"/>
  <c r="L41" i="9"/>
  <c r="L42" i="9" s="1"/>
  <c r="K43" i="9"/>
  <c r="K8" i="5"/>
  <c r="AA8" i="5" s="1"/>
  <c r="J69" i="5"/>
  <c r="J112" i="5" s="1"/>
  <c r="N9" i="9"/>
  <c r="Z69" i="5" l="1"/>
  <c r="M41" i="9"/>
  <c r="M42" i="9" s="1"/>
  <c r="M43" i="9" s="1"/>
  <c r="L8" i="5"/>
  <c r="K69" i="5"/>
  <c r="K112" i="5" s="1"/>
  <c r="AA69" i="5" l="1"/>
  <c r="M8" i="5"/>
  <c r="AC8" i="5" s="1"/>
  <c r="AB8" i="5"/>
  <c r="N41" i="9"/>
  <c r="N42" i="9" s="1"/>
  <c r="N43" i="9" s="1"/>
  <c r="L69" i="5"/>
  <c r="L112" i="5" s="1"/>
  <c r="AB69" i="5" l="1"/>
  <c r="M69" i="5"/>
  <c r="M112" i="5" s="1"/>
  <c r="N8" i="5"/>
  <c r="AD8" i="5" s="1"/>
  <c r="O41" i="9"/>
  <c r="O42" i="9" s="1"/>
  <c r="O43" i="9" s="1"/>
  <c r="AC69" i="5" l="1"/>
  <c r="N69" i="5"/>
  <c r="N112" i="5" s="1"/>
  <c r="P41" i="9"/>
  <c r="P42" i="9" s="1"/>
  <c r="P43" i="9" s="1"/>
  <c r="AD69" i="5" l="1"/>
</calcChain>
</file>

<file path=xl/sharedStrings.xml><?xml version="1.0" encoding="utf-8"?>
<sst xmlns="http://schemas.openxmlformats.org/spreadsheetml/2006/main" count="160" uniqueCount="149">
  <si>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</si>
  <si>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</si>
  <si>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</si>
  <si>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</si>
  <si>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</si>
  <si>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</si>
  <si>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</si>
  <si>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</si>
  <si>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</si>
  <si>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</si>
  <si>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</si>
  <si>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</si>
  <si>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</si>
  <si>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</si>
  <si>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</si>
  <si>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</si>
  <si>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</si>
  <si>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</si>
  <si>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</si>
  <si>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</si>
  <si>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</si>
  <si>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</si>
  <si>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</si>
  <si>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</si>
  <si>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</si>
  <si>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</si>
  <si>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</si>
  <si>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</si>
  <si>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</si>
  <si>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</si>
  <si>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</si>
  <si>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</si>
  <si>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</si>
  <si>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</si>
  <si>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</si>
  <si>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</si>
  <si>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</si>
  <si>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</si>
  <si>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</si>
  <si>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</si>
  <si>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</si>
  <si>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</si>
  <si>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</si>
  <si>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</si>
  <si>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</si>
  <si>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</si>
  <si>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</si>
  <si>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>Total Other Income/Expense</t>
  </si>
  <si>
    <t>Total Revenues</t>
  </si>
  <si>
    <t xml:space="preserve">   Loss (Gain) on Sale of Assets</t>
  </si>
  <si>
    <t>Preferred Stock Dividends</t>
  </si>
  <si>
    <t xml:space="preserve">  Construction Work in Progress</t>
  </si>
  <si>
    <t>Other PP&amp;E</t>
  </si>
  <si>
    <t>Accumulated Depreciation &amp; Amort.</t>
  </si>
  <si>
    <t>Net Plant &amp; Equipment</t>
  </si>
  <si>
    <t>Regulatory Assets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</si>
  <si>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</si>
  <si>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</si>
  <si>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</si>
  <si>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</si>
  <si>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</si>
  <si>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</si>
  <si>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Return On Common Equity</t>
  </si>
  <si>
    <t>Return On Total Capital</t>
  </si>
  <si>
    <t>Profitability Ratios:</t>
  </si>
  <si>
    <t>Other Financial Indicators:</t>
  </si>
  <si>
    <t>Bond Rating</t>
  </si>
  <si>
    <t>Common Stock Rating</t>
  </si>
  <si>
    <t>Commercial Paper Ratings</t>
  </si>
  <si>
    <t>Other Assets:</t>
  </si>
  <si>
    <t>Total Other Assets</t>
  </si>
  <si>
    <t>Material and Supplies</t>
  </si>
  <si>
    <t>Goodwill</t>
  </si>
  <si>
    <t>Acounts Payable</t>
  </si>
  <si>
    <t xml:space="preserve">   Operating and Maintenance</t>
  </si>
  <si>
    <t>Accounts Receivable, net</t>
  </si>
  <si>
    <t>Years Ended December 31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</si>
  <si>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</si>
  <si>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</si>
  <si>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</si>
  <si>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</si>
  <si>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</si>
  <si>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</si>
  <si>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</si>
  <si>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Patrons Capital</t>
  </si>
  <si>
    <t>Operating Revenues</t>
  </si>
  <si>
    <t xml:space="preserve">   Other</t>
  </si>
  <si>
    <t>Current Portion of LTD</t>
  </si>
  <si>
    <t>Customer Deposits</t>
  </si>
  <si>
    <t>Cost of Purchased Power</t>
  </si>
  <si>
    <t xml:space="preserve">   Other (Income) Expense</t>
  </si>
  <si>
    <t>Total Patronage Equity</t>
  </si>
  <si>
    <t>Administrative and General Expenses</t>
  </si>
  <si>
    <t>Return of Patrons Capital</t>
  </si>
  <si>
    <t>Moon Lake Electric Association, Inc.</t>
  </si>
  <si>
    <t>Deferred Credits</t>
  </si>
  <si>
    <t>Accum Retirement Benefit</t>
  </si>
  <si>
    <t>Operating Margins</t>
  </si>
  <si>
    <t xml:space="preserve">Coop Capital Credits </t>
  </si>
  <si>
    <t xml:space="preserve">                     </t>
  </si>
  <si>
    <t>Accounts Receivable Other</t>
  </si>
  <si>
    <t>Accrued Vacation, Sick &amp; Holiday</t>
  </si>
  <si>
    <t>Power Production Expense</t>
  </si>
  <si>
    <t>Transmission Expense</t>
  </si>
  <si>
    <t>Distribution - Operation</t>
  </si>
  <si>
    <t>Distribution - Maintenance</t>
  </si>
  <si>
    <t>Customer Service &amp; Account Exp</t>
  </si>
  <si>
    <t>Post Retirement Health Benefit Loss</t>
  </si>
  <si>
    <t>Historical Statement of Cash Flows</t>
  </si>
  <si>
    <t>Cash from Operating Avtivities:</t>
  </si>
  <si>
    <t>Cash paid for Power</t>
  </si>
  <si>
    <t>Cash Received from Customers</t>
  </si>
  <si>
    <t>Cash paid to vendors and suppliers</t>
  </si>
  <si>
    <t>Interest Received</t>
  </si>
  <si>
    <t>Interest Paid</t>
  </si>
  <si>
    <t>Net cash from operating activities</t>
  </si>
  <si>
    <t>Construction and acquisition of plant</t>
  </si>
  <si>
    <t>Proceeds from retirement</t>
  </si>
  <si>
    <t>Plant removal costs</t>
  </si>
  <si>
    <t>Materials salvaged from retirement</t>
  </si>
  <si>
    <t>(Increase) or decrease in:</t>
  </si>
  <si>
    <t>Materials inventory</t>
  </si>
  <si>
    <t>Investment in associated organizations</t>
  </si>
  <si>
    <t>Change in deferred credits</t>
  </si>
  <si>
    <t xml:space="preserve">     Net cash from investing activities</t>
  </si>
  <si>
    <t>Cash from financing activities:</t>
  </si>
  <si>
    <t>Cash from investing activities:</t>
  </si>
  <si>
    <t>Patronage retirement</t>
  </si>
  <si>
    <t>Long-term debt change</t>
  </si>
  <si>
    <t>Capital lease principal paid</t>
  </si>
  <si>
    <t>Customer deposits, net</t>
  </si>
  <si>
    <t>Net cash from financing activities</t>
  </si>
  <si>
    <t>NET CASH INCREASE (DECREASE)</t>
  </si>
  <si>
    <t>Cash, beginning of year</t>
  </si>
  <si>
    <t>Cash, end of year</t>
  </si>
  <si>
    <t>Net Margin for the year</t>
  </si>
  <si>
    <t>Investments</t>
  </si>
  <si>
    <t>Acounts Payable Power</t>
  </si>
  <si>
    <t>Change in investments</t>
  </si>
  <si>
    <t>Unamortized Retirement Benefit Credit</t>
  </si>
  <si>
    <t>2012 to 2016</t>
  </si>
  <si>
    <t>Investments - Note CFC</t>
  </si>
  <si>
    <t>Investments - Wells Fargo - Bonds</t>
  </si>
  <si>
    <t>page 2 of 4</t>
  </si>
  <si>
    <t>page 1 of 4</t>
  </si>
  <si>
    <t>page 4 of 4</t>
  </si>
  <si>
    <t>Page 3 of 4</t>
  </si>
  <si>
    <t>Employees wages &amp; benefits</t>
  </si>
  <si>
    <t>Net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</si>
</sst>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.0%"/>
  </numFmts>
  <fonts count="1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3" fontId="8" fillId="2" borderId="0"/>
    <xf numFmtId="7" fontId="8" fillId="2" borderId="0"/>
    <xf numFmtId="5" fontId="8" fillId="2" borderId="0"/>
    <xf numFmtId="0" fontId="8" fillId="2" borderId="0"/>
    <xf numFmtId="2" fontId="8" fillId="2" borderId="0"/>
    <xf numFmtId="0" fontId="1" fillId="2" borderId="0"/>
    <xf numFmtId="0" fontId="2" fillId="2" borderId="0"/>
    <xf numFmtId="0" fontId="8" fillId="0" borderId="0" applyFill="0" applyBorder="0"/>
    <xf numFmtId="10" fontId="7" fillId="2" borderId="0"/>
    <xf numFmtId="0" fontId="8" fillId="2" borderId="1"/>
    <xf numFmtId="43" fontId="11" fillId="0" borderId="0" applyFont="0" applyFill="0" applyBorder="0" applyAlignment="0" applyProtection="0"/>
  </cellStyleXfs>
  <cellXfs count="121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10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5" fontId="7" fillId="2" borderId="0" xfId="0" applyNumberFormat="1" applyFont="1" applyFill="1"/>
    <xf numFmtId="10" fontId="7" fillId="2" borderId="0" xfId="0" applyNumberFormat="1" applyFont="1" applyFill="1"/>
    <xf numFmtId="164" fontId="4" fillId="2" borderId="0" xfId="0" quotePrefix="1" applyNumberFormat="1" applyFont="1" applyFill="1" applyAlignment="1">
      <alignment horizontal="centerContinuous"/>
    </xf>
    <xf numFmtId="164" fontId="4" fillId="2" borderId="0" xfId="0" applyNumberFormat="1" applyFont="1" applyFill="1" applyAlignment="1">
      <alignment horizontal="centerContinuous"/>
    </xf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6" xfId="0" applyNumberFormat="1" applyFont="1" applyFill="1" applyBorder="1"/>
    <xf numFmtId="10" fontId="9" fillId="2" borderId="0" xfId="0" applyNumberFormat="1" applyFont="1" applyFill="1" applyBorder="1" applyAlignment="1">
      <alignment horizontal="right"/>
    </xf>
    <xf numFmtId="10" fontId="9" fillId="2" borderId="6" xfId="0" applyNumberFormat="1" applyFont="1" applyFill="1" applyBorder="1" applyAlignment="1">
      <alignment horizontal="right"/>
    </xf>
    <xf numFmtId="1" fontId="9" fillId="2" borderId="6" xfId="0" quotePrefix="1" applyNumberFormat="1" applyFont="1" applyFill="1" applyBorder="1" applyAlignment="1">
      <alignment horizontal="right"/>
    </xf>
    <xf numFmtId="165" fontId="5" fillId="2" borderId="0" xfId="11" applyNumberFormat="1" applyFont="1" applyFill="1"/>
    <xf numFmtId="165" fontId="5" fillId="2" borderId="6" xfId="11" applyNumberFormat="1" applyFont="1" applyFill="1" applyBorder="1"/>
    <xf numFmtId="10" fontId="5" fillId="0" borderId="0" xfId="0" applyNumberFormat="1" applyFont="1" applyFill="1" applyAlignment="1">
      <alignment horizontal="centerContinuous"/>
    </xf>
    <xf numFmtId="10" fontId="9" fillId="0" borderId="0" xfId="0" quotePrefix="1" applyNumberFormat="1" applyFont="1" applyFill="1" applyAlignment="1">
      <alignment horizontal="right"/>
    </xf>
    <xf numFmtId="5" fontId="10" fillId="2" borderId="0" xfId="0" applyNumberFormat="1" applyFont="1" applyFill="1"/>
    <xf numFmtId="0" fontId="9" fillId="2" borderId="6" xfId="0" applyNumberFormat="1" applyFont="1" applyFill="1" applyBorder="1"/>
    <xf numFmtId="166" fontId="7" fillId="2" borderId="0" xfId="9" applyNumberFormat="1"/>
    <xf numFmtId="5" fontId="9" fillId="2" borderId="6" xfId="0" applyNumberFormat="1" applyFont="1" applyFill="1" applyBorder="1"/>
    <xf numFmtId="10" fontId="9" fillId="2" borderId="0" xfId="0" applyNumberFormat="1" applyFont="1" applyFill="1" applyAlignment="1">
      <alignment horizontal="right"/>
    </xf>
    <xf numFmtId="10" fontId="9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/>
    <xf numFmtId="5" fontId="14" fillId="2" borderId="0" xfId="0" applyNumberFormat="1" applyFont="1" applyFill="1"/>
    <xf numFmtId="10" fontId="14" fillId="2" borderId="0" xfId="0" applyNumberFormat="1" applyFont="1" applyFill="1"/>
    <xf numFmtId="37" fontId="14" fillId="2" borderId="0" xfId="0" applyNumberFormat="1" applyFont="1" applyFill="1"/>
    <xf numFmtId="37" fontId="14" fillId="0" borderId="0" xfId="0" applyNumberFormat="1" applyFont="1"/>
    <xf numFmtId="37" fontId="14" fillId="0" borderId="0" xfId="0" applyNumberFormat="1" applyFont="1" applyFill="1"/>
    <xf numFmtId="5" fontId="14" fillId="2" borderId="0" xfId="0" quotePrefix="1" applyNumberFormat="1" applyFont="1" applyFill="1" applyAlignment="1">
      <alignment horizontal="left"/>
    </xf>
    <xf numFmtId="37" fontId="14" fillId="2" borderId="6" xfId="0" applyNumberFormat="1" applyFont="1" applyFill="1" applyBorder="1"/>
    <xf numFmtId="37" fontId="14" fillId="2" borderId="0" xfId="0" applyNumberFormat="1" applyFont="1" applyFill="1" applyBorder="1"/>
    <xf numFmtId="10" fontId="14" fillId="2" borderId="6" xfId="0" applyNumberFormat="1" applyFont="1" applyFill="1" applyBorder="1"/>
    <xf numFmtId="37" fontId="14" fillId="2" borderId="3" xfId="0" applyNumberFormat="1" applyFont="1" applyFill="1" applyBorder="1"/>
    <xf numFmtId="165" fontId="14" fillId="2" borderId="0" xfId="11" applyNumberFormat="1" applyFont="1" applyFill="1"/>
    <xf numFmtId="5" fontId="14" fillId="2" borderId="0" xfId="0" applyNumberFormat="1" applyFont="1" applyFill="1" applyAlignment="1">
      <alignment horizontal="right"/>
    </xf>
    <xf numFmtId="165" fontId="14" fillId="2" borderId="0" xfId="11" applyNumberFormat="1" applyFont="1" applyFill="1" applyAlignment="1">
      <alignment horizontal="right"/>
    </xf>
    <xf numFmtId="5" fontId="14" fillId="2" borderId="6" xfId="0" applyNumberFormat="1" applyFont="1" applyFill="1" applyBorder="1" applyAlignment="1">
      <alignment horizontal="right"/>
    </xf>
    <xf numFmtId="165" fontId="14" fillId="2" borderId="0" xfId="11" applyNumberFormat="1" applyFont="1" applyFill="1" applyBorder="1" applyAlignment="1">
      <alignment horizontal="right"/>
    </xf>
    <xf numFmtId="5" fontId="14" fillId="2" borderId="3" xfId="0" applyNumberFormat="1" applyFont="1" applyFill="1" applyBorder="1"/>
    <xf numFmtId="5" fontId="14" fillId="2" borderId="0" xfId="0" applyNumberFormat="1" applyFont="1" applyFill="1" applyBorder="1"/>
    <xf numFmtId="165" fontId="14" fillId="2" borderId="3" xfId="11" applyNumberFormat="1" applyFont="1" applyFill="1" applyBorder="1"/>
    <xf numFmtId="5" fontId="15" fillId="2" borderId="0" xfId="0" applyNumberFormat="1" applyFont="1" applyFill="1"/>
    <xf numFmtId="5" fontId="14" fillId="2" borderId="6" xfId="0" applyNumberFormat="1" applyFont="1" applyFill="1" applyBorder="1"/>
    <xf numFmtId="165" fontId="14" fillId="2" borderId="6" xfId="11" applyNumberFormat="1" applyFont="1" applyFill="1" applyBorder="1"/>
    <xf numFmtId="5" fontId="14" fillId="2" borderId="7" xfId="0" applyNumberFormat="1" applyFont="1" applyFill="1" applyBorder="1"/>
    <xf numFmtId="10" fontId="14" fillId="2" borderId="7" xfId="0" applyNumberFormat="1" applyFont="1" applyFill="1" applyBorder="1"/>
    <xf numFmtId="165" fontId="14" fillId="2" borderId="7" xfId="11" applyNumberFormat="1" applyFont="1" applyFill="1" applyBorder="1"/>
    <xf numFmtId="5" fontId="14" fillId="2" borderId="4" xfId="0" applyNumberFormat="1" applyFont="1" applyFill="1" applyBorder="1"/>
    <xf numFmtId="165" fontId="14" fillId="2" borderId="4" xfId="11" applyNumberFormat="1" applyFont="1" applyFill="1" applyBorder="1"/>
    <xf numFmtId="10" fontId="14" fillId="2" borderId="4" xfId="0" applyNumberFormat="1" applyFont="1" applyFill="1" applyBorder="1"/>
    <xf numFmtId="5" fontId="14" fillId="2" borderId="5" xfId="0" applyNumberFormat="1" applyFont="1" applyFill="1" applyBorder="1"/>
    <xf numFmtId="165" fontId="14" fillId="2" borderId="0" xfId="0" applyNumberFormat="1" applyFont="1" applyFill="1" applyBorder="1"/>
    <xf numFmtId="5" fontId="14" fillId="0" borderId="0" xfId="0" applyNumberFormat="1" applyFont="1" applyFill="1" applyAlignment="1">
      <alignment horizontal="left"/>
    </xf>
    <xf numFmtId="165" fontId="14" fillId="2" borderId="0" xfId="11" applyNumberFormat="1" applyFont="1" applyFill="1" applyBorder="1"/>
    <xf numFmtId="165" fontId="14" fillId="0" borderId="0" xfId="11" applyNumberFormat="1" applyFont="1" applyFill="1" applyBorder="1"/>
    <xf numFmtId="5" fontId="14" fillId="2" borderId="0" xfId="0" applyNumberFormat="1" applyFont="1" applyFill="1" applyAlignment="1">
      <alignment horizontal="left"/>
    </xf>
    <xf numFmtId="10" fontId="16" fillId="2" borderId="0" xfId="0" applyNumberFormat="1" applyFont="1" applyFill="1"/>
    <xf numFmtId="0" fontId="14" fillId="2" borderId="2" xfId="0" applyFont="1" applyFill="1" applyBorder="1"/>
    <xf numFmtId="0" fontId="17" fillId="2" borderId="2" xfId="0" applyFont="1" applyFill="1" applyBorder="1"/>
    <xf numFmtId="0" fontId="17" fillId="2" borderId="6" xfId="0" applyNumberFormat="1" applyFont="1" applyFill="1" applyBorder="1" applyAlignment="1">
      <alignment horizontal="right"/>
    </xf>
    <xf numFmtId="1" fontId="17" fillId="2" borderId="6" xfId="0" quotePrefix="1" applyNumberFormat="1" applyFont="1" applyFill="1" applyBorder="1" applyAlignment="1">
      <alignment horizontal="right"/>
    </xf>
    <xf numFmtId="5" fontId="14" fillId="2" borderId="2" xfId="0" applyNumberFormat="1" applyFont="1" applyFill="1" applyBorder="1"/>
    <xf numFmtId="0" fontId="14" fillId="2" borderId="0" xfId="0" applyNumberFormat="1" applyFont="1" applyFill="1"/>
    <xf numFmtId="0" fontId="14" fillId="2" borderId="6" xfId="0" applyNumberFormat="1" applyFont="1" applyFill="1" applyBorder="1"/>
    <xf numFmtId="1" fontId="14" fillId="2" borderId="6" xfId="0" applyNumberFormat="1" applyFont="1" applyFill="1" applyBorder="1" applyAlignment="1">
      <alignment horizontal="right"/>
    </xf>
    <xf numFmtId="5" fontId="14" fillId="0" borderId="0" xfId="2" applyNumberFormat="1" applyFont="1" applyFill="1" applyBorder="1"/>
    <xf numFmtId="166" fontId="14" fillId="2" borderId="0" xfId="9" applyNumberFormat="1" applyFont="1"/>
    <xf numFmtId="5" fontId="14" fillId="3" borderId="0" xfId="2" applyNumberFormat="1" applyFont="1" applyFill="1" applyBorder="1"/>
    <xf numFmtId="5" fontId="14" fillId="3" borderId="3" xfId="2" applyNumberFormat="1" applyFont="1" applyFill="1" applyBorder="1"/>
    <xf numFmtId="5" fontId="14" fillId="0" borderId="3" xfId="2" applyNumberFormat="1" applyFont="1" applyFill="1" applyBorder="1"/>
    <xf numFmtId="165" fontId="14" fillId="0" borderId="3" xfId="11" applyNumberFormat="1" applyFont="1" applyFill="1" applyBorder="1"/>
    <xf numFmtId="0" fontId="14" fillId="0" borderId="0" xfId="0" applyFont="1" applyFill="1" applyBorder="1" applyAlignment="1">
      <alignment horizontal="left"/>
    </xf>
    <xf numFmtId="5" fontId="14" fillId="3" borderId="0" xfId="2" applyNumberFormat="1" applyFont="1" applyFill="1" applyBorder="1" applyAlignment="1">
      <alignment horizontal="right"/>
    </xf>
    <xf numFmtId="5" fontId="14" fillId="0" borderId="0" xfId="2" applyNumberFormat="1" applyFont="1" applyFill="1" applyBorder="1" applyAlignment="1">
      <alignment horizontal="right"/>
    </xf>
    <xf numFmtId="165" fontId="14" fillId="0" borderId="0" xfId="11" applyNumberFormat="1" applyFont="1" applyFill="1" applyBorder="1" applyAlignment="1">
      <alignment horizontal="right"/>
    </xf>
    <xf numFmtId="0" fontId="14" fillId="3" borderId="0" xfId="0" quotePrefix="1" applyFont="1" applyFill="1" applyBorder="1" applyAlignment="1">
      <alignment horizontal="left"/>
    </xf>
    <xf numFmtId="0" fontId="14" fillId="3" borderId="0" xfId="0" applyFont="1" applyFill="1" applyBorder="1"/>
    <xf numFmtId="166" fontId="14" fillId="2" borderId="6" xfId="9" applyNumberFormat="1" applyFont="1" applyBorder="1"/>
    <xf numFmtId="166" fontId="14" fillId="2" borderId="7" xfId="9" applyNumberFormat="1" applyFont="1" applyBorder="1"/>
    <xf numFmtId="165" fontId="14" fillId="0" borderId="6" xfId="11" applyNumberFormat="1" applyFont="1" applyFill="1" applyBorder="1"/>
    <xf numFmtId="5" fontId="14" fillId="0" borderId="6" xfId="2" applyNumberFormat="1" applyFont="1" applyFill="1" applyBorder="1"/>
    <xf numFmtId="5" fontId="14" fillId="0" borderId="4" xfId="2" applyNumberFormat="1" applyFont="1" applyFill="1" applyBorder="1"/>
    <xf numFmtId="165" fontId="14" fillId="0" borderId="4" xfId="11" applyNumberFormat="1" applyFont="1" applyFill="1" applyBorder="1"/>
    <xf numFmtId="10" fontId="14" fillId="2" borderId="8" xfId="0" applyNumberFormat="1" applyFont="1" applyFill="1" applyBorder="1"/>
    <xf numFmtId="166" fontId="14" fillId="2" borderId="4" xfId="9" applyNumberFormat="1" applyFont="1" applyBorder="1"/>
    <xf numFmtId="5" fontId="14" fillId="3" borderId="5" xfId="2" applyNumberFormat="1" applyFont="1" applyFill="1" applyBorder="1"/>
    <xf numFmtId="37" fontId="14" fillId="2" borderId="0" xfId="8" applyNumberFormat="1" applyFont="1" applyFill="1" applyBorder="1" applyAlignment="1">
      <alignment horizontal="right"/>
    </xf>
    <xf numFmtId="15" fontId="14" fillId="2" borderId="0" xfId="0" applyNumberFormat="1" applyFont="1" applyFill="1" applyAlignment="1">
      <alignment horizontal="right"/>
    </xf>
    <xf numFmtId="10" fontId="17" fillId="2" borderId="0" xfId="0" applyNumberFormat="1" applyFont="1" applyFill="1" applyAlignment="1">
      <alignment horizontal="right"/>
    </xf>
    <xf numFmtId="0" fontId="17" fillId="2" borderId="0" xfId="0" applyNumberFormat="1" applyFont="1" applyFill="1"/>
    <xf numFmtId="0" fontId="17" fillId="2" borderId="6" xfId="0" applyNumberFormat="1" applyFont="1" applyFill="1" applyBorder="1"/>
    <xf numFmtId="0" fontId="14" fillId="2" borderId="3" xfId="0" applyFont="1" applyFill="1" applyBorder="1"/>
    <xf numFmtId="0" fontId="14" fillId="2" borderId="0" xfId="0" applyFont="1" applyFill="1" applyBorder="1"/>
    <xf numFmtId="10" fontId="14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/>
    <xf numFmtId="2" fontId="14" fillId="2" borderId="0" xfId="0" applyNumberFormat="1" applyFont="1" applyFill="1"/>
    <xf numFmtId="10" fontId="14" fillId="2" borderId="0" xfId="9" applyFont="1"/>
    <xf numFmtId="10" fontId="14" fillId="2" borderId="6" xfId="9" applyFont="1" applyBorder="1"/>
    <xf numFmtId="10" fontId="14" fillId="2" borderId="7" xfId="9" applyFont="1" applyBorder="1"/>
    <xf numFmtId="10" fontId="14" fillId="2" borderId="8" xfId="9" applyFont="1" applyBorder="1"/>
    <xf numFmtId="10" fontId="14" fillId="2" borderId="4" xfId="9" applyFont="1" applyBorder="1"/>
    <xf numFmtId="5" fontId="14" fillId="2" borderId="0" xfId="0" applyNumberFormat="1" applyFont="1" applyFill="1" applyAlignment="1">
      <alignment horizontal="centerContinuous"/>
    </xf>
    <xf numFmtId="165" fontId="14" fillId="0" borderId="0" xfId="11" applyNumberFormat="1" applyFont="1" applyFill="1"/>
    <xf numFmtId="5" fontId="15" fillId="2" borderId="6" xfId="0" applyNumberFormat="1" applyFont="1" applyFill="1" applyBorder="1"/>
    <xf numFmtId="10" fontId="17" fillId="0" borderId="0" xfId="0" applyNumberFormat="1" applyFont="1" applyFill="1" applyAlignment="1">
      <alignment horizontal="right"/>
    </xf>
    <xf numFmtId="10" fontId="17" fillId="0" borderId="0" xfId="0" quotePrefix="1" applyNumberFormat="1" applyFont="1" applyFill="1" applyAlignment="1">
      <alignment horizontal="right"/>
    </xf>
    <xf numFmtId="10" fontId="17" fillId="2" borderId="0" xfId="0" quotePrefix="1" applyNumberFormat="1" applyFont="1" applyFill="1" applyAlignment="1">
      <alignment horizontal="right"/>
    </xf>
    <xf numFmtId="5" fontId="12" fillId="2" borderId="0" xfId="0" applyNumberFormat="1" applyFont="1" applyFill="1" applyAlignment="1">
      <alignment horizontal="center"/>
    </xf>
    <xf numFmtId="5" fontId="3" fillId="2" borderId="0" xfId="0" applyNumberFormat="1" applyFont="1" applyFill="1" applyAlignment="1">
      <alignment horizontal="center"/>
    </xf>
    <xf numFmtId="5" fontId="4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showGridLines="0" tabSelected="1" zoomScale="150" zoomScaleNormal="150" workbookViewId="0">
      <selection activeCell="Q106" sqref="Q106"/>
    </sheetView>
  </sheetViews>
  <sheetFormatPr defaultColWidth="13.7109375" defaultRowHeight="15.75" x14ac:dyDescent="0.25"/>
  <cols>
    <col min="1" max="1" width="28" customWidth="1"/>
    <col min="2" max="5" width="10.7109375" hidden="1" customWidth="1"/>
    <col min="6" max="8" width="11.140625" hidden="1" customWidth="1"/>
    <col min="9" max="14" width="12.5703125" customWidth="1"/>
    <col min="15" max="15" width="10.5703125" style="1" customWidth="1"/>
    <col min="16" max="16" width="3.7109375" customWidth="1"/>
    <col min="17" max="17" width="28.42578125" style="26" customWidth="1"/>
    <col min="18" max="24" width="11.7109375" style="26" hidden="1" customWidth="1"/>
    <col min="25" max="29" width="11.7109375" style="26" customWidth="1"/>
    <col min="30" max="30" width="11.7109375" customWidth="1"/>
  </cols>
  <sheetData>
    <row r="1" spans="1:30" ht="15" customHeight="1" x14ac:dyDescent="0.25">
      <c r="O1" s="114" t="s">
        <v>77</v>
      </c>
    </row>
    <row r="2" spans="1:30" ht="15" customHeight="1" x14ac:dyDescent="0.25">
      <c r="O2" s="115" t="s">
        <v>143</v>
      </c>
    </row>
    <row r="3" spans="1:30" ht="15" customHeight="1" x14ac:dyDescent="0.3">
      <c r="A3" s="4" t="s">
        <v>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4"/>
      <c r="Q3" s="118" t="str">
        <f t="shared" ref="Q3:Q60" si="0">+A3</f>
        <v>Moon Lake Electric Association, Inc.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5" customHeight="1" x14ac:dyDescent="0.25">
      <c r="A4" s="6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4"/>
      <c r="Q4" s="119" t="s">
        <v>41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1:30" ht="15" customHeight="1" x14ac:dyDescent="0.25">
      <c r="A5" s="15" t="s">
        <v>76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4"/>
      <c r="Q5" s="119" t="s">
        <v>42</v>
      </c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5" t="s">
        <v>140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30" ht="15" customHeight="1" x14ac:dyDescent="0.25">
      <c r="A7" s="2"/>
      <c r="B7" s="2"/>
      <c r="C7" s="9"/>
      <c r="D7" s="17"/>
      <c r="E7" s="17"/>
      <c r="F7" s="16"/>
      <c r="G7" s="16"/>
      <c r="H7" s="16"/>
      <c r="I7" s="16"/>
      <c r="J7" s="16"/>
      <c r="K7" s="16"/>
      <c r="L7" s="16"/>
      <c r="M7" s="16"/>
      <c r="N7" s="16"/>
      <c r="O7" s="19" t="s">
        <v>3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30" ht="15" customHeight="1" x14ac:dyDescent="0.25">
      <c r="A8" s="67" t="s">
        <v>0</v>
      </c>
      <c r="B8" s="68">
        <v>2004</v>
      </c>
      <c r="C8" s="68">
        <v>2005</v>
      </c>
      <c r="D8" s="69">
        <v>2006</v>
      </c>
      <c r="E8" s="69">
        <v>2007</v>
      </c>
      <c r="F8" s="70">
        <f>+E8+1</f>
        <v>2008</v>
      </c>
      <c r="G8" s="70">
        <f t="shared" ref="G8:L8" si="1">+F8+1</f>
        <v>2009</v>
      </c>
      <c r="H8" s="70">
        <f t="shared" si="1"/>
        <v>2010</v>
      </c>
      <c r="I8" s="70">
        <f t="shared" si="1"/>
        <v>2011</v>
      </c>
      <c r="J8" s="70">
        <f t="shared" si="1"/>
        <v>2012</v>
      </c>
      <c r="K8" s="70">
        <f t="shared" si="1"/>
        <v>2013</v>
      </c>
      <c r="L8" s="70">
        <f t="shared" si="1"/>
        <v>2014</v>
      </c>
      <c r="M8" s="70">
        <f t="shared" ref="M8" si="2">+L8+1</f>
        <v>2015</v>
      </c>
      <c r="N8" s="70">
        <f t="shared" ref="N8" si="3">+M8+1</f>
        <v>2016</v>
      </c>
      <c r="O8" s="20" t="s">
        <v>22</v>
      </c>
      <c r="Q8" s="52" t="str">
        <f t="shared" si="0"/>
        <v>Account Name</v>
      </c>
      <c r="R8" s="100">
        <f>+B8</f>
        <v>2004</v>
      </c>
      <c r="S8" s="100">
        <f t="shared" ref="S8:AD8" si="4">+C8</f>
        <v>2005</v>
      </c>
      <c r="T8" s="100">
        <f t="shared" si="4"/>
        <v>2006</v>
      </c>
      <c r="U8" s="100">
        <f t="shared" si="4"/>
        <v>2007</v>
      </c>
      <c r="V8" s="100">
        <f t="shared" si="4"/>
        <v>2008</v>
      </c>
      <c r="W8" s="100">
        <f t="shared" si="4"/>
        <v>2009</v>
      </c>
      <c r="X8" s="100">
        <f t="shared" si="4"/>
        <v>2010</v>
      </c>
      <c r="Y8" s="100">
        <f t="shared" si="4"/>
        <v>2011</v>
      </c>
      <c r="Z8" s="100">
        <f t="shared" si="4"/>
        <v>2012</v>
      </c>
      <c r="AA8" s="100">
        <f t="shared" si="4"/>
        <v>2013</v>
      </c>
      <c r="AB8" s="100">
        <f t="shared" si="4"/>
        <v>2014</v>
      </c>
      <c r="AC8" s="100">
        <f t="shared" si="4"/>
        <v>2015</v>
      </c>
      <c r="AD8" s="100">
        <f t="shared" si="4"/>
        <v>2016</v>
      </c>
    </row>
    <row r="9" spans="1:30" ht="15" customHeight="1" x14ac:dyDescent="0.25">
      <c r="A9" s="32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66"/>
      <c r="Q9" s="32" t="str">
        <f t="shared" si="0"/>
        <v>Current Assets: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15" customHeight="1" x14ac:dyDescent="0.25">
      <c r="A10" s="33" t="s">
        <v>4</v>
      </c>
      <c r="B10" s="35">
        <v>9442628</v>
      </c>
      <c r="C10" s="36">
        <v>8550699</v>
      </c>
      <c r="D10" s="36">
        <v>8532129</v>
      </c>
      <c r="E10" s="36">
        <v>9371799</v>
      </c>
      <c r="F10" s="36">
        <v>11733551</v>
      </c>
      <c r="G10" s="36">
        <v>11043425</v>
      </c>
      <c r="H10" s="36">
        <v>10716522</v>
      </c>
      <c r="I10" s="36">
        <v>13051812</v>
      </c>
      <c r="J10" s="36">
        <v>12681093</v>
      </c>
      <c r="K10" s="36">
        <v>11554347</v>
      </c>
      <c r="L10" s="36">
        <v>11388443</v>
      </c>
      <c r="M10" s="36">
        <v>5489054</v>
      </c>
      <c r="N10" s="36">
        <v>7814444</v>
      </c>
      <c r="O10" s="34">
        <f>RATE(5,,-I10,N10)</f>
        <v>-9.7503648749599908E-2</v>
      </c>
      <c r="Q10" s="33" t="str">
        <f t="shared" si="0"/>
        <v>Cash &amp; Equivalents</v>
      </c>
      <c r="R10" s="106">
        <f>+B10/B$35</f>
        <v>0.15577660401906274</v>
      </c>
      <c r="S10" s="106">
        <f t="shared" ref="S10:AD17" si="5">+C10/C$35</f>
        <v>0.13134032365139875</v>
      </c>
      <c r="T10" s="106">
        <f t="shared" si="5"/>
        <v>0.1212432014883188</v>
      </c>
      <c r="U10" s="106">
        <f t="shared" si="5"/>
        <v>0.12351016945927058</v>
      </c>
      <c r="V10" s="106">
        <f t="shared" si="5"/>
        <v>0.14525013032037334</v>
      </c>
      <c r="W10" s="106">
        <f t="shared" si="5"/>
        <v>0.11421169207205896</v>
      </c>
      <c r="X10" s="106">
        <f t="shared" si="5"/>
        <v>0.11022528102477611</v>
      </c>
      <c r="Y10" s="106">
        <f t="shared" si="5"/>
        <v>0.13087704243625889</v>
      </c>
      <c r="Z10" s="106">
        <f t="shared" si="5"/>
        <v>0.1242491206286683</v>
      </c>
      <c r="AA10" s="106">
        <f t="shared" si="5"/>
        <v>0.11243840036938321</v>
      </c>
      <c r="AB10" s="106">
        <f t="shared" si="5"/>
        <v>0.10413974878972884</v>
      </c>
      <c r="AC10" s="106">
        <f t="shared" si="5"/>
        <v>5.0662529036755034E-2</v>
      </c>
      <c r="AD10" s="106">
        <f t="shared" si="5"/>
        <v>6.9771967202145763E-2</v>
      </c>
    </row>
    <row r="11" spans="1:30" ht="15" customHeight="1" x14ac:dyDescent="0.25">
      <c r="A11" s="33" t="s">
        <v>141</v>
      </c>
      <c r="B11" s="35"/>
      <c r="C11" s="36"/>
      <c r="D11" s="36"/>
      <c r="E11" s="36"/>
      <c r="F11" s="36"/>
      <c r="G11" s="36"/>
      <c r="H11" s="36"/>
      <c r="I11" s="36"/>
      <c r="J11" s="36">
        <v>4000000</v>
      </c>
      <c r="K11" s="36">
        <v>4000000</v>
      </c>
      <c r="L11" s="37">
        <v>4000000</v>
      </c>
      <c r="M11" s="37">
        <v>4000000</v>
      </c>
      <c r="N11" s="37">
        <v>4000000</v>
      </c>
      <c r="O11" s="34"/>
      <c r="Q11" s="33" t="str">
        <f t="shared" si="0"/>
        <v>Investments - Note CFC</v>
      </c>
      <c r="R11" s="106">
        <f t="shared" ref="R11:R17" si="6">+B11/B$35</f>
        <v>0</v>
      </c>
      <c r="S11" s="106">
        <f t="shared" si="5"/>
        <v>0</v>
      </c>
      <c r="T11" s="106">
        <f t="shared" si="5"/>
        <v>0</v>
      </c>
      <c r="U11" s="106">
        <f t="shared" si="5"/>
        <v>0</v>
      </c>
      <c r="V11" s="106">
        <f t="shared" si="5"/>
        <v>0</v>
      </c>
      <c r="W11" s="106">
        <f t="shared" si="5"/>
        <v>0</v>
      </c>
      <c r="X11" s="106">
        <f t="shared" si="5"/>
        <v>0</v>
      </c>
      <c r="Y11" s="106"/>
      <c r="Z11" s="106">
        <f t="shared" si="5"/>
        <v>3.9191927897277719E-2</v>
      </c>
      <c r="AA11" s="106">
        <f t="shared" si="5"/>
        <v>3.8925055780091498E-2</v>
      </c>
      <c r="AB11" s="106">
        <f t="shared" si="5"/>
        <v>3.6577343817668084E-2</v>
      </c>
      <c r="AC11" s="106">
        <f t="shared" si="5"/>
        <v>3.6918951088296841E-2</v>
      </c>
      <c r="AD11" s="106">
        <f t="shared" si="5"/>
        <v>3.5714360331788549E-2</v>
      </c>
    </row>
    <row r="12" spans="1:30" ht="15" customHeight="1" x14ac:dyDescent="0.25">
      <c r="A12" s="33" t="s">
        <v>142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>
        <v>8021237</v>
      </c>
      <c r="M12" s="37">
        <v>10099465</v>
      </c>
      <c r="N12" s="37">
        <v>11268246</v>
      </c>
      <c r="O12" s="34"/>
      <c r="Q12" s="33" t="str">
        <f t="shared" si="0"/>
        <v>Investments - Wells Fargo - Bonds</v>
      </c>
      <c r="R12" s="106">
        <f t="shared" si="6"/>
        <v>0</v>
      </c>
      <c r="S12" s="106">
        <f t="shared" si="5"/>
        <v>0</v>
      </c>
      <c r="T12" s="106">
        <f t="shared" si="5"/>
        <v>0</v>
      </c>
      <c r="U12" s="106">
        <f t="shared" si="5"/>
        <v>0</v>
      </c>
      <c r="V12" s="106">
        <f t="shared" si="5"/>
        <v>0</v>
      </c>
      <c r="W12" s="106">
        <f t="shared" si="5"/>
        <v>0</v>
      </c>
      <c r="X12" s="106">
        <f t="shared" si="5"/>
        <v>0</v>
      </c>
      <c r="Y12" s="106"/>
      <c r="Z12" s="106"/>
      <c r="AA12" s="106"/>
      <c r="AB12" s="106">
        <f t="shared" si="5"/>
        <v>7.3348885898000121E-2</v>
      </c>
      <c r="AC12" s="106">
        <f t="shared" si="5"/>
        <v>9.3215413588241466E-2</v>
      </c>
      <c r="AD12" s="106">
        <f t="shared" si="5"/>
        <v>0.10060954948780876</v>
      </c>
    </row>
    <row r="13" spans="1:30" ht="15" customHeight="1" x14ac:dyDescent="0.25">
      <c r="A13" s="38" t="s">
        <v>75</v>
      </c>
      <c r="B13" s="35">
        <v>3676175</v>
      </c>
      <c r="C13" s="35">
        <v>3902549</v>
      </c>
      <c r="D13" s="35">
        <v>4310753</v>
      </c>
      <c r="E13" s="35">
        <v>4834219</v>
      </c>
      <c r="F13" s="35">
        <v>4806307</v>
      </c>
      <c r="G13" s="35">
        <v>4710306</v>
      </c>
      <c r="H13" s="35">
        <v>4508762</v>
      </c>
      <c r="I13" s="35">
        <v>5058456</v>
      </c>
      <c r="J13" s="35">
        <v>5226825</v>
      </c>
      <c r="K13" s="35">
        <v>5907779</v>
      </c>
      <c r="L13" s="35">
        <v>5772661</v>
      </c>
      <c r="M13" s="35">
        <v>5841657</v>
      </c>
      <c r="N13" s="35">
        <v>6016408</v>
      </c>
      <c r="O13" s="34">
        <f t="shared" ref="O13:O17" si="7">RATE(5,,-I13,N13)</f>
        <v>3.5294389963018723E-2</v>
      </c>
      <c r="Q13" s="33" t="str">
        <f t="shared" si="0"/>
        <v>Accounts Receivable, net</v>
      </c>
      <c r="R13" s="106">
        <f t="shared" si="6"/>
        <v>6.0646470164850079E-2</v>
      </c>
      <c r="S13" s="106">
        <f t="shared" si="5"/>
        <v>5.994387695385401E-2</v>
      </c>
      <c r="T13" s="106">
        <f t="shared" si="5"/>
        <v>6.1256632962930435E-2</v>
      </c>
      <c r="U13" s="106">
        <f t="shared" si="5"/>
        <v>6.3709775240935657E-2</v>
      </c>
      <c r="V13" s="106">
        <f t="shared" si="5"/>
        <v>5.9497480183937725E-2</v>
      </c>
      <c r="W13" s="106">
        <f t="shared" si="5"/>
        <v>4.871423661021574E-2</v>
      </c>
      <c r="X13" s="106">
        <f t="shared" si="5"/>
        <v>4.6375079388987543E-2</v>
      </c>
      <c r="Y13" s="106">
        <f t="shared" si="5"/>
        <v>5.0723666612264136E-2</v>
      </c>
      <c r="Z13" s="106">
        <f t="shared" si="5"/>
        <v>5.1212337132922156E-2</v>
      </c>
      <c r="AA13" s="106">
        <f t="shared" si="5"/>
        <v>5.7490156777863288E-2</v>
      </c>
      <c r="AB13" s="106">
        <f t="shared" si="5"/>
        <v>5.278715153496092E-2</v>
      </c>
      <c r="AC13" s="106">
        <f t="shared" si="5"/>
        <v>5.3916962264401715E-2</v>
      </c>
      <c r="AD13" s="106">
        <f t="shared" si="5"/>
        <v>5.3718040803763821E-2</v>
      </c>
    </row>
    <row r="14" spans="1:30" ht="15" customHeight="1" x14ac:dyDescent="0.25">
      <c r="A14" s="38" t="s">
        <v>100</v>
      </c>
      <c r="B14" s="35"/>
      <c r="C14" s="35"/>
      <c r="D14" s="35"/>
      <c r="E14" s="35"/>
      <c r="F14" s="35">
        <v>2465731</v>
      </c>
      <c r="G14" s="35">
        <v>3115701</v>
      </c>
      <c r="H14" s="35">
        <v>2729198</v>
      </c>
      <c r="I14" s="35">
        <v>3201133</v>
      </c>
      <c r="J14" s="35">
        <f>981246+30382</f>
        <v>1011628</v>
      </c>
      <c r="K14" s="35">
        <f>3828499+54477</f>
        <v>3882976</v>
      </c>
      <c r="L14" s="35">
        <f>2610386+52907</f>
        <v>2663293</v>
      </c>
      <c r="M14" s="35">
        <f>3133472+20093</f>
        <v>3153565</v>
      </c>
      <c r="N14" s="35">
        <f>13239+3193766</f>
        <v>3207005</v>
      </c>
      <c r="O14" s="34">
        <f t="shared" si="7"/>
        <v>3.6660121359592972E-4</v>
      </c>
      <c r="Q14" s="33" t="str">
        <f t="shared" si="0"/>
        <v>Accounts Receivable Other</v>
      </c>
      <c r="R14" s="106">
        <f t="shared" si="6"/>
        <v>0</v>
      </c>
      <c r="S14" s="106">
        <f t="shared" si="5"/>
        <v>0</v>
      </c>
      <c r="T14" s="106">
        <f t="shared" si="5"/>
        <v>0</v>
      </c>
      <c r="U14" s="106">
        <f t="shared" si="5"/>
        <v>0</v>
      </c>
      <c r="V14" s="106">
        <f t="shared" si="5"/>
        <v>3.0523389644361239E-2</v>
      </c>
      <c r="W14" s="106">
        <f t="shared" si="5"/>
        <v>3.2222746403457819E-2</v>
      </c>
      <c r="X14" s="106">
        <f t="shared" si="5"/>
        <v>2.8071291835378764E-2</v>
      </c>
      <c r="Y14" s="106">
        <f t="shared" si="5"/>
        <v>3.2099360570402698E-2</v>
      </c>
      <c r="Z14" s="106">
        <f t="shared" si="5"/>
        <v>9.9119129087168172E-3</v>
      </c>
      <c r="AA14" s="106">
        <f t="shared" si="5"/>
        <v>3.7786264348189137E-2</v>
      </c>
      <c r="AB14" s="106">
        <f t="shared" si="5"/>
        <v>2.4354045937047174E-2</v>
      </c>
      <c r="AC14" s="106">
        <f t="shared" si="5"/>
        <v>2.9106577997191206E-2</v>
      </c>
      <c r="AD14" s="106">
        <f t="shared" si="5"/>
        <v>2.8634033038961886E-2</v>
      </c>
    </row>
    <row r="15" spans="1:30" ht="15" customHeight="1" x14ac:dyDescent="0.25">
      <c r="A15" s="38" t="s">
        <v>71</v>
      </c>
      <c r="B15" s="35">
        <v>1760923</v>
      </c>
      <c r="C15" s="35">
        <v>1901477</v>
      </c>
      <c r="D15" s="35">
        <v>2445629</v>
      </c>
      <c r="E15" s="35">
        <v>2675844</v>
      </c>
      <c r="F15" s="35">
        <v>2588002</v>
      </c>
      <c r="G15" s="35">
        <v>2439859</v>
      </c>
      <c r="H15" s="35">
        <v>2564834</v>
      </c>
      <c r="I15" s="35">
        <v>2939804</v>
      </c>
      <c r="J15" s="35">
        <v>4365640</v>
      </c>
      <c r="K15" s="35">
        <v>3947018</v>
      </c>
      <c r="L15" s="35">
        <v>3884882</v>
      </c>
      <c r="M15" s="35">
        <v>4299008</v>
      </c>
      <c r="N15" s="35">
        <v>4234276</v>
      </c>
      <c r="O15" s="34">
        <f t="shared" si="7"/>
        <v>7.5702448819249618E-2</v>
      </c>
      <c r="Q15" s="33" t="str">
        <f t="shared" si="0"/>
        <v>Material and Supplies</v>
      </c>
      <c r="R15" s="106">
        <f t="shared" si="6"/>
        <v>2.9050239496786277E-2</v>
      </c>
      <c r="S15" s="106">
        <f t="shared" si="5"/>
        <v>2.9207039634501313E-2</v>
      </c>
      <c r="T15" s="106">
        <f t="shared" si="5"/>
        <v>3.4752860582941913E-2</v>
      </c>
      <c r="U15" s="106">
        <f t="shared" si="5"/>
        <v>3.5264728350082243E-2</v>
      </c>
      <c r="V15" s="106">
        <f t="shared" si="5"/>
        <v>3.2036987589638195E-2</v>
      </c>
      <c r="W15" s="106">
        <f t="shared" si="5"/>
        <v>2.5233152288102804E-2</v>
      </c>
      <c r="X15" s="106">
        <f t="shared" si="5"/>
        <v>2.638071833677947E-2</v>
      </c>
      <c r="Y15" s="106">
        <f t="shared" si="5"/>
        <v>2.9478884070831209E-2</v>
      </c>
      <c r="Z15" s="106">
        <f t="shared" si="5"/>
        <v>4.2774462026367879E-2</v>
      </c>
      <c r="AA15" s="106">
        <f t="shared" si="5"/>
        <v>3.8409473953756296E-2</v>
      </c>
      <c r="AB15" s="106">
        <f t="shared" si="5"/>
        <v>3.5524666151267509E-2</v>
      </c>
      <c r="AC15" s="106">
        <f t="shared" si="5"/>
        <v>3.9678716520049208E-2</v>
      </c>
      <c r="AD15" s="106">
        <f t="shared" si="5"/>
        <v>3.7806114702061071E-2</v>
      </c>
    </row>
    <row r="16" spans="1:30" ht="15" customHeight="1" x14ac:dyDescent="0.25">
      <c r="A16" s="33" t="s">
        <v>21</v>
      </c>
      <c r="B16" s="35">
        <v>2737052</v>
      </c>
      <c r="C16" s="35">
        <v>2900875</v>
      </c>
      <c r="D16" s="39">
        <v>2843924</v>
      </c>
      <c r="E16" s="39">
        <v>2664698</v>
      </c>
      <c r="F16" s="40">
        <v>159509</v>
      </c>
      <c r="G16" s="39">
        <f>106297+52880</f>
        <v>159177</v>
      </c>
      <c r="H16" s="39">
        <f>534145+115533</f>
        <v>649678</v>
      </c>
      <c r="I16" s="39">
        <f>273325+145906</f>
        <v>419231</v>
      </c>
      <c r="J16" s="39">
        <v>135693</v>
      </c>
      <c r="K16" s="39">
        <v>129777</v>
      </c>
      <c r="L16" s="39">
        <v>127590</v>
      </c>
      <c r="M16" s="39">
        <v>135805</v>
      </c>
      <c r="N16" s="39">
        <v>128981</v>
      </c>
      <c r="O16" s="41">
        <f t="shared" si="7"/>
        <v>-0.21002295807077231</v>
      </c>
      <c r="Q16" s="33" t="str">
        <f t="shared" si="0"/>
        <v>Other Current Assets</v>
      </c>
      <c r="R16" s="107">
        <f t="shared" si="6"/>
        <v>4.5153601898071563E-2</v>
      </c>
      <c r="S16" s="107">
        <f t="shared" si="5"/>
        <v>4.4557978402964639E-2</v>
      </c>
      <c r="T16" s="107">
        <f t="shared" si="5"/>
        <v>4.0412709483115587E-2</v>
      </c>
      <c r="U16" s="107">
        <f t="shared" si="5"/>
        <v>3.511783613133182E-2</v>
      </c>
      <c r="V16" s="107">
        <f t="shared" si="5"/>
        <v>1.9745687420008175E-3</v>
      </c>
      <c r="W16" s="107">
        <f t="shared" si="5"/>
        <v>1.6462170485111393E-3</v>
      </c>
      <c r="X16" s="107">
        <f t="shared" si="5"/>
        <v>6.6822930168588743E-3</v>
      </c>
      <c r="Y16" s="107">
        <f t="shared" si="5"/>
        <v>4.2038387756117889E-3</v>
      </c>
      <c r="Z16" s="107">
        <f t="shared" si="5"/>
        <v>1.3295175680413265E-3</v>
      </c>
      <c r="AA16" s="107">
        <f t="shared" si="5"/>
        <v>1.2628942409932335E-3</v>
      </c>
      <c r="AB16" s="107">
        <f t="shared" si="5"/>
        <v>1.1667258244240678E-3</v>
      </c>
      <c r="AC16" s="107">
        <f t="shared" si="5"/>
        <v>1.2534445381365382E-3</v>
      </c>
      <c r="AD16" s="107">
        <f t="shared" si="5"/>
        <v>1.1516184774886047E-3</v>
      </c>
    </row>
    <row r="17" spans="1:30" ht="15" customHeight="1" x14ac:dyDescent="0.25">
      <c r="A17" s="33" t="s">
        <v>35</v>
      </c>
      <c r="B17" s="42">
        <f>SUM(B9:B16)</f>
        <v>17616778</v>
      </c>
      <c r="C17" s="42">
        <f>SUM(C9:C16)</f>
        <v>17255600</v>
      </c>
      <c r="D17" s="42">
        <f>SUM(D9:D16)</f>
        <v>18132435</v>
      </c>
      <c r="E17" s="42">
        <f>SUM(E9:E16)</f>
        <v>19546560</v>
      </c>
      <c r="F17" s="42">
        <f>SUM(F9:F16)</f>
        <v>21753100</v>
      </c>
      <c r="G17" s="42">
        <f t="shared" ref="G17:L17" si="8">SUM(G9:G16)</f>
        <v>21468468</v>
      </c>
      <c r="H17" s="42">
        <f t="shared" si="8"/>
        <v>21168994</v>
      </c>
      <c r="I17" s="42">
        <f t="shared" si="8"/>
        <v>24670436</v>
      </c>
      <c r="J17" s="42">
        <f t="shared" si="8"/>
        <v>27420879</v>
      </c>
      <c r="K17" s="42">
        <f t="shared" si="8"/>
        <v>29421897</v>
      </c>
      <c r="L17" s="42">
        <f t="shared" si="8"/>
        <v>35858106</v>
      </c>
      <c r="M17" s="42">
        <f t="shared" ref="M17:N17" si="9">SUM(M9:M16)</f>
        <v>33018554</v>
      </c>
      <c r="N17" s="42">
        <f t="shared" si="9"/>
        <v>36669360</v>
      </c>
      <c r="O17" s="34">
        <f t="shared" si="7"/>
        <v>8.2493509528520914E-2</v>
      </c>
      <c r="Q17" s="33" t="str">
        <f t="shared" si="0"/>
        <v>Total Current Assets</v>
      </c>
      <c r="R17" s="106">
        <f t="shared" si="6"/>
        <v>0.29062691557877068</v>
      </c>
      <c r="S17" s="106">
        <f t="shared" si="5"/>
        <v>0.26504921864271869</v>
      </c>
      <c r="T17" s="106">
        <f t="shared" si="5"/>
        <v>0.25766540451730674</v>
      </c>
      <c r="U17" s="106">
        <f t="shared" si="5"/>
        <v>0.25760250918162031</v>
      </c>
      <c r="V17" s="106">
        <f t="shared" si="5"/>
        <v>0.2692825564803113</v>
      </c>
      <c r="W17" s="106">
        <f t="shared" si="5"/>
        <v>0.22202804442234647</v>
      </c>
      <c r="X17" s="106">
        <f t="shared" si="5"/>
        <v>0.21773466360278076</v>
      </c>
      <c r="Y17" s="106">
        <f t="shared" si="5"/>
        <v>0.24738279246536873</v>
      </c>
      <c r="Z17" s="106">
        <f t="shared" si="5"/>
        <v>0.26866927816199421</v>
      </c>
      <c r="AA17" s="106">
        <f t="shared" si="5"/>
        <v>0.28631224547027667</v>
      </c>
      <c r="AB17" s="106">
        <f t="shared" si="5"/>
        <v>0.32789856795309674</v>
      </c>
      <c r="AC17" s="106">
        <f t="shared" si="5"/>
        <v>0.304752595033072</v>
      </c>
      <c r="AD17" s="106">
        <f t="shared" si="5"/>
        <v>0.32740568404401843</v>
      </c>
    </row>
    <row r="18" spans="1:30" ht="15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15" customHeight="1" x14ac:dyDescent="0.25">
      <c r="A19" s="32" t="s">
        <v>23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Q19" s="32" t="str">
        <f t="shared" si="0"/>
        <v>Plant &amp; Equipment: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15" customHeight="1" x14ac:dyDescent="0.25">
      <c r="A20" s="33" t="s">
        <v>79</v>
      </c>
      <c r="B20" s="33">
        <v>78815565</v>
      </c>
      <c r="C20" s="33">
        <v>83153447</v>
      </c>
      <c r="D20" s="33">
        <v>89983411</v>
      </c>
      <c r="E20" s="33">
        <v>97137529</v>
      </c>
      <c r="F20" s="43">
        <v>102512118</v>
      </c>
      <c r="G20" s="43">
        <v>106190984</v>
      </c>
      <c r="H20" s="43">
        <v>123218109</v>
      </c>
      <c r="I20" s="43">
        <v>124381633</v>
      </c>
      <c r="J20" s="43">
        <v>126808320</v>
      </c>
      <c r="K20" s="43">
        <v>129047671</v>
      </c>
      <c r="L20" s="43">
        <v>131495804</v>
      </c>
      <c r="M20" s="43">
        <v>134003721</v>
      </c>
      <c r="N20" s="43">
        <v>135007391</v>
      </c>
      <c r="O20" s="34">
        <f t="shared" ref="O20:O27" si="10">RATE(5,,-I20,N20)</f>
        <v>1.6530135594848821E-2</v>
      </c>
      <c r="Q20" s="33" t="str">
        <f t="shared" si="0"/>
        <v>Plant in Service</v>
      </c>
      <c r="R20" s="106">
        <f t="shared" ref="R20:R23" si="11">+B20/B$35</f>
        <v>1.3002334794448855</v>
      </c>
      <c r="S20" s="106">
        <f t="shared" ref="S20:S23" si="12">+C20/C$35</f>
        <v>1.2772523792159485</v>
      </c>
      <c r="T20" s="106">
        <f t="shared" ref="T20:T23" si="13">+D20/D$35</f>
        <v>1.2786816550100453</v>
      </c>
      <c r="U20" s="106">
        <f t="shared" ref="U20:U23" si="14">+E20/E$35</f>
        <v>1.2801675182795544</v>
      </c>
      <c r="V20" s="106">
        <f t="shared" ref="V20:V23" si="15">+F20/F$35</f>
        <v>1.2690018988213789</v>
      </c>
      <c r="W20" s="106">
        <f t="shared" ref="W20:W23" si="16">+G20/G$35</f>
        <v>1.098232836772735</v>
      </c>
      <c r="X20" s="106">
        <f t="shared" ref="X20:X23" si="17">+H20/H$35</f>
        <v>1.2673655400386894</v>
      </c>
      <c r="Y20" s="106">
        <f t="shared" ref="Y20:Y23" si="18">+I20/I$35</f>
        <v>1.2472368020955389</v>
      </c>
      <c r="Z20" s="106">
        <f t="shared" ref="Z20:Z23" si="19">+J20/J$35</f>
        <v>1.2424656335537301</v>
      </c>
      <c r="AA20" s="106">
        <f t="shared" ref="AA20:AA23" si="20">+K20/K$35</f>
        <v>1.2557969479914739</v>
      </c>
      <c r="AB20" s="106">
        <f t="shared" ref="AB20:AB23" si="21">+L20/L$35</f>
        <v>1.2024418083721735</v>
      </c>
      <c r="AC20" s="106">
        <f t="shared" ref="AC20:AC23" si="22">+M20/M$35</f>
        <v>1.236819205312194</v>
      </c>
      <c r="AD20" s="106">
        <f t="shared" ref="AD20:AD23" si="23">+N20/N$35</f>
        <v>1.2054256524071667</v>
      </c>
    </row>
    <row r="21" spans="1:30" ht="15" customHeight="1" x14ac:dyDescent="0.25">
      <c r="A21" s="33" t="s">
        <v>51</v>
      </c>
      <c r="B21" s="33">
        <v>1780132</v>
      </c>
      <c r="C21" s="44">
        <v>3786099</v>
      </c>
      <c r="D21" s="44">
        <v>2111398</v>
      </c>
      <c r="E21" s="44">
        <v>877113</v>
      </c>
      <c r="F21" s="45">
        <v>110732</v>
      </c>
      <c r="G21" s="45">
        <v>14542784</v>
      </c>
      <c r="H21" s="45">
        <v>-1028306</v>
      </c>
      <c r="I21" s="45">
        <v>360068</v>
      </c>
      <c r="J21" s="45">
        <v>580420</v>
      </c>
      <c r="K21" s="45">
        <v>-695165</v>
      </c>
      <c r="L21" s="45">
        <f>7526197-7843752</f>
        <v>-317555</v>
      </c>
      <c r="M21" s="45">
        <f>6322992-5258520</f>
        <v>1064472</v>
      </c>
      <c r="N21" s="45">
        <v>3391322</v>
      </c>
      <c r="O21" s="34">
        <f t="shared" si="10"/>
        <v>0.56601854296306497</v>
      </c>
      <c r="Q21" s="33" t="str">
        <f t="shared" si="0"/>
        <v xml:space="preserve">  Construction Work in Progress</v>
      </c>
      <c r="R21" s="106">
        <f t="shared" si="11"/>
        <v>2.9367133563417112E-2</v>
      </c>
      <c r="S21" s="106">
        <f t="shared" si="12"/>
        <v>5.815518334071134E-2</v>
      </c>
      <c r="T21" s="106">
        <f t="shared" si="13"/>
        <v>3.000337349986543E-2</v>
      </c>
      <c r="U21" s="106">
        <f t="shared" si="14"/>
        <v>1.1559400203197828E-2</v>
      </c>
      <c r="V21" s="106">
        <f t="shared" si="15"/>
        <v>1.370756170117263E-3</v>
      </c>
      <c r="W21" s="106">
        <f t="shared" si="16"/>
        <v>0.15040225003370475</v>
      </c>
      <c r="X21" s="106">
        <f t="shared" si="17"/>
        <v>-1.0576688764271041E-2</v>
      </c>
      <c r="Y21" s="106">
        <f t="shared" si="18"/>
        <v>3.610581803962459E-3</v>
      </c>
      <c r="Z21" s="106">
        <f t="shared" si="19"/>
        <v>5.6869446975344835E-3</v>
      </c>
      <c r="AA21" s="106">
        <f t="shared" si="20"/>
        <v>-6.7648341003418259E-3</v>
      </c>
      <c r="AB21" s="106">
        <f t="shared" si="21"/>
        <v>-2.9038296040048974E-3</v>
      </c>
      <c r="AC21" s="106">
        <f t="shared" si="22"/>
        <v>9.8247974257153793E-3</v>
      </c>
      <c r="AD21" s="106">
        <f t="shared" si="23"/>
        <v>3.0279723977280452E-2</v>
      </c>
    </row>
    <row r="22" spans="1:30" ht="15" customHeight="1" x14ac:dyDescent="0.25">
      <c r="A22" s="33" t="s">
        <v>52</v>
      </c>
      <c r="B22" s="33">
        <v>383441</v>
      </c>
      <c r="C22" s="44">
        <v>388766</v>
      </c>
      <c r="D22" s="46">
        <v>388766</v>
      </c>
      <c r="E22" s="46">
        <v>388766</v>
      </c>
      <c r="F22" s="47">
        <v>388766</v>
      </c>
      <c r="G22" s="47"/>
      <c r="H22" s="47"/>
      <c r="I22" s="47"/>
      <c r="J22" s="47"/>
      <c r="K22" s="47"/>
      <c r="L22" s="47"/>
      <c r="M22" s="47"/>
      <c r="N22" s="47"/>
      <c r="O22" s="41"/>
      <c r="Q22" s="33" t="str">
        <f t="shared" si="0"/>
        <v>Other PP&amp;E</v>
      </c>
      <c r="R22" s="107">
        <f t="shared" si="11"/>
        <v>6.3256899267527464E-3</v>
      </c>
      <c r="S22" s="107">
        <f t="shared" si="12"/>
        <v>5.9715179150452713E-3</v>
      </c>
      <c r="T22" s="107">
        <f t="shared" si="13"/>
        <v>5.5244399691809333E-3</v>
      </c>
      <c r="U22" s="107">
        <f t="shared" si="14"/>
        <v>5.123515190626985E-3</v>
      </c>
      <c r="V22" s="107">
        <f t="shared" si="15"/>
        <v>4.812550962971931E-3</v>
      </c>
      <c r="W22" s="107">
        <f t="shared" si="16"/>
        <v>0</v>
      </c>
      <c r="X22" s="107">
        <f t="shared" si="17"/>
        <v>0</v>
      </c>
      <c r="Y22" s="107"/>
      <c r="Z22" s="107"/>
      <c r="AA22" s="107"/>
      <c r="AB22" s="107"/>
      <c r="AC22" s="107"/>
      <c r="AD22" s="107"/>
    </row>
    <row r="23" spans="1:30" ht="15" customHeight="1" x14ac:dyDescent="0.25">
      <c r="A23" s="33" t="s">
        <v>59</v>
      </c>
      <c r="B23" s="48">
        <f>SUM(B20:B22)</f>
        <v>80979138</v>
      </c>
      <c r="C23" s="48">
        <f>SUM(C20:C22)</f>
        <v>87328312</v>
      </c>
      <c r="D23" s="49">
        <f>SUM(D20:D22)</f>
        <v>92483575</v>
      </c>
      <c r="E23" s="49">
        <f>SUM(E20:E22)</f>
        <v>98403408</v>
      </c>
      <c r="F23" s="50">
        <f>SUM(F20:F22)</f>
        <v>103011616</v>
      </c>
      <c r="G23" s="50">
        <f t="shared" ref="G23:L23" si="24">SUM(G20:G22)</f>
        <v>120733768</v>
      </c>
      <c r="H23" s="50">
        <f t="shared" si="24"/>
        <v>122189803</v>
      </c>
      <c r="I23" s="50">
        <f t="shared" si="24"/>
        <v>124741701</v>
      </c>
      <c r="J23" s="50">
        <f t="shared" si="24"/>
        <v>127388740</v>
      </c>
      <c r="K23" s="50">
        <f t="shared" si="24"/>
        <v>128352506</v>
      </c>
      <c r="L23" s="50">
        <f t="shared" si="24"/>
        <v>131178249</v>
      </c>
      <c r="M23" s="50">
        <f t="shared" ref="M23:N23" si="25">SUM(M20:M22)</f>
        <v>135068193</v>
      </c>
      <c r="N23" s="50">
        <f t="shared" si="25"/>
        <v>138398713</v>
      </c>
      <c r="O23" s="34">
        <f t="shared" si="10"/>
        <v>2.0996087683766099E-2</v>
      </c>
      <c r="Q23" s="33" t="str">
        <f t="shared" si="0"/>
        <v>Total Plant &amp; Equipment:</v>
      </c>
      <c r="R23" s="106">
        <f t="shared" si="11"/>
        <v>1.3359263029350554</v>
      </c>
      <c r="S23" s="106">
        <f t="shared" si="12"/>
        <v>1.3413790804717052</v>
      </c>
      <c r="T23" s="106">
        <f t="shared" si="13"/>
        <v>1.3142094684790915</v>
      </c>
      <c r="U23" s="106">
        <f t="shared" si="14"/>
        <v>1.2968504336733793</v>
      </c>
      <c r="V23" s="106">
        <f t="shared" si="15"/>
        <v>1.2751852059544682</v>
      </c>
      <c r="W23" s="106">
        <f t="shared" si="16"/>
        <v>1.2486350868064398</v>
      </c>
      <c r="X23" s="106">
        <f t="shared" si="17"/>
        <v>1.2567888512744183</v>
      </c>
      <c r="Y23" s="106">
        <f t="shared" si="18"/>
        <v>1.2508473838995013</v>
      </c>
      <c r="Z23" s="106">
        <f t="shared" si="19"/>
        <v>1.2481525782512646</v>
      </c>
      <c r="AA23" s="106">
        <f t="shared" si="20"/>
        <v>1.249032113891132</v>
      </c>
      <c r="AB23" s="106">
        <f t="shared" si="21"/>
        <v>1.1995379787681686</v>
      </c>
      <c r="AC23" s="106">
        <f t="shared" si="22"/>
        <v>1.2466440027379093</v>
      </c>
      <c r="AD23" s="106">
        <f t="shared" si="23"/>
        <v>1.235705376384447</v>
      </c>
    </row>
    <row r="24" spans="1:30" ht="15" customHeight="1" x14ac:dyDescent="0.25">
      <c r="A24" s="33"/>
      <c r="B24" s="33"/>
      <c r="C24" s="33"/>
      <c r="D24" s="33"/>
      <c r="E24" s="33"/>
      <c r="F24" s="43"/>
      <c r="G24" s="43"/>
      <c r="H24" s="43"/>
      <c r="I24" s="43"/>
      <c r="J24" s="43"/>
      <c r="K24" s="43"/>
      <c r="L24" s="43"/>
      <c r="M24" s="43"/>
      <c r="N24" s="43"/>
      <c r="O24" s="34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15" customHeight="1" x14ac:dyDescent="0.25">
      <c r="A25" s="33" t="s">
        <v>53</v>
      </c>
      <c r="B25" s="33">
        <v>40034261</v>
      </c>
      <c r="C25" s="33">
        <v>41605394</v>
      </c>
      <c r="D25" s="33">
        <v>42543044</v>
      </c>
      <c r="E25" s="33">
        <v>44428583</v>
      </c>
      <c r="F25" s="43">
        <v>46409018</v>
      </c>
      <c r="G25" s="43">
        <v>48051303</v>
      </c>
      <c r="H25" s="43">
        <v>48861153</v>
      </c>
      <c r="I25" s="43">
        <v>52469513</v>
      </c>
      <c r="J25" s="43">
        <v>55624768</v>
      </c>
      <c r="K25" s="43">
        <v>58125118</v>
      </c>
      <c r="L25" s="43">
        <v>60943857</v>
      </c>
      <c r="M25" s="43">
        <v>63258025</v>
      </c>
      <c r="N25" s="43">
        <v>66542201</v>
      </c>
      <c r="O25" s="34">
        <f t="shared" si="10"/>
        <v>4.8668024038595291E-2</v>
      </c>
      <c r="Q25" s="33" t="str">
        <f t="shared" si="0"/>
        <v>Accumulated Depreciation &amp; Amort.</v>
      </c>
      <c r="R25" s="106">
        <f t="shared" ref="R25" si="26">+B25/B$35</f>
        <v>0.66045185969338271</v>
      </c>
      <c r="S25" s="106">
        <f t="shared" ref="S25" si="27">+C25/C$35</f>
        <v>0.6390665738092246</v>
      </c>
      <c r="T25" s="106">
        <f t="shared" ref="T25" si="28">+D25/D$35</f>
        <v>0.60454487451120487</v>
      </c>
      <c r="U25" s="106">
        <f t="shared" ref="U25" si="29">+E25/E$35</f>
        <v>0.58552064712071483</v>
      </c>
      <c r="V25" s="106">
        <f t="shared" ref="V25" si="30">+F25/F$35</f>
        <v>0.57449922129631104</v>
      </c>
      <c r="W25" s="106">
        <f t="shared" ref="W25" si="31">+G25/G$35</f>
        <v>0.49694914593047018</v>
      </c>
      <c r="X25" s="106">
        <f t="shared" ref="X25" si="32">+H25/H$35</f>
        <v>0.50256364150790545</v>
      </c>
      <c r="Y25" s="106">
        <f t="shared" ref="Y25" si="33">+I25/I$35</f>
        <v>0.52613803198443543</v>
      </c>
      <c r="Z25" s="106">
        <f t="shared" ref="Z25" si="34">+J25/J$35</f>
        <v>0.54501047418970028</v>
      </c>
      <c r="AA25" s="106">
        <f t="shared" ref="AA25" si="35">+K25/K$35</f>
        <v>0.56563086509360005</v>
      </c>
      <c r="AB25" s="106">
        <f t="shared" ref="AB25" si="36">+L25/L$35</f>
        <v>0.55729110276594951</v>
      </c>
      <c r="AC25" s="106">
        <f t="shared" ref="AC25" si="37">+M25/M$35</f>
        <v>0.58385498272931469</v>
      </c>
      <c r="AD25" s="106">
        <f t="shared" ref="AD25" si="38">+N25/N$35</f>
        <v>0.59412803594607511</v>
      </c>
    </row>
    <row r="26" spans="1:30" ht="15" customHeight="1" x14ac:dyDescent="0.25">
      <c r="A26" s="33"/>
      <c r="B26" s="33"/>
      <c r="C26" s="33"/>
      <c r="D26" s="33"/>
      <c r="E26" s="33"/>
      <c r="F26" s="43"/>
      <c r="G26" s="43"/>
      <c r="H26" s="43"/>
      <c r="I26" s="43"/>
      <c r="J26" s="43"/>
      <c r="K26" s="43"/>
      <c r="L26" s="43"/>
      <c r="M26" s="43"/>
      <c r="N26" s="43"/>
      <c r="O26" s="34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15" customHeight="1" x14ac:dyDescent="0.25">
      <c r="A27" s="33" t="s">
        <v>54</v>
      </c>
      <c r="B27" s="33">
        <f>B23-B25</f>
        <v>40944877</v>
      </c>
      <c r="C27" s="33">
        <f>C23-C25</f>
        <v>45722918</v>
      </c>
      <c r="D27" s="33">
        <f>D23-D25</f>
        <v>49940531</v>
      </c>
      <c r="E27" s="33">
        <f>E23-E25</f>
        <v>53974825</v>
      </c>
      <c r="F27" s="43">
        <f>F23-F25</f>
        <v>56602598</v>
      </c>
      <c r="G27" s="43">
        <f t="shared" ref="G27:L27" si="39">G23-G25</f>
        <v>72682465</v>
      </c>
      <c r="H27" s="43">
        <f t="shared" si="39"/>
        <v>73328650</v>
      </c>
      <c r="I27" s="43">
        <f t="shared" si="39"/>
        <v>72272188</v>
      </c>
      <c r="J27" s="43">
        <f t="shared" si="39"/>
        <v>71763972</v>
      </c>
      <c r="K27" s="43">
        <f t="shared" si="39"/>
        <v>70227388</v>
      </c>
      <c r="L27" s="43">
        <f t="shared" si="39"/>
        <v>70234392</v>
      </c>
      <c r="M27" s="43">
        <f t="shared" ref="M27:N27" si="40">M23-M25</f>
        <v>71810168</v>
      </c>
      <c r="N27" s="43">
        <f t="shared" si="40"/>
        <v>71856512</v>
      </c>
      <c r="O27" s="34">
        <f t="shared" si="10"/>
        <v>-1.152962529588201E-3</v>
      </c>
      <c r="Q27" s="33" t="str">
        <f t="shared" si="0"/>
        <v>Net Plant &amp; Equipment</v>
      </c>
      <c r="R27" s="106">
        <f t="shared" ref="R27" si="41">+B27/B$35</f>
        <v>0.67547444324167272</v>
      </c>
      <c r="S27" s="106">
        <f t="shared" ref="S27" si="42">+C27/C$35</f>
        <v>0.70231250666248046</v>
      </c>
      <c r="T27" s="106">
        <f t="shared" ref="T27" si="43">+D27/D$35</f>
        <v>0.70966459396788661</v>
      </c>
      <c r="U27" s="106">
        <f t="shared" ref="U27" si="44">+E27/E$35</f>
        <v>0.71132978655266443</v>
      </c>
      <c r="V27" s="106">
        <f t="shared" ref="V27" si="45">+F27/F$35</f>
        <v>0.70068598465815701</v>
      </c>
      <c r="W27" s="106">
        <f t="shared" ref="W27" si="46">+G27/G$35</f>
        <v>0.75168594087596941</v>
      </c>
      <c r="X27" s="106">
        <f t="shared" ref="X27" si="47">+H27/H$35</f>
        <v>0.75422520976651275</v>
      </c>
      <c r="Y27" s="106">
        <f t="shared" ref="Y27" si="48">+I27/I$35</f>
        <v>0.72470935191506591</v>
      </c>
      <c r="Z27" s="106">
        <f t="shared" ref="Z27" si="49">+J27/J$35</f>
        <v>0.7031421040615643</v>
      </c>
      <c r="AA27" s="106">
        <f t="shared" ref="AA27" si="50">+K27/K$35</f>
        <v>0.68340124879753206</v>
      </c>
      <c r="AB27" s="106">
        <f t="shared" ref="AB27" si="51">+L27/L$35</f>
        <v>0.64224687600221919</v>
      </c>
      <c r="AC27" s="106">
        <f t="shared" ref="AC27" si="52">+M27/M$35</f>
        <v>0.66278902000859474</v>
      </c>
      <c r="AD27" s="106">
        <f t="shared" ref="AD27" si="53">+N27/N$35</f>
        <v>0.641577340438372</v>
      </c>
    </row>
    <row r="28" spans="1:30" ht="15" customHeight="1" x14ac:dyDescent="0.25">
      <c r="A28" s="33"/>
      <c r="B28" s="33"/>
      <c r="C28" s="33"/>
      <c r="D28" s="33"/>
      <c r="E28" s="33"/>
      <c r="F28" s="43"/>
      <c r="G28" s="43"/>
      <c r="H28" s="43"/>
      <c r="I28" s="43"/>
      <c r="J28" s="43"/>
      <c r="K28" s="43"/>
      <c r="L28" s="43"/>
      <c r="M28" s="43"/>
      <c r="N28" s="43"/>
      <c r="O28" s="34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15" customHeight="1" x14ac:dyDescent="0.25">
      <c r="A29" s="32" t="s">
        <v>69</v>
      </c>
      <c r="B29" s="33"/>
      <c r="C29" s="33"/>
      <c r="D29" s="33"/>
      <c r="E29" s="33"/>
      <c r="F29" s="43"/>
      <c r="G29" s="43"/>
      <c r="H29" s="43"/>
      <c r="I29" s="43"/>
      <c r="J29" s="43"/>
      <c r="K29" s="43"/>
      <c r="L29" s="43"/>
      <c r="M29" s="43"/>
      <c r="N29" s="43"/>
      <c r="O29" s="34"/>
      <c r="Q29" s="32" t="str">
        <f t="shared" si="0"/>
        <v>Other Assets: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15" hidden="1" customHeight="1" x14ac:dyDescent="0.25">
      <c r="A30" s="33" t="s">
        <v>55</v>
      </c>
      <c r="B30" s="33"/>
      <c r="C30" s="33"/>
      <c r="D30" s="33"/>
      <c r="E30" s="33"/>
      <c r="F30" s="43"/>
      <c r="G30" s="43"/>
      <c r="H30" s="43"/>
      <c r="I30" s="43"/>
      <c r="J30" s="43"/>
      <c r="K30" s="43"/>
      <c r="L30" s="43"/>
      <c r="M30" s="43"/>
      <c r="N30" s="43"/>
      <c r="O30" s="34"/>
      <c r="Q30" s="33" t="str">
        <f t="shared" si="0"/>
        <v>Regulatory Assets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15" hidden="1" customHeight="1" x14ac:dyDescent="0.25">
      <c r="A31" s="33" t="s">
        <v>72</v>
      </c>
      <c r="B31" s="33"/>
      <c r="C31" s="44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34"/>
      <c r="Q31" s="33" t="str">
        <f t="shared" si="0"/>
        <v>Goodwill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15" customHeight="1" x14ac:dyDescent="0.25">
      <c r="A32" s="33" t="s">
        <v>136</v>
      </c>
      <c r="B32" s="33">
        <v>2054816</v>
      </c>
      <c r="C32" s="33">
        <v>2124862</v>
      </c>
      <c r="D32" s="52">
        <v>2299054</v>
      </c>
      <c r="E32" s="52">
        <v>2357379</v>
      </c>
      <c r="F32" s="53">
        <v>2425992</v>
      </c>
      <c r="G32" s="53">
        <v>2541663</v>
      </c>
      <c r="H32" s="53">
        <v>2726168</v>
      </c>
      <c r="I32" s="53">
        <v>2783132</v>
      </c>
      <c r="J32" s="53">
        <v>2876982</v>
      </c>
      <c r="K32" s="53">
        <v>3112289</v>
      </c>
      <c r="L32" s="53">
        <v>3264814</v>
      </c>
      <c r="M32" s="53">
        <v>3516718</v>
      </c>
      <c r="N32" s="53">
        <f>2041977+1431917</f>
        <v>3473894</v>
      </c>
      <c r="O32" s="41">
        <f t="shared" ref="O32:O35" si="54">RATE(5,,-I32,N32)</f>
        <v>4.5337550974687293E-2</v>
      </c>
      <c r="Q32" s="33" t="str">
        <f t="shared" si="0"/>
        <v>Investments</v>
      </c>
      <c r="R32" s="107">
        <f t="shared" ref="R32:R35" si="55">+B32/B$35</f>
        <v>3.3898641179556627E-2</v>
      </c>
      <c r="S32" s="107">
        <f t="shared" ref="S32:S35" si="56">+C32/C$35</f>
        <v>3.2638274694800795E-2</v>
      </c>
      <c r="T32" s="107">
        <f t="shared" ref="T32:T35" si="57">+D32/D$35</f>
        <v>3.2670001514806597E-2</v>
      </c>
      <c r="U32" s="107">
        <f t="shared" ref="U32:U35" si="58">+E32/E$35</f>
        <v>3.106770426571524E-2</v>
      </c>
      <c r="V32" s="107">
        <f t="shared" ref="V32:V35" si="59">+F32/F$35</f>
        <v>3.0031458861531617E-2</v>
      </c>
      <c r="W32" s="107">
        <f t="shared" ref="W32:W35" si="60">+G32/G$35</f>
        <v>2.6286014701684089E-2</v>
      </c>
      <c r="X32" s="107">
        <f t="shared" ref="X32:X35" si="61">+H32/H$35</f>
        <v>2.8040126630706479E-2</v>
      </c>
      <c r="Y32" s="107">
        <f t="shared" ref="Y32:Y35" si="62">+I32/I$35</f>
        <v>2.7907855619565321E-2</v>
      </c>
      <c r="Z32" s="107">
        <f t="shared" ref="Z32:Z35" si="63">+J32/J$35</f>
        <v>2.8188617776441462E-2</v>
      </c>
      <c r="AA32" s="107">
        <f t="shared" ref="AA32:AA35" si="64">+K32/K$35</f>
        <v>3.0286505732191295E-2</v>
      </c>
      <c r="AB32" s="107">
        <f t="shared" ref="AB32:AB35" si="65">+L32/L$35</f>
        <v>2.9854556044684052E-2</v>
      </c>
      <c r="AC32" s="107">
        <f t="shared" ref="AC32:AC35" si="66">+M32/M$35</f>
        <v>3.2458384958333274E-2</v>
      </c>
      <c r="AD32" s="107">
        <f t="shared" ref="AD32:AD35" si="67">+N32/N$35</f>
        <v>3.1016975517609565E-2</v>
      </c>
    </row>
    <row r="33" spans="1:30" ht="15" customHeight="1" x14ac:dyDescent="0.25">
      <c r="A33" s="33" t="s">
        <v>70</v>
      </c>
      <c r="B33" s="48">
        <f>SUM(B30:B32)</f>
        <v>2054816</v>
      </c>
      <c r="C33" s="48">
        <f>SUM(C30:C32)</f>
        <v>2124862</v>
      </c>
      <c r="D33" s="54">
        <f>SUM(D30:D32)</f>
        <v>2299054</v>
      </c>
      <c r="E33" s="54">
        <f>SUM(E30:E32)</f>
        <v>2357379</v>
      </c>
      <c r="F33" s="53">
        <f>SUM(F30:F32)</f>
        <v>2425992</v>
      </c>
      <c r="G33" s="53">
        <f t="shared" ref="G33:L33" si="68">SUM(G30:G32)</f>
        <v>2541663</v>
      </c>
      <c r="H33" s="53">
        <f t="shared" si="68"/>
        <v>2726168</v>
      </c>
      <c r="I33" s="53">
        <f t="shared" si="68"/>
        <v>2783132</v>
      </c>
      <c r="J33" s="53">
        <f t="shared" si="68"/>
        <v>2876982</v>
      </c>
      <c r="K33" s="53">
        <f t="shared" si="68"/>
        <v>3112289</v>
      </c>
      <c r="L33" s="53">
        <f t="shared" si="68"/>
        <v>3264814</v>
      </c>
      <c r="M33" s="53">
        <f t="shared" ref="M33:N33" si="69">SUM(M30:M32)</f>
        <v>3516718</v>
      </c>
      <c r="N33" s="53">
        <f t="shared" si="69"/>
        <v>3473894</v>
      </c>
      <c r="O33" s="55">
        <f t="shared" si="54"/>
        <v>4.5337550974687293E-2</v>
      </c>
      <c r="Q33" s="33" t="str">
        <f t="shared" si="0"/>
        <v>Total Other Assets</v>
      </c>
      <c r="R33" s="108">
        <f t="shared" si="55"/>
        <v>3.3898641179556627E-2</v>
      </c>
      <c r="S33" s="108">
        <f t="shared" si="56"/>
        <v>3.2638274694800795E-2</v>
      </c>
      <c r="T33" s="108">
        <f t="shared" si="57"/>
        <v>3.2670001514806597E-2</v>
      </c>
      <c r="U33" s="108">
        <f t="shared" si="58"/>
        <v>3.106770426571524E-2</v>
      </c>
      <c r="V33" s="108">
        <f t="shared" si="59"/>
        <v>3.0031458861531617E-2</v>
      </c>
      <c r="W33" s="108">
        <f t="shared" si="60"/>
        <v>2.6286014701684089E-2</v>
      </c>
      <c r="X33" s="108">
        <f t="shared" si="61"/>
        <v>2.8040126630706479E-2</v>
      </c>
      <c r="Y33" s="108">
        <f t="shared" si="62"/>
        <v>2.7907855619565321E-2</v>
      </c>
      <c r="Z33" s="108">
        <f t="shared" si="63"/>
        <v>2.8188617776441462E-2</v>
      </c>
      <c r="AA33" s="108">
        <f t="shared" si="64"/>
        <v>3.0286505732191295E-2</v>
      </c>
      <c r="AB33" s="108">
        <f t="shared" si="65"/>
        <v>2.9854556044684052E-2</v>
      </c>
      <c r="AC33" s="108">
        <f t="shared" si="66"/>
        <v>3.2458384958333274E-2</v>
      </c>
      <c r="AD33" s="108">
        <f t="shared" si="67"/>
        <v>3.1016975517609565E-2</v>
      </c>
    </row>
    <row r="34" spans="1:30" ht="15" customHeight="1" x14ac:dyDescent="0.25">
      <c r="A34" s="33" t="s">
        <v>39</v>
      </c>
      <c r="B34" s="48">
        <f>B27+B33</f>
        <v>42999693</v>
      </c>
      <c r="C34" s="48">
        <f>C27+C33</f>
        <v>47847780</v>
      </c>
      <c r="D34" s="54">
        <f>D27+D33</f>
        <v>52239585</v>
      </c>
      <c r="E34" s="54">
        <f>E27+E33</f>
        <v>56332204</v>
      </c>
      <c r="F34" s="56">
        <f>F27+F33</f>
        <v>59028590</v>
      </c>
      <c r="G34" s="56">
        <f t="shared" ref="G34:L34" si="70">G27+G33</f>
        <v>75224128</v>
      </c>
      <c r="H34" s="56">
        <f t="shared" si="70"/>
        <v>76054818</v>
      </c>
      <c r="I34" s="56">
        <f t="shared" si="70"/>
        <v>75055320</v>
      </c>
      <c r="J34" s="56">
        <f t="shared" si="70"/>
        <v>74640954</v>
      </c>
      <c r="K34" s="56">
        <f t="shared" si="70"/>
        <v>73339677</v>
      </c>
      <c r="L34" s="56">
        <f t="shared" si="70"/>
        <v>73499206</v>
      </c>
      <c r="M34" s="56">
        <f t="shared" ref="M34:N34" si="71">M27+M33</f>
        <v>75326886</v>
      </c>
      <c r="N34" s="56">
        <f t="shared" si="71"/>
        <v>75330406</v>
      </c>
      <c r="O34" s="55">
        <f t="shared" si="54"/>
        <v>7.3194970433603011E-4</v>
      </c>
      <c r="Q34" s="33" t="str">
        <f t="shared" si="0"/>
        <v>Total Non-Current Assets</v>
      </c>
      <c r="R34" s="108">
        <f t="shared" si="55"/>
        <v>0.70937308442122937</v>
      </c>
      <c r="S34" s="108">
        <f t="shared" si="56"/>
        <v>0.73495078135728131</v>
      </c>
      <c r="T34" s="108">
        <f t="shared" si="57"/>
        <v>0.74233459548269332</v>
      </c>
      <c r="U34" s="108">
        <f t="shared" si="58"/>
        <v>0.74239749081837969</v>
      </c>
      <c r="V34" s="108">
        <f t="shared" si="59"/>
        <v>0.7307174435196887</v>
      </c>
      <c r="W34" s="108">
        <f t="shared" si="60"/>
        <v>0.77797195557765353</v>
      </c>
      <c r="X34" s="108">
        <f t="shared" si="61"/>
        <v>0.78226533639721918</v>
      </c>
      <c r="Y34" s="108">
        <f t="shared" si="62"/>
        <v>0.75261720753463124</v>
      </c>
      <c r="Z34" s="108">
        <f t="shared" si="63"/>
        <v>0.73133072183800574</v>
      </c>
      <c r="AA34" s="108">
        <f t="shared" si="64"/>
        <v>0.71368775452972333</v>
      </c>
      <c r="AB34" s="108">
        <f t="shared" si="65"/>
        <v>0.67210143204690331</v>
      </c>
      <c r="AC34" s="108">
        <f t="shared" si="66"/>
        <v>0.69524740496692805</v>
      </c>
      <c r="AD34" s="108">
        <f t="shared" si="67"/>
        <v>0.67259431595598151</v>
      </c>
    </row>
    <row r="35" spans="1:30" ht="15" customHeight="1" thickBot="1" x14ac:dyDescent="0.3">
      <c r="A35" s="33" t="s">
        <v>34</v>
      </c>
      <c r="B35" s="48">
        <f>B17+B27+B33</f>
        <v>60616471</v>
      </c>
      <c r="C35" s="48">
        <f>C17+C27+C33</f>
        <v>65103380</v>
      </c>
      <c r="D35" s="57">
        <f>D17+D27+D33</f>
        <v>70372020</v>
      </c>
      <c r="E35" s="57">
        <f>E17+E27+E33</f>
        <v>75878764</v>
      </c>
      <c r="F35" s="58">
        <f>F17+F27+F33</f>
        <v>80781690</v>
      </c>
      <c r="G35" s="58">
        <f t="shared" ref="G35:L35" si="72">G17+G27+G33</f>
        <v>96692596</v>
      </c>
      <c r="H35" s="58">
        <f t="shared" si="72"/>
        <v>97223812</v>
      </c>
      <c r="I35" s="58">
        <f t="shared" si="72"/>
        <v>99725756</v>
      </c>
      <c r="J35" s="58">
        <f t="shared" si="72"/>
        <v>102061833</v>
      </c>
      <c r="K35" s="58">
        <f t="shared" si="72"/>
        <v>102761574</v>
      </c>
      <c r="L35" s="58">
        <f t="shared" si="72"/>
        <v>109357312</v>
      </c>
      <c r="M35" s="58">
        <f t="shared" ref="M35:N35" si="73">M17+M27+M33</f>
        <v>108345440</v>
      </c>
      <c r="N35" s="58">
        <f t="shared" si="73"/>
        <v>111999766</v>
      </c>
      <c r="O35" s="59">
        <f t="shared" si="54"/>
        <v>2.3486115866556842E-2</v>
      </c>
      <c r="Q35" s="33" t="str">
        <f t="shared" si="0"/>
        <v>Total Assets</v>
      </c>
      <c r="R35" s="109">
        <f t="shared" si="55"/>
        <v>1</v>
      </c>
      <c r="S35" s="109">
        <f t="shared" si="56"/>
        <v>1</v>
      </c>
      <c r="T35" s="109">
        <f t="shared" si="57"/>
        <v>1</v>
      </c>
      <c r="U35" s="109">
        <f t="shared" si="58"/>
        <v>1</v>
      </c>
      <c r="V35" s="109">
        <f t="shared" si="59"/>
        <v>1</v>
      </c>
      <c r="W35" s="109">
        <f t="shared" si="60"/>
        <v>1</v>
      </c>
      <c r="X35" s="109">
        <f t="shared" si="61"/>
        <v>1</v>
      </c>
      <c r="Y35" s="109">
        <f t="shared" si="62"/>
        <v>1</v>
      </c>
      <c r="Z35" s="109">
        <f t="shared" si="63"/>
        <v>1</v>
      </c>
      <c r="AA35" s="109">
        <f t="shared" si="64"/>
        <v>1</v>
      </c>
      <c r="AB35" s="109">
        <f t="shared" si="65"/>
        <v>1</v>
      </c>
      <c r="AC35" s="109">
        <f t="shared" si="66"/>
        <v>1</v>
      </c>
      <c r="AD35" s="109">
        <f t="shared" si="67"/>
        <v>1</v>
      </c>
    </row>
    <row r="36" spans="1:30" ht="15" customHeight="1" thickTop="1" x14ac:dyDescent="0.25">
      <c r="A36" s="33"/>
      <c r="B36" s="60"/>
      <c r="C36" s="60"/>
      <c r="D36" s="49"/>
      <c r="E36" s="49"/>
      <c r="F36" s="49"/>
      <c r="G36" s="49"/>
      <c r="H36" s="49"/>
      <c r="I36" s="49"/>
      <c r="J36" s="49"/>
      <c r="K36" s="49"/>
      <c r="L36" s="61"/>
      <c r="M36" s="49"/>
      <c r="N36" s="49"/>
      <c r="O36" s="34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5" customHeight="1" x14ac:dyDescent="0.25">
      <c r="A37" s="32" t="s">
        <v>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Q37" s="33" t="str">
        <f t="shared" si="0"/>
        <v>Current Liabilities: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15" customHeight="1" x14ac:dyDescent="0.25">
      <c r="A38" s="62" t="s">
        <v>87</v>
      </c>
      <c r="B38" s="33">
        <v>189881</v>
      </c>
      <c r="C38" s="33">
        <v>199184</v>
      </c>
      <c r="D38" s="33">
        <v>251893</v>
      </c>
      <c r="E38" s="33">
        <v>267387</v>
      </c>
      <c r="F38" s="43">
        <f>238984+44853</f>
        <v>283837</v>
      </c>
      <c r="G38" s="43">
        <f>356313+47355</f>
        <v>403668</v>
      </c>
      <c r="H38" s="43">
        <f>379783+49996</f>
        <v>429779</v>
      </c>
      <c r="I38" s="43">
        <f>404809+52785</f>
        <v>457594</v>
      </c>
      <c r="J38" s="43">
        <f>431494+55729</f>
        <v>487223</v>
      </c>
      <c r="K38" s="43">
        <f>463393+58837</f>
        <v>522230</v>
      </c>
      <c r="L38" s="43">
        <f>387017+62119</f>
        <v>449136</v>
      </c>
      <c r="M38" s="43">
        <f>367890+65584</f>
        <v>433474</v>
      </c>
      <c r="N38" s="43"/>
      <c r="O38" s="34"/>
      <c r="Q38" s="33" t="str">
        <f t="shared" si="0"/>
        <v>Current Portion of LTD</v>
      </c>
      <c r="R38" s="106">
        <f t="shared" ref="R38:R44" si="74">+B38/B$35</f>
        <v>3.1324984260466104E-3</v>
      </c>
      <c r="S38" s="106">
        <f t="shared" ref="S38:S44" si="75">+C38/C$35</f>
        <v>3.0595032085891701E-3</v>
      </c>
      <c r="T38" s="106">
        <f t="shared" ref="T38:T44" si="76">+D38/D$35</f>
        <v>3.5794481954617759E-3</v>
      </c>
      <c r="U38" s="106">
        <f t="shared" ref="U38:U44" si="77">+E38/E$35</f>
        <v>3.523871316617651E-3</v>
      </c>
      <c r="V38" s="106">
        <f t="shared" ref="V38:V44" si="78">+F38/F$35</f>
        <v>3.5136303783691578E-3</v>
      </c>
      <c r="W38" s="106">
        <f t="shared" ref="W38:W44" si="79">+G38/G$35</f>
        <v>4.1747560485396419E-3</v>
      </c>
      <c r="X38" s="106">
        <f t="shared" ref="X38:X44" si="80">+H38/H$35</f>
        <v>4.420511715792423E-3</v>
      </c>
      <c r="Y38" s="106">
        <f t="shared" ref="Y38:Y44" si="81">+I38/I$35</f>
        <v>4.5885237510759009E-3</v>
      </c>
      <c r="Z38" s="106">
        <f t="shared" ref="Z38:Z44" si="82">+J38/J$35</f>
        <v>4.7738021714738357E-3</v>
      </c>
      <c r="AA38" s="106">
        <f t="shared" ref="AA38:AA44" si="83">+K38/K$35</f>
        <v>5.0819579700092958E-3</v>
      </c>
      <c r="AB38" s="106">
        <f t="shared" ref="AB38:AB44" si="84">+L38/L$35</f>
        <v>4.1070504732230433E-3</v>
      </c>
      <c r="AC38" s="106">
        <f t="shared" ref="AC38:AC44" si="85">+M38/M$35</f>
        <v>4.0008513510120958E-3</v>
      </c>
      <c r="AD38" s="106">
        <f t="shared" ref="AD38:AD44" si="86">+N38/N$35</f>
        <v>0</v>
      </c>
    </row>
    <row r="39" spans="1:30" ht="15" customHeight="1" x14ac:dyDescent="0.25">
      <c r="A39" s="33" t="s">
        <v>73</v>
      </c>
      <c r="B39" s="33"/>
      <c r="C39" s="33"/>
      <c r="D39" s="33">
        <v>507393</v>
      </c>
      <c r="E39" s="33">
        <v>806796</v>
      </c>
      <c r="F39" s="43">
        <v>491860</v>
      </c>
      <c r="G39" s="43">
        <v>3108080</v>
      </c>
      <c r="H39" s="43">
        <v>467385</v>
      </c>
      <c r="I39" s="43">
        <v>404160</v>
      </c>
      <c r="J39" s="43">
        <v>298174</v>
      </c>
      <c r="K39" s="43">
        <v>532458</v>
      </c>
      <c r="L39" s="43">
        <v>1489655</v>
      </c>
      <c r="M39" s="43">
        <v>556908</v>
      </c>
      <c r="N39" s="43"/>
      <c r="O39" s="34"/>
      <c r="Q39" s="33" t="str">
        <f t="shared" si="0"/>
        <v>Acounts Payable</v>
      </c>
      <c r="R39" s="106">
        <f t="shared" si="74"/>
        <v>0</v>
      </c>
      <c r="S39" s="106">
        <f t="shared" si="75"/>
        <v>0</v>
      </c>
      <c r="T39" s="106">
        <f t="shared" si="76"/>
        <v>7.210152557792145E-3</v>
      </c>
      <c r="U39" s="106">
        <f t="shared" si="77"/>
        <v>1.063269823425168E-2</v>
      </c>
      <c r="V39" s="106">
        <f t="shared" si="78"/>
        <v>6.0887560039905083E-3</v>
      </c>
      <c r="W39" s="106">
        <f t="shared" si="79"/>
        <v>3.2143929613804141E-2</v>
      </c>
      <c r="X39" s="106">
        <f t="shared" si="80"/>
        <v>4.8073099622960675E-3</v>
      </c>
      <c r="Y39" s="106">
        <f t="shared" si="81"/>
        <v>4.0527143258758547E-3</v>
      </c>
      <c r="Z39" s="106">
        <f t="shared" si="82"/>
        <v>2.9215034772107217E-3</v>
      </c>
      <c r="AA39" s="106">
        <f t="shared" si="83"/>
        <v>5.1814893376389897E-3</v>
      </c>
      <c r="AB39" s="106">
        <f t="shared" si="84"/>
        <v>1.3621905776177088E-2</v>
      </c>
      <c r="AC39" s="106">
        <f t="shared" si="85"/>
        <v>5.140114803170304E-3</v>
      </c>
      <c r="AD39" s="106">
        <f t="shared" si="86"/>
        <v>0</v>
      </c>
    </row>
    <row r="40" spans="1:30" ht="15" customHeight="1" x14ac:dyDescent="0.25">
      <c r="A40" s="33" t="s">
        <v>137</v>
      </c>
      <c r="B40" s="33">
        <v>5878604</v>
      </c>
      <c r="C40" s="33">
        <v>6975545</v>
      </c>
      <c r="D40" s="33">
        <v>6596008</v>
      </c>
      <c r="E40" s="33">
        <v>7496870</v>
      </c>
      <c r="F40" s="43">
        <v>7680634</v>
      </c>
      <c r="G40" s="43">
        <v>7273194</v>
      </c>
      <c r="H40" s="43">
        <v>7573731</v>
      </c>
      <c r="I40" s="43">
        <v>7996405</v>
      </c>
      <c r="J40" s="43">
        <v>9060630</v>
      </c>
      <c r="K40" s="43">
        <v>9391225</v>
      </c>
      <c r="L40" s="43">
        <v>9657489</v>
      </c>
      <c r="M40" s="43">
        <v>9861860</v>
      </c>
      <c r="N40" s="43">
        <v>10437606</v>
      </c>
      <c r="O40" s="34">
        <f t="shared" ref="O40:O60" si="87">RATE(5,,-I40,N40)</f>
        <v>5.472981650172358E-2</v>
      </c>
      <c r="Q40" s="33" t="str">
        <f t="shared" si="0"/>
        <v>Acounts Payable Power</v>
      </c>
      <c r="R40" s="106">
        <f t="shared" si="74"/>
        <v>9.6980307547102171E-2</v>
      </c>
      <c r="S40" s="106">
        <f t="shared" si="75"/>
        <v>0.10714566586250975</v>
      </c>
      <c r="T40" s="106">
        <f t="shared" si="76"/>
        <v>9.3730548021784793E-2</v>
      </c>
      <c r="U40" s="106">
        <f t="shared" si="77"/>
        <v>9.880063412735611E-2</v>
      </c>
      <c r="V40" s="106">
        <f t="shared" si="78"/>
        <v>9.5078897210494104E-2</v>
      </c>
      <c r="W40" s="106">
        <f t="shared" si="79"/>
        <v>7.521976139724286E-2</v>
      </c>
      <c r="X40" s="106">
        <f t="shared" si="80"/>
        <v>7.7899959322722298E-2</v>
      </c>
      <c r="Y40" s="106">
        <f t="shared" si="81"/>
        <v>8.0183949670935561E-2</v>
      </c>
      <c r="Z40" s="106">
        <f t="shared" si="82"/>
        <v>8.877588941597786E-2</v>
      </c>
      <c r="AA40" s="106">
        <f t="shared" si="83"/>
        <v>9.1388489242097443E-2</v>
      </c>
      <c r="AB40" s="106">
        <f t="shared" si="84"/>
        <v>8.8311323892086888E-2</v>
      </c>
      <c r="AC40" s="106">
        <f t="shared" si="85"/>
        <v>9.1022381744907774E-2</v>
      </c>
      <c r="AD40" s="106">
        <f t="shared" si="86"/>
        <v>9.3193105421309541E-2</v>
      </c>
    </row>
    <row r="41" spans="1:30" ht="15" customHeight="1" x14ac:dyDescent="0.25">
      <c r="A41" s="62" t="s">
        <v>88</v>
      </c>
      <c r="B41" s="33">
        <v>201810</v>
      </c>
      <c r="C41" s="33">
        <v>270350</v>
      </c>
      <c r="D41" s="33">
        <v>319035</v>
      </c>
      <c r="E41" s="33">
        <v>335985</v>
      </c>
      <c r="F41" s="43">
        <v>379185</v>
      </c>
      <c r="G41" s="43">
        <v>333885</v>
      </c>
      <c r="H41" s="43">
        <v>334550</v>
      </c>
      <c r="I41" s="43">
        <v>321435</v>
      </c>
      <c r="J41" s="43">
        <v>364675</v>
      </c>
      <c r="K41" s="43">
        <v>369295</v>
      </c>
      <c r="L41" s="43">
        <v>352845</v>
      </c>
      <c r="M41" s="43">
        <v>320538</v>
      </c>
      <c r="N41" s="43">
        <v>320478</v>
      </c>
      <c r="O41" s="34">
        <f t="shared" si="87"/>
        <v>-5.9616515972336676E-4</v>
      </c>
      <c r="Q41" s="33" t="str">
        <f t="shared" si="0"/>
        <v>Customer Deposits</v>
      </c>
      <c r="R41" s="106">
        <f t="shared" si="74"/>
        <v>3.3292931223264381E-3</v>
      </c>
      <c r="S41" s="106">
        <f t="shared" si="75"/>
        <v>4.152626177012622E-3</v>
      </c>
      <c r="T41" s="106">
        <f t="shared" si="76"/>
        <v>4.5335489872253207E-3</v>
      </c>
      <c r="U41" s="106">
        <f t="shared" si="77"/>
        <v>4.4279187257188326E-3</v>
      </c>
      <c r="V41" s="106">
        <f t="shared" si="78"/>
        <v>4.6939473536639301E-3</v>
      </c>
      <c r="W41" s="106">
        <f t="shared" si="79"/>
        <v>3.4530565297884856E-3</v>
      </c>
      <c r="X41" s="106">
        <f t="shared" si="80"/>
        <v>3.4410294465722041E-3</v>
      </c>
      <c r="Y41" s="106">
        <f t="shared" si="81"/>
        <v>3.2231894035478657E-3</v>
      </c>
      <c r="Z41" s="106">
        <f t="shared" si="82"/>
        <v>3.5730790764849384E-3</v>
      </c>
      <c r="AA41" s="106">
        <f t="shared" si="83"/>
        <v>3.5937071185772221E-3</v>
      </c>
      <c r="AB41" s="106">
        <f t="shared" si="84"/>
        <v>3.2265332198362739E-3</v>
      </c>
      <c r="AC41" s="106">
        <f t="shared" si="85"/>
        <v>2.9584816859851231E-3</v>
      </c>
      <c r="AD41" s="106">
        <f t="shared" si="86"/>
        <v>2.8614166926027329E-3</v>
      </c>
    </row>
    <row r="42" spans="1:30" ht="15" customHeight="1" x14ac:dyDescent="0.25">
      <c r="A42" s="33" t="s">
        <v>101</v>
      </c>
      <c r="B42" s="33"/>
      <c r="C42" s="33"/>
      <c r="D42" s="33">
        <v>1500682</v>
      </c>
      <c r="E42" s="33">
        <v>1545869</v>
      </c>
      <c r="F42" s="43">
        <v>1567422</v>
      </c>
      <c r="G42" s="43">
        <v>1731522</v>
      </c>
      <c r="H42" s="43">
        <v>1595797</v>
      </c>
      <c r="I42" s="43">
        <v>1638565</v>
      </c>
      <c r="J42" s="43">
        <v>1579466</v>
      </c>
      <c r="K42" s="43">
        <v>1592463</v>
      </c>
      <c r="L42" s="43">
        <v>1599488</v>
      </c>
      <c r="M42" s="43">
        <f>1657186</f>
        <v>1657186</v>
      </c>
      <c r="N42" s="43"/>
      <c r="O42" s="34"/>
      <c r="Q42" s="33" t="str">
        <f t="shared" si="0"/>
        <v>Accrued Vacation, Sick &amp; Holiday</v>
      </c>
      <c r="R42" s="106">
        <f t="shared" si="74"/>
        <v>0</v>
      </c>
      <c r="S42" s="106">
        <f t="shared" si="75"/>
        <v>0</v>
      </c>
      <c r="T42" s="106">
        <f t="shared" si="76"/>
        <v>2.132498115017872E-2</v>
      </c>
      <c r="U42" s="106">
        <f t="shared" si="77"/>
        <v>2.0372880612551887E-2</v>
      </c>
      <c r="V42" s="106">
        <f t="shared" si="78"/>
        <v>1.9403184063121234E-2</v>
      </c>
      <c r="W42" s="106">
        <f t="shared" si="79"/>
        <v>1.7907493144563004E-2</v>
      </c>
      <c r="X42" s="106">
        <f t="shared" si="80"/>
        <v>1.6413643604099786E-2</v>
      </c>
      <c r="Y42" s="106">
        <f t="shared" si="81"/>
        <v>1.643071023698231E-2</v>
      </c>
      <c r="Z42" s="106">
        <f t="shared" si="82"/>
        <v>1.5475579397050413E-2</v>
      </c>
      <c r="AA42" s="106">
        <f t="shared" si="83"/>
        <v>1.5496677775682961E-2</v>
      </c>
      <c r="AB42" s="106">
        <f t="shared" si="84"/>
        <v>1.4626255627058573E-2</v>
      </c>
      <c r="AC42" s="106">
        <f t="shared" si="85"/>
        <v>1.5295392219552572E-2</v>
      </c>
      <c r="AD42" s="106">
        <f t="shared" si="86"/>
        <v>0</v>
      </c>
    </row>
    <row r="43" spans="1:30" ht="15" customHeight="1" x14ac:dyDescent="0.25">
      <c r="A43" s="33" t="s">
        <v>60</v>
      </c>
      <c r="B43" s="33">
        <v>1700646</v>
      </c>
      <c r="C43" s="49">
        <v>1921171</v>
      </c>
      <c r="D43" s="52">
        <v>578033</v>
      </c>
      <c r="E43" s="52">
        <v>688518</v>
      </c>
      <c r="F43" s="63">
        <f>996624-258271</f>
        <v>738353</v>
      </c>
      <c r="G43" s="63">
        <f>571926+68882+180640</f>
        <v>821448</v>
      </c>
      <c r="H43" s="63">
        <f>672275+68882+224128</f>
        <v>965285</v>
      </c>
      <c r="I43" s="63">
        <f>694124+63500+363788</f>
        <v>1121412</v>
      </c>
      <c r="J43" s="63">
        <f>61073+438710+673462</f>
        <v>1173245</v>
      </c>
      <c r="K43" s="63">
        <f>59600+64578+697113</f>
        <v>821291</v>
      </c>
      <c r="L43" s="63">
        <f>759336+204375+56000</f>
        <v>1019711</v>
      </c>
      <c r="M43" s="63">
        <f>754569+54050+278438</f>
        <v>1087057</v>
      </c>
      <c r="N43" s="64">
        <v>4908247</v>
      </c>
      <c r="O43" s="41">
        <f t="shared" si="87"/>
        <v>0.343483206530667</v>
      </c>
      <c r="Q43" s="33" t="str">
        <f t="shared" si="0"/>
        <v xml:space="preserve">Other </v>
      </c>
      <c r="R43" s="107">
        <f t="shared" si="74"/>
        <v>2.805583980631271E-2</v>
      </c>
      <c r="S43" s="107">
        <f t="shared" si="75"/>
        <v>2.9509543129711546E-2</v>
      </c>
      <c r="T43" s="107">
        <f t="shared" si="76"/>
        <v>8.213960605365599E-3</v>
      </c>
      <c r="U43" s="107">
        <f t="shared" si="77"/>
        <v>9.0739221846049042E-3</v>
      </c>
      <c r="V43" s="107">
        <f t="shared" si="78"/>
        <v>9.1401034070963359E-3</v>
      </c>
      <c r="W43" s="107">
        <f t="shared" si="79"/>
        <v>8.4954591559419923E-3</v>
      </c>
      <c r="X43" s="107">
        <f t="shared" si="80"/>
        <v>9.928483363725751E-3</v>
      </c>
      <c r="Y43" s="107">
        <f t="shared" si="81"/>
        <v>1.1244958624329707E-2</v>
      </c>
      <c r="Z43" s="107">
        <f t="shared" si="82"/>
        <v>1.1495433361460401E-2</v>
      </c>
      <c r="AA43" s="107">
        <f t="shared" si="83"/>
        <v>7.992199496671782E-3</v>
      </c>
      <c r="AB43" s="107">
        <f t="shared" si="84"/>
        <v>9.3245799604145356E-3</v>
      </c>
      <c r="AC43" s="107">
        <f t="shared" si="85"/>
        <v>1.0033251053297675E-2</v>
      </c>
      <c r="AD43" s="107">
        <f t="shared" si="86"/>
        <v>4.3823725488855041E-2</v>
      </c>
    </row>
    <row r="44" spans="1:30" ht="15" customHeight="1" x14ac:dyDescent="0.25">
      <c r="A44" s="33" t="s">
        <v>36</v>
      </c>
      <c r="B44" s="48">
        <f>SUM(B37:B43)</f>
        <v>7970941</v>
      </c>
      <c r="C44" s="48">
        <f>SUM(C37:C43)</f>
        <v>9366250</v>
      </c>
      <c r="D44" s="49">
        <f>SUM(D37:D43)</f>
        <v>9753044</v>
      </c>
      <c r="E44" s="49">
        <f>SUM(E37:E43)</f>
        <v>11141425</v>
      </c>
      <c r="F44" s="50">
        <f>SUM(F37:F43)</f>
        <v>11141291</v>
      </c>
      <c r="G44" s="50">
        <f t="shared" ref="G44:L44" si="88">SUM(G37:G43)</f>
        <v>13671797</v>
      </c>
      <c r="H44" s="50">
        <f t="shared" si="88"/>
        <v>11366527</v>
      </c>
      <c r="I44" s="50">
        <f t="shared" si="88"/>
        <v>11939571</v>
      </c>
      <c r="J44" s="50">
        <f t="shared" si="88"/>
        <v>12963413</v>
      </c>
      <c r="K44" s="50">
        <f t="shared" si="88"/>
        <v>13228962</v>
      </c>
      <c r="L44" s="50">
        <f t="shared" si="88"/>
        <v>14568324</v>
      </c>
      <c r="M44" s="50">
        <f t="shared" ref="M44:N44" si="89">SUM(M37:M43)</f>
        <v>13917023</v>
      </c>
      <c r="N44" s="50">
        <f t="shared" si="89"/>
        <v>15666331</v>
      </c>
      <c r="O44" s="34">
        <f t="shared" si="87"/>
        <v>5.5834175230787229E-2</v>
      </c>
      <c r="Q44" s="33" t="str">
        <f t="shared" si="0"/>
        <v>Total Current Liabilities</v>
      </c>
      <c r="R44" s="106">
        <f t="shared" si="74"/>
        <v>0.13149793890178793</v>
      </c>
      <c r="S44" s="106">
        <f t="shared" si="75"/>
        <v>0.14386733837782309</v>
      </c>
      <c r="T44" s="106">
        <f t="shared" si="76"/>
        <v>0.13859263951780837</v>
      </c>
      <c r="U44" s="106">
        <f t="shared" si="77"/>
        <v>0.14683192520110105</v>
      </c>
      <c r="V44" s="106">
        <f t="shared" si="78"/>
        <v>0.13791851841673528</v>
      </c>
      <c r="W44" s="106">
        <f t="shared" si="79"/>
        <v>0.14139445588988014</v>
      </c>
      <c r="X44" s="106">
        <f t="shared" si="80"/>
        <v>0.11691093741520853</v>
      </c>
      <c r="Y44" s="106">
        <f t="shared" si="81"/>
        <v>0.11972404601274719</v>
      </c>
      <c r="Z44" s="106">
        <f t="shared" si="82"/>
        <v>0.12701528689965816</v>
      </c>
      <c r="AA44" s="106">
        <f t="shared" si="83"/>
        <v>0.12873452094067769</v>
      </c>
      <c r="AB44" s="106">
        <f t="shared" si="84"/>
        <v>0.1332176489487964</v>
      </c>
      <c r="AC44" s="106">
        <f t="shared" si="85"/>
        <v>0.12845047285792555</v>
      </c>
      <c r="AD44" s="106">
        <f t="shared" si="86"/>
        <v>0.13987824760276732</v>
      </c>
    </row>
    <row r="45" spans="1:30" ht="15" customHeight="1" x14ac:dyDescent="0.25">
      <c r="A45" s="33"/>
      <c r="B45" s="33"/>
      <c r="C45" s="33"/>
      <c r="D45" s="33"/>
      <c r="E45" s="33"/>
      <c r="F45" s="43"/>
      <c r="G45" s="43"/>
      <c r="H45" s="43"/>
      <c r="I45" s="43"/>
      <c r="J45" s="43"/>
      <c r="K45" s="43"/>
      <c r="L45" s="43"/>
      <c r="M45" s="43"/>
      <c r="N45" s="43"/>
      <c r="O45" s="34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15" customHeight="1" x14ac:dyDescent="0.25">
      <c r="A46" s="33" t="s">
        <v>56</v>
      </c>
      <c r="B46" s="33">
        <v>3745714</v>
      </c>
      <c r="C46" s="33">
        <v>3503423</v>
      </c>
      <c r="D46" s="33">
        <v>3213416</v>
      </c>
      <c r="E46" s="33">
        <v>2946030</v>
      </c>
      <c r="F46" s="43">
        <v>2662192</v>
      </c>
      <c r="G46" s="43">
        <f>11765309+468744</f>
        <v>12234053</v>
      </c>
      <c r="H46" s="43">
        <f>11385526+418749</f>
        <v>11804275</v>
      </c>
      <c r="I46" s="43">
        <f>10980716+365964</f>
        <v>11346680</v>
      </c>
      <c r="J46" s="43">
        <f>10549222+310235</f>
        <v>10859457</v>
      </c>
      <c r="K46" s="43">
        <f>10085829+251398</f>
        <v>10337227</v>
      </c>
      <c r="L46" s="43">
        <f>9698812+189279</f>
        <v>9888091</v>
      </c>
      <c r="M46" s="43">
        <f>9330922+123695</f>
        <v>9454617</v>
      </c>
      <c r="N46" s="43">
        <f>9073459+54454</f>
        <v>9127913</v>
      </c>
      <c r="O46" s="34">
        <f t="shared" si="87"/>
        <v>-4.2584317392360363E-2</v>
      </c>
      <c r="Q46" s="33" t="str">
        <f t="shared" si="0"/>
        <v>Long-Term Debt</v>
      </c>
      <c r="R46" s="106">
        <f t="shared" ref="R46:R50" si="90">+B46/B$35</f>
        <v>6.1793666609196038E-2</v>
      </c>
      <c r="S46" s="106">
        <f t="shared" ref="S46:S50" si="91">+C46/C$35</f>
        <v>5.3813227515990721E-2</v>
      </c>
      <c r="T46" s="106">
        <f t="shared" ref="T46:T50" si="92">+D46/D$35</f>
        <v>4.5663262188580064E-2</v>
      </c>
      <c r="U46" s="106">
        <f t="shared" ref="U46:U50" si="93">+E46/E$35</f>
        <v>3.8825487457861067E-2</v>
      </c>
      <c r="V46" s="106">
        <f t="shared" ref="V46:V50" si="94">+F46/F$35</f>
        <v>3.2955388776837923E-2</v>
      </c>
      <c r="W46" s="106">
        <f t="shared" ref="W46:W50" si="95">+G46/G$35</f>
        <v>0.12652523053574857</v>
      </c>
      <c r="X46" s="106">
        <f t="shared" ref="X46:X50" si="96">+H46/H$35</f>
        <v>0.12141341464784368</v>
      </c>
      <c r="Y46" s="106">
        <f t="shared" ref="Y46:Y50" si="97">+I46/I$35</f>
        <v>0.11377883161898517</v>
      </c>
      <c r="Z46" s="106">
        <f t="shared" ref="Z46:Z50" si="98">+J46/J$35</f>
        <v>0.10640076393689696</v>
      </c>
      <c r="AA46" s="106">
        <f t="shared" ref="AA46:AA50" si="99">+K46/K$35</f>
        <v>0.10059428439661697</v>
      </c>
      <c r="AB46" s="106">
        <f t="shared" ref="AB46:AB50" si="100">+L46/L$35</f>
        <v>9.042002605184736E-2</v>
      </c>
      <c r="AC46" s="106">
        <f t="shared" ref="AC46:AC50" si="101">+M46/M$35</f>
        <v>8.7263635645394952E-2</v>
      </c>
      <c r="AD46" s="106">
        <f t="shared" ref="AD46:AD50" si="102">+N46/N$35</f>
        <v>8.1499393489804256E-2</v>
      </c>
    </row>
    <row r="47" spans="1:30" ht="15" customHeight="1" x14ac:dyDescent="0.25">
      <c r="A47" s="33" t="s">
        <v>95</v>
      </c>
      <c r="B47" s="33"/>
      <c r="C47" s="33">
        <v>5914</v>
      </c>
      <c r="D47" s="33">
        <v>245474</v>
      </c>
      <c r="E47" s="33">
        <v>273040</v>
      </c>
      <c r="F47" s="43">
        <v>258271</v>
      </c>
      <c r="G47" s="43">
        <v>237876</v>
      </c>
      <c r="H47" s="43">
        <v>205357</v>
      </c>
      <c r="I47" s="43">
        <v>207638</v>
      </c>
      <c r="J47" s="43">
        <v>246578</v>
      </c>
      <c r="K47" s="43">
        <v>241664</v>
      </c>
      <c r="L47" s="43">
        <v>1966215</v>
      </c>
      <c r="M47" s="43">
        <v>291760</v>
      </c>
      <c r="N47" s="43">
        <v>1285947</v>
      </c>
      <c r="O47" s="34">
        <f t="shared" si="87"/>
        <v>0.44006881754163196</v>
      </c>
      <c r="Q47" s="33" t="str">
        <f t="shared" si="0"/>
        <v>Deferred Credits</v>
      </c>
      <c r="R47" s="106">
        <f t="shared" si="90"/>
        <v>0</v>
      </c>
      <c r="S47" s="106">
        <f t="shared" si="91"/>
        <v>9.0840137639551128E-5</v>
      </c>
      <c r="T47" s="106">
        <f t="shared" si="92"/>
        <v>3.4882329653177497E-3</v>
      </c>
      <c r="U47" s="106">
        <f t="shared" si="93"/>
        <v>3.5983717394236945E-3</v>
      </c>
      <c r="V47" s="106">
        <f t="shared" si="94"/>
        <v>3.197147769500737E-3</v>
      </c>
      <c r="W47" s="106">
        <f t="shared" si="95"/>
        <v>2.4601263161866086E-3</v>
      </c>
      <c r="X47" s="106">
        <f t="shared" si="96"/>
        <v>2.1122088897316637E-3</v>
      </c>
      <c r="Y47" s="106">
        <f t="shared" si="97"/>
        <v>2.0820900069185738E-3</v>
      </c>
      <c r="Z47" s="106">
        <f t="shared" si="98"/>
        <v>2.4159667992637367E-3</v>
      </c>
      <c r="AA47" s="106">
        <f t="shared" si="99"/>
        <v>2.3516961700100077E-3</v>
      </c>
      <c r="AB47" s="106">
        <f t="shared" si="100"/>
        <v>1.7979730518614064E-2</v>
      </c>
      <c r="AC47" s="106">
        <f t="shared" si="101"/>
        <v>2.6928682923803714E-3</v>
      </c>
      <c r="AD47" s="106">
        <f t="shared" si="102"/>
        <v>1.1481693631395623E-2</v>
      </c>
    </row>
    <row r="48" spans="1:30" ht="15" customHeight="1" x14ac:dyDescent="0.25">
      <c r="A48" s="33" t="s">
        <v>139</v>
      </c>
      <c r="B48" s="33"/>
      <c r="C48" s="33"/>
      <c r="D48" s="33"/>
      <c r="E48" s="33"/>
      <c r="F48" s="43"/>
      <c r="G48" s="43"/>
      <c r="H48" s="43"/>
      <c r="I48" s="43"/>
      <c r="J48" s="43"/>
      <c r="K48" s="43"/>
      <c r="L48" s="43"/>
      <c r="M48" s="43">
        <v>927670</v>
      </c>
      <c r="N48" s="43">
        <v>326704</v>
      </c>
      <c r="O48" s="34"/>
      <c r="Q48" s="33" t="str">
        <f t="shared" si="0"/>
        <v>Unamortized Retirement Benefit Credit</v>
      </c>
      <c r="R48" s="106">
        <f t="shared" si="90"/>
        <v>0</v>
      </c>
      <c r="S48" s="106">
        <f t="shared" si="91"/>
        <v>0</v>
      </c>
      <c r="T48" s="106">
        <f t="shared" si="92"/>
        <v>0</v>
      </c>
      <c r="U48" s="106">
        <f t="shared" si="93"/>
        <v>0</v>
      </c>
      <c r="V48" s="106">
        <f t="shared" si="94"/>
        <v>0</v>
      </c>
      <c r="W48" s="106">
        <f t="shared" si="95"/>
        <v>0</v>
      </c>
      <c r="X48" s="106">
        <f t="shared" si="96"/>
        <v>0</v>
      </c>
      <c r="Y48" s="106">
        <f t="shared" si="97"/>
        <v>0</v>
      </c>
      <c r="Z48" s="106">
        <f t="shared" si="98"/>
        <v>0</v>
      </c>
      <c r="AA48" s="106">
        <f t="shared" si="99"/>
        <v>0</v>
      </c>
      <c r="AB48" s="106">
        <f t="shared" si="100"/>
        <v>0</v>
      </c>
      <c r="AC48" s="106">
        <f t="shared" si="101"/>
        <v>8.5621508390200819E-3</v>
      </c>
      <c r="AD48" s="106">
        <f t="shared" si="102"/>
        <v>2.9170060944591616E-3</v>
      </c>
    </row>
    <row r="49" spans="1:30" ht="15" customHeight="1" x14ac:dyDescent="0.25">
      <c r="A49" s="33" t="s">
        <v>96</v>
      </c>
      <c r="B49" s="33">
        <v>1053000</v>
      </c>
      <c r="C49" s="49">
        <v>1116100</v>
      </c>
      <c r="D49" s="52">
        <v>1172100</v>
      </c>
      <c r="E49" s="52">
        <v>1246300</v>
      </c>
      <c r="F49" s="63">
        <v>1397700</v>
      </c>
      <c r="G49" s="63">
        <v>2019500</v>
      </c>
      <c r="H49" s="63">
        <v>2066300</v>
      </c>
      <c r="I49" s="63">
        <v>2212000</v>
      </c>
      <c r="J49" s="63">
        <v>2304800</v>
      </c>
      <c r="K49" s="63">
        <v>2441900</v>
      </c>
      <c r="L49" s="63">
        <v>2548100</v>
      </c>
      <c r="M49" s="63">
        <v>1613200</v>
      </c>
      <c r="N49" s="63">
        <v>1676900</v>
      </c>
      <c r="O49" s="41">
        <f t="shared" si="87"/>
        <v>-5.3883953351414535E-2</v>
      </c>
      <c r="Q49" s="33" t="str">
        <f t="shared" si="0"/>
        <v>Accum Retirement Benefit</v>
      </c>
      <c r="R49" s="107">
        <f t="shared" si="90"/>
        <v>1.7371516068627618E-2</v>
      </c>
      <c r="S49" s="107">
        <f t="shared" si="91"/>
        <v>1.7143503148377242E-2</v>
      </c>
      <c r="T49" s="107">
        <f t="shared" si="92"/>
        <v>1.6655767448483075E-2</v>
      </c>
      <c r="U49" s="107">
        <f t="shared" si="93"/>
        <v>1.6424885360546992E-2</v>
      </c>
      <c r="V49" s="107">
        <f t="shared" si="94"/>
        <v>1.7302188156746907E-2</v>
      </c>
      <c r="W49" s="107">
        <f t="shared" si="95"/>
        <v>2.0885777024747584E-2</v>
      </c>
      <c r="X49" s="107">
        <f t="shared" si="96"/>
        <v>2.1253023899124632E-2</v>
      </c>
      <c r="Y49" s="107">
        <f t="shared" si="97"/>
        <v>2.2180829594312626E-2</v>
      </c>
      <c r="Z49" s="107">
        <f t="shared" si="98"/>
        <v>2.2582388854411422E-2</v>
      </c>
      <c r="AA49" s="107">
        <f t="shared" si="99"/>
        <v>2.3762773427351357E-2</v>
      </c>
      <c r="AB49" s="107">
        <f t="shared" si="100"/>
        <v>2.3300682445450013E-2</v>
      </c>
      <c r="AC49" s="107">
        <f t="shared" si="101"/>
        <v>1.4889412973910115E-2</v>
      </c>
      <c r="AD49" s="107">
        <f t="shared" si="102"/>
        <v>1.4972352710094054E-2</v>
      </c>
    </row>
    <row r="50" spans="1:30" ht="15" customHeight="1" x14ac:dyDescent="0.25">
      <c r="A50" s="49" t="s">
        <v>57</v>
      </c>
      <c r="B50" s="48">
        <f>SUM(B46:B49)</f>
        <v>4798714</v>
      </c>
      <c r="C50" s="48">
        <f>SUM(C46:C49)</f>
        <v>4625437</v>
      </c>
      <c r="D50" s="49">
        <f>SUM(D46:D49)</f>
        <v>4630990</v>
      </c>
      <c r="E50" s="49">
        <f>SUM(E46:E49)</f>
        <v>4465370</v>
      </c>
      <c r="F50" s="50">
        <f>SUM(F46:F49)</f>
        <v>4318163</v>
      </c>
      <c r="G50" s="50">
        <f t="shared" ref="G50:L50" si="103">SUM(G46:G49)</f>
        <v>14491429</v>
      </c>
      <c r="H50" s="50">
        <f t="shared" si="103"/>
        <v>14075932</v>
      </c>
      <c r="I50" s="50">
        <f t="shared" si="103"/>
        <v>13766318</v>
      </c>
      <c r="J50" s="50">
        <f t="shared" si="103"/>
        <v>13410835</v>
      </c>
      <c r="K50" s="50">
        <f t="shared" si="103"/>
        <v>13020791</v>
      </c>
      <c r="L50" s="50">
        <f t="shared" si="103"/>
        <v>14402406</v>
      </c>
      <c r="M50" s="50">
        <f t="shared" ref="M50:N50" si="104">SUM(M46:M49)</f>
        <v>12287247</v>
      </c>
      <c r="N50" s="50">
        <f t="shared" si="104"/>
        <v>12417464</v>
      </c>
      <c r="O50" s="34">
        <f t="shared" si="87"/>
        <v>-2.0412978775509082E-2</v>
      </c>
      <c r="Q50" s="33" t="str">
        <f t="shared" si="0"/>
        <v>Total LTD &amp; Deferrals</v>
      </c>
      <c r="R50" s="106">
        <f t="shared" si="90"/>
        <v>7.9165182677823659E-2</v>
      </c>
      <c r="S50" s="106">
        <f t="shared" si="91"/>
        <v>7.104757080200752E-2</v>
      </c>
      <c r="T50" s="106">
        <f t="shared" si="92"/>
        <v>6.5807262602380887E-2</v>
      </c>
      <c r="U50" s="106">
        <f t="shared" si="93"/>
        <v>5.8848744557831754E-2</v>
      </c>
      <c r="V50" s="106">
        <f t="shared" si="94"/>
        <v>5.3454724703085564E-2</v>
      </c>
      <c r="W50" s="106">
        <f t="shared" si="95"/>
        <v>0.14987113387668277</v>
      </c>
      <c r="X50" s="106">
        <f t="shared" si="96"/>
        <v>0.14477864743669996</v>
      </c>
      <c r="Y50" s="106">
        <f t="shared" si="97"/>
        <v>0.13804175122021636</v>
      </c>
      <c r="Z50" s="106">
        <f t="shared" si="98"/>
        <v>0.13139911959057213</v>
      </c>
      <c r="AA50" s="106">
        <f t="shared" si="99"/>
        <v>0.12670875399397832</v>
      </c>
      <c r="AB50" s="106">
        <f t="shared" si="100"/>
        <v>0.13170043901591144</v>
      </c>
      <c r="AC50" s="106">
        <f t="shared" si="101"/>
        <v>0.11340806775070553</v>
      </c>
      <c r="AD50" s="106">
        <f t="shared" si="102"/>
        <v>0.1108704459257531</v>
      </c>
    </row>
    <row r="51" spans="1:30" ht="15" customHeight="1" x14ac:dyDescent="0.25">
      <c r="A51" s="49"/>
      <c r="B51" s="33"/>
      <c r="C51" s="49"/>
      <c r="D51" s="49"/>
      <c r="E51" s="49"/>
      <c r="F51" s="63"/>
      <c r="G51" s="63"/>
      <c r="H51" s="63"/>
      <c r="I51" s="63"/>
      <c r="J51" s="63"/>
      <c r="K51" s="63"/>
      <c r="L51" s="63"/>
      <c r="M51" s="63"/>
      <c r="N51" s="63"/>
      <c r="O51" s="34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15" customHeight="1" x14ac:dyDescent="0.25">
      <c r="A52" s="33" t="s">
        <v>37</v>
      </c>
      <c r="B52" s="33">
        <f>B50+B44</f>
        <v>12769655</v>
      </c>
      <c r="C52" s="33">
        <f>C50+C44</f>
        <v>13991687</v>
      </c>
      <c r="D52" s="33">
        <f>D50+D44</f>
        <v>14384034</v>
      </c>
      <c r="E52" s="33">
        <f>E50+E44</f>
        <v>15606795</v>
      </c>
      <c r="F52" s="43">
        <f>F50+F44</f>
        <v>15459454</v>
      </c>
      <c r="G52" s="43">
        <f t="shared" ref="G52:L52" si="105">G50+G44</f>
        <v>28163226</v>
      </c>
      <c r="H52" s="43">
        <f t="shared" si="105"/>
        <v>25442459</v>
      </c>
      <c r="I52" s="43">
        <f t="shared" si="105"/>
        <v>25705889</v>
      </c>
      <c r="J52" s="43">
        <f t="shared" si="105"/>
        <v>26374248</v>
      </c>
      <c r="K52" s="43">
        <f t="shared" si="105"/>
        <v>26249753</v>
      </c>
      <c r="L52" s="43">
        <f t="shared" si="105"/>
        <v>28970730</v>
      </c>
      <c r="M52" s="43">
        <f t="shared" ref="M52:N52" si="106">M50+M44</f>
        <v>26204270</v>
      </c>
      <c r="N52" s="43">
        <f t="shared" si="106"/>
        <v>28083795</v>
      </c>
      <c r="O52" s="34">
        <f t="shared" si="87"/>
        <v>1.7851997496596161E-2</v>
      </c>
      <c r="Q52" s="33" t="str">
        <f t="shared" si="0"/>
        <v>Total Liabilities</v>
      </c>
      <c r="R52" s="106">
        <f t="shared" ref="R52" si="107">+B52/B$35</f>
        <v>0.21066312157961159</v>
      </c>
      <c r="S52" s="106">
        <f t="shared" ref="S52" si="108">+C52/C$35</f>
        <v>0.21491490917983061</v>
      </c>
      <c r="T52" s="106">
        <f t="shared" ref="T52" si="109">+D52/D$35</f>
        <v>0.20439990212018924</v>
      </c>
      <c r="U52" s="106">
        <f t="shared" ref="U52" si="110">+E52/E$35</f>
        <v>0.20568066975893282</v>
      </c>
      <c r="V52" s="106">
        <f t="shared" ref="V52" si="111">+F52/F$35</f>
        <v>0.19137324311982085</v>
      </c>
      <c r="W52" s="106">
        <f t="shared" ref="W52" si="112">+G52/G$35</f>
        <v>0.29126558976656292</v>
      </c>
      <c r="X52" s="106">
        <f t="shared" ref="X52" si="113">+H52/H$35</f>
        <v>0.26168958485190852</v>
      </c>
      <c r="Y52" s="106">
        <f t="shared" ref="Y52" si="114">+I52/I$35</f>
        <v>0.25776579723296356</v>
      </c>
      <c r="Z52" s="106">
        <f t="shared" ref="Z52" si="115">+J52/J$35</f>
        <v>0.25841440649023029</v>
      </c>
      <c r="AA52" s="106">
        <f t="shared" ref="AA52" si="116">+K52/K$35</f>
        <v>0.25544327493465602</v>
      </c>
      <c r="AB52" s="106">
        <f t="shared" ref="AB52" si="117">+L52/L$35</f>
        <v>0.26491808796470784</v>
      </c>
      <c r="AC52" s="106">
        <f t="shared" ref="AC52" si="118">+M52/M$35</f>
        <v>0.24185854060863107</v>
      </c>
      <c r="AD52" s="106">
        <f t="shared" ref="AD52" si="119">+N52/N$35</f>
        <v>0.25074869352852042</v>
      </c>
    </row>
    <row r="53" spans="1:30" ht="15" hidden="1" customHeight="1" x14ac:dyDescent="0.25">
      <c r="A53" s="33"/>
      <c r="B53" s="33"/>
      <c r="C53" s="33"/>
      <c r="D53" s="33"/>
      <c r="E53" s="33"/>
      <c r="F53" s="43"/>
      <c r="G53" s="43"/>
      <c r="H53" s="43"/>
      <c r="I53" s="43"/>
      <c r="J53" s="43"/>
      <c r="K53" s="43"/>
      <c r="L53" s="43"/>
      <c r="M53" s="43"/>
      <c r="N53" s="43"/>
      <c r="O53" s="34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" hidden="1" customHeight="1" x14ac:dyDescent="0.25">
      <c r="A54" s="33" t="s">
        <v>58</v>
      </c>
      <c r="B54" s="33"/>
      <c r="C54" s="33"/>
      <c r="D54" s="33"/>
      <c r="E54" s="33"/>
      <c r="F54" s="43"/>
      <c r="G54" s="43"/>
      <c r="H54" s="43"/>
      <c r="I54" s="43"/>
      <c r="J54" s="43"/>
      <c r="K54" s="43"/>
      <c r="L54" s="43"/>
      <c r="M54" s="43"/>
      <c r="N54" s="43"/>
      <c r="O54" s="34"/>
      <c r="Q54" s="33" t="str">
        <f t="shared" si="0"/>
        <v>Preferred Stock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15" hidden="1" customHeight="1" x14ac:dyDescent="0.25">
      <c r="A55" s="33"/>
      <c r="B55" s="33"/>
      <c r="C55" s="33"/>
      <c r="D55" s="33"/>
      <c r="E55" s="33"/>
      <c r="F55" s="43"/>
      <c r="G55" s="43"/>
      <c r="H55" s="43"/>
      <c r="I55" s="43"/>
      <c r="J55" s="43"/>
      <c r="K55" s="43"/>
      <c r="L55" s="43"/>
      <c r="M55" s="43"/>
      <c r="N55" s="43"/>
      <c r="O55" s="34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ht="15" customHeight="1" x14ac:dyDescent="0.25">
      <c r="A56" s="32" t="s">
        <v>61</v>
      </c>
      <c r="B56" s="33"/>
      <c r="C56" s="33"/>
      <c r="D56" s="33"/>
      <c r="E56" s="33"/>
      <c r="F56" s="43"/>
      <c r="G56" s="43"/>
      <c r="H56" s="43"/>
      <c r="I56" s="43"/>
      <c r="J56" s="43"/>
      <c r="K56" s="43"/>
      <c r="L56" s="43"/>
      <c r="M56" s="43"/>
      <c r="N56" s="43"/>
      <c r="O56" s="34"/>
      <c r="Q56" s="33" t="str">
        <f t="shared" si="0"/>
        <v>Common Equity: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15" customHeight="1" x14ac:dyDescent="0.25">
      <c r="A57" s="65" t="s">
        <v>84</v>
      </c>
      <c r="B57" s="33">
        <v>47846816</v>
      </c>
      <c r="C57" s="33">
        <v>51111693</v>
      </c>
      <c r="D57" s="33">
        <v>55987986</v>
      </c>
      <c r="E57" s="33">
        <v>60271969</v>
      </c>
      <c r="F57" s="43">
        <v>65322236</v>
      </c>
      <c r="G57" s="43">
        <v>68529370</v>
      </c>
      <c r="H57" s="43">
        <v>71781353</v>
      </c>
      <c r="I57" s="43">
        <v>74019867</v>
      </c>
      <c r="J57" s="43">
        <v>75687585</v>
      </c>
      <c r="K57" s="43">
        <v>76511821</v>
      </c>
      <c r="L57" s="43">
        <v>80386582</v>
      </c>
      <c r="M57" s="43">
        <v>82141170</v>
      </c>
      <c r="N57" s="43">
        <v>83915971</v>
      </c>
      <c r="O57" s="34">
        <f t="shared" si="87"/>
        <v>2.5414052371473792E-2</v>
      </c>
      <c r="Q57" s="33" t="str">
        <f t="shared" si="0"/>
        <v>Patrons Capital</v>
      </c>
      <c r="R57" s="106">
        <f t="shared" ref="R57:R60" si="120">+B57/B$35</f>
        <v>0.78933687842038847</v>
      </c>
      <c r="S57" s="106">
        <f t="shared" ref="S57" si="121">+C57/C$35</f>
        <v>0.78508509082016942</v>
      </c>
      <c r="T57" s="106">
        <f t="shared" ref="T57" si="122">+D57/D$35</f>
        <v>0.79560009787981079</v>
      </c>
      <c r="U57" s="106">
        <f t="shared" ref="U57" si="123">+E57/E$35</f>
        <v>0.79431933024106716</v>
      </c>
      <c r="V57" s="106">
        <f t="shared" ref="V57" si="124">+F57/F$35</f>
        <v>0.80862675688017915</v>
      </c>
      <c r="W57" s="106">
        <f t="shared" ref="W57" si="125">+G57/G$35</f>
        <v>0.70873441023343708</v>
      </c>
      <c r="X57" s="106">
        <f t="shared" ref="X57" si="126">+H57/H$35</f>
        <v>0.73831041514809148</v>
      </c>
      <c r="Y57" s="106">
        <f t="shared" ref="Y57" si="127">+I57/I$35</f>
        <v>0.74223420276703644</v>
      </c>
      <c r="Z57" s="106">
        <f t="shared" ref="Z57" si="128">+J57/J$35</f>
        <v>0.74158559350976971</v>
      </c>
      <c r="AA57" s="106">
        <f t="shared" ref="AA57" si="129">+K57/K$35</f>
        <v>0.74455672506534398</v>
      </c>
      <c r="AB57" s="106">
        <f t="shared" ref="AB57" si="130">+L57/L$35</f>
        <v>0.73508191203529216</v>
      </c>
      <c r="AC57" s="106">
        <f t="shared" ref="AC57" si="131">+M57/M$35</f>
        <v>0.7581414593913689</v>
      </c>
      <c r="AD57" s="106">
        <f t="shared" ref="AD57" si="132">+N57/N$35</f>
        <v>0.74925130647147964</v>
      </c>
    </row>
    <row r="58" spans="1:30" ht="15" hidden="1" customHeight="1" x14ac:dyDescent="0.25">
      <c r="A58" s="65" t="s">
        <v>97</v>
      </c>
      <c r="B58" s="33"/>
      <c r="C58" s="33"/>
      <c r="D58" s="33"/>
      <c r="E58" s="33"/>
      <c r="F58" s="43"/>
      <c r="G58" s="43"/>
      <c r="H58" s="43"/>
      <c r="I58" s="43"/>
      <c r="J58" s="43"/>
      <c r="K58" s="43"/>
      <c r="L58" s="43"/>
      <c r="M58" s="43"/>
      <c r="N58" s="43"/>
      <c r="O58" s="41"/>
      <c r="Q58" s="33" t="str">
        <f t="shared" si="0"/>
        <v>Operating Margins</v>
      </c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</row>
    <row r="59" spans="1:30" ht="15" customHeight="1" x14ac:dyDescent="0.25">
      <c r="A59" s="33" t="s">
        <v>91</v>
      </c>
      <c r="B59" s="48">
        <f>SUM(B56:B58)</f>
        <v>47846816</v>
      </c>
      <c r="C59" s="48">
        <f>SUM(C56:C58)</f>
        <v>51111693</v>
      </c>
      <c r="D59" s="48">
        <f>SUM(D56:D58)</f>
        <v>55987986</v>
      </c>
      <c r="E59" s="48">
        <f>SUM(E56:E58)</f>
        <v>60271969</v>
      </c>
      <c r="F59" s="50">
        <f>SUM(F56:F58)</f>
        <v>65322236</v>
      </c>
      <c r="G59" s="50">
        <f t="shared" ref="G59:L59" si="133">SUM(G56:G58)</f>
        <v>68529370</v>
      </c>
      <c r="H59" s="50">
        <f t="shared" si="133"/>
        <v>71781353</v>
      </c>
      <c r="I59" s="50">
        <f t="shared" si="133"/>
        <v>74019867</v>
      </c>
      <c r="J59" s="50">
        <f t="shared" si="133"/>
        <v>75687585</v>
      </c>
      <c r="K59" s="50">
        <f t="shared" si="133"/>
        <v>76511821</v>
      </c>
      <c r="L59" s="50">
        <f t="shared" si="133"/>
        <v>80386582</v>
      </c>
      <c r="M59" s="50">
        <f t="shared" ref="M59:N59" si="134">SUM(M56:M58)</f>
        <v>82141170</v>
      </c>
      <c r="N59" s="50">
        <f t="shared" si="134"/>
        <v>83915971</v>
      </c>
      <c r="O59" s="55">
        <f t="shared" si="87"/>
        <v>2.5414052371473792E-2</v>
      </c>
      <c r="Q59" s="33" t="str">
        <f t="shared" si="0"/>
        <v>Total Patronage Equity</v>
      </c>
      <c r="R59" s="108">
        <f t="shared" si="120"/>
        <v>0.78933687842038847</v>
      </c>
      <c r="S59" s="108">
        <f t="shared" ref="S59:S60" si="135">+C59/C$35</f>
        <v>0.78508509082016942</v>
      </c>
      <c r="T59" s="108">
        <f t="shared" ref="T59:T60" si="136">+D59/D$35</f>
        <v>0.79560009787981079</v>
      </c>
      <c r="U59" s="108">
        <f t="shared" ref="U59:U60" si="137">+E59/E$35</f>
        <v>0.79431933024106716</v>
      </c>
      <c r="V59" s="108">
        <f t="shared" ref="V59:V60" si="138">+F59/F$35</f>
        <v>0.80862675688017915</v>
      </c>
      <c r="W59" s="108">
        <f t="shared" ref="W59:W60" si="139">+G59/G$35</f>
        <v>0.70873441023343708</v>
      </c>
      <c r="X59" s="108">
        <f t="shared" ref="X59:X60" si="140">+H59/H$35</f>
        <v>0.73831041514809148</v>
      </c>
      <c r="Y59" s="108">
        <f t="shared" ref="Y59:Y60" si="141">+I59/I$35</f>
        <v>0.74223420276703644</v>
      </c>
      <c r="Z59" s="108">
        <f t="shared" ref="Z59:Z60" si="142">+J59/J$35</f>
        <v>0.74158559350976971</v>
      </c>
      <c r="AA59" s="108">
        <f t="shared" ref="AA59:AA60" si="143">+K59/K$35</f>
        <v>0.74455672506534398</v>
      </c>
      <c r="AB59" s="108">
        <f t="shared" ref="AB59:AB60" si="144">+L59/L$35</f>
        <v>0.73508191203529216</v>
      </c>
      <c r="AC59" s="108">
        <f t="shared" ref="AC59:AC60" si="145">+M59/M$35</f>
        <v>0.7581414593913689</v>
      </c>
      <c r="AD59" s="108">
        <f t="shared" ref="AD59:AD60" si="146">+N59/N$35</f>
        <v>0.74925130647147964</v>
      </c>
    </row>
    <row r="60" spans="1:30" ht="15" customHeight="1" thickBot="1" x14ac:dyDescent="0.3">
      <c r="A60" s="33" t="s">
        <v>38</v>
      </c>
      <c r="B60" s="57">
        <f>B59+B52+B54</f>
        <v>60616471</v>
      </c>
      <c r="C60" s="57">
        <f>C59+C52+C54</f>
        <v>65103380</v>
      </c>
      <c r="D60" s="57">
        <f>D59+D52+D54</f>
        <v>70372020</v>
      </c>
      <c r="E60" s="57">
        <f>E59+E52+E54</f>
        <v>75878764</v>
      </c>
      <c r="F60" s="58">
        <f>F59+F52+F54</f>
        <v>80781690</v>
      </c>
      <c r="G60" s="58">
        <f t="shared" ref="G60:L60" si="147">G59+G52+G54</f>
        <v>96692596</v>
      </c>
      <c r="H60" s="58">
        <f t="shared" si="147"/>
        <v>97223812</v>
      </c>
      <c r="I60" s="58">
        <f t="shared" si="147"/>
        <v>99725756</v>
      </c>
      <c r="J60" s="58">
        <f t="shared" si="147"/>
        <v>102061833</v>
      </c>
      <c r="K60" s="58">
        <f t="shared" si="147"/>
        <v>102761574</v>
      </c>
      <c r="L60" s="58">
        <f t="shared" si="147"/>
        <v>109357312</v>
      </c>
      <c r="M60" s="58">
        <f t="shared" ref="M60:N60" si="148">M59+M52+M54</f>
        <v>108345440</v>
      </c>
      <c r="N60" s="58">
        <f t="shared" si="148"/>
        <v>111999766</v>
      </c>
      <c r="O60" s="59">
        <f t="shared" si="87"/>
        <v>2.3486115866556842E-2</v>
      </c>
      <c r="Q60" s="33" t="str">
        <f t="shared" si="0"/>
        <v>Total Liabilities &amp; Equity</v>
      </c>
      <c r="R60" s="110">
        <f t="shared" si="120"/>
        <v>1</v>
      </c>
      <c r="S60" s="110">
        <f t="shared" si="135"/>
        <v>1</v>
      </c>
      <c r="T60" s="110">
        <f t="shared" si="136"/>
        <v>1</v>
      </c>
      <c r="U60" s="110">
        <f t="shared" si="137"/>
        <v>1</v>
      </c>
      <c r="V60" s="110">
        <f t="shared" si="138"/>
        <v>1</v>
      </c>
      <c r="W60" s="110">
        <f t="shared" si="139"/>
        <v>1</v>
      </c>
      <c r="X60" s="110">
        <f t="shared" si="140"/>
        <v>1</v>
      </c>
      <c r="Y60" s="110">
        <f t="shared" si="141"/>
        <v>1</v>
      </c>
      <c r="Z60" s="110">
        <f t="shared" si="142"/>
        <v>1</v>
      </c>
      <c r="AA60" s="110">
        <f t="shared" si="143"/>
        <v>1</v>
      </c>
      <c r="AB60" s="110">
        <f t="shared" si="144"/>
        <v>1</v>
      </c>
      <c r="AC60" s="110">
        <f t="shared" si="145"/>
        <v>1</v>
      </c>
      <c r="AD60" s="110">
        <f t="shared" si="146"/>
        <v>1</v>
      </c>
    </row>
    <row r="61" spans="1:30" ht="15" customHeight="1" thickTop="1" x14ac:dyDescent="0.25">
      <c r="A61" s="33"/>
      <c r="B61" s="33"/>
      <c r="C61" s="33"/>
      <c r="D61" s="33"/>
      <c r="E61" s="33"/>
      <c r="F61" s="43">
        <f t="shared" ref="F61:J61" si="149">+F60-F35</f>
        <v>0</v>
      </c>
      <c r="G61" s="43">
        <f t="shared" si="149"/>
        <v>0</v>
      </c>
      <c r="H61" s="43">
        <f t="shared" si="149"/>
        <v>0</v>
      </c>
      <c r="I61" s="43">
        <f t="shared" si="149"/>
        <v>0</v>
      </c>
      <c r="J61" s="43">
        <f t="shared" si="149"/>
        <v>0</v>
      </c>
      <c r="K61" s="43">
        <f>+K60-K35</f>
        <v>0</v>
      </c>
      <c r="L61" s="43">
        <f>+L60-L35</f>
        <v>0</v>
      </c>
      <c r="M61" s="43">
        <f t="shared" ref="M61:N61" si="150">+M60-M35</f>
        <v>0</v>
      </c>
      <c r="N61" s="43">
        <f t="shared" si="150"/>
        <v>0</v>
      </c>
      <c r="O61" s="3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98" t="str">
        <f>+O1</f>
        <v>Exhibit 1</v>
      </c>
    </row>
    <row r="63" spans="1:3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16" t="s">
        <v>144</v>
      </c>
    </row>
    <row r="64" spans="1:30" ht="18.75" x14ac:dyDescent="0.3">
      <c r="A64" s="4" t="str">
        <f>A3</f>
        <v>Moon Lake Electric Association, Inc.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  <c r="P64" s="120" t="str">
        <f>+Q3</f>
        <v>Moon Lake Electric Association, Inc.</v>
      </c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</row>
    <row r="65" spans="1:30" x14ac:dyDescent="0.25">
      <c r="A65" s="6" t="s">
        <v>12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  <c r="P65" s="117" t="str">
        <f>+Q4</f>
        <v>Common Size</v>
      </c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</row>
    <row r="66" spans="1:30" x14ac:dyDescent="0.25">
      <c r="A66" s="15" t="str">
        <f>A5</f>
        <v>Years Ended December 31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  <c r="P66" s="117" t="s">
        <v>12</v>
      </c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</row>
    <row r="67" spans="1:30" ht="15" customHeight="1" x14ac:dyDescent="0.25">
      <c r="A67" s="2"/>
      <c r="B67" s="2"/>
      <c r="C67" s="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 t="str">
        <f>+O6</f>
        <v>2012 to 2016</v>
      </c>
    </row>
    <row r="68" spans="1:30" ht="15" customHeight="1" x14ac:dyDescent="0.25">
      <c r="A68" s="2"/>
      <c r="B68" s="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 t="s">
        <v>3</v>
      </c>
      <c r="Q68" s="2"/>
    </row>
    <row r="69" spans="1:30" ht="15" customHeight="1" x14ac:dyDescent="0.25">
      <c r="A69" s="71" t="s">
        <v>0</v>
      </c>
      <c r="B69" s="67">
        <f>B8</f>
        <v>2004</v>
      </c>
      <c r="C69" s="72">
        <v>2005</v>
      </c>
      <c r="D69" s="72">
        <v>2006</v>
      </c>
      <c r="E69" s="73">
        <v>2007</v>
      </c>
      <c r="F69" s="74">
        <f t="shared" ref="F69:N69" si="151">F8</f>
        <v>2008</v>
      </c>
      <c r="G69" s="74">
        <f t="shared" si="151"/>
        <v>2009</v>
      </c>
      <c r="H69" s="74">
        <f t="shared" si="151"/>
        <v>2010</v>
      </c>
      <c r="I69" s="74">
        <f t="shared" si="151"/>
        <v>2011</v>
      </c>
      <c r="J69" s="74">
        <f t="shared" si="151"/>
        <v>2012</v>
      </c>
      <c r="K69" s="74">
        <f t="shared" si="151"/>
        <v>2013</v>
      </c>
      <c r="L69" s="74">
        <f t="shared" si="151"/>
        <v>2014</v>
      </c>
      <c r="M69" s="74">
        <f t="shared" si="151"/>
        <v>2015</v>
      </c>
      <c r="N69" s="74">
        <f t="shared" si="151"/>
        <v>2016</v>
      </c>
      <c r="O69" s="11" t="s">
        <v>22</v>
      </c>
      <c r="Q69" s="29" t="str">
        <f t="shared" ref="Q69:R103" si="152">+A69</f>
        <v>Account Name</v>
      </c>
      <c r="R69" s="18">
        <f t="shared" si="152"/>
        <v>2004</v>
      </c>
      <c r="S69" s="18">
        <f t="shared" ref="S69" si="153">+C69</f>
        <v>2005</v>
      </c>
      <c r="T69" s="18">
        <f t="shared" ref="T69" si="154">+D69</f>
        <v>2006</v>
      </c>
      <c r="U69" s="18">
        <f t="shared" ref="U69" si="155">+E69</f>
        <v>2007</v>
      </c>
      <c r="V69" s="18">
        <f t="shared" ref="V69" si="156">+F69</f>
        <v>2008</v>
      </c>
      <c r="W69" s="18">
        <f t="shared" ref="W69" si="157">+G69</f>
        <v>2009</v>
      </c>
      <c r="X69" s="18">
        <f t="shared" ref="X69" si="158">+H69</f>
        <v>2010</v>
      </c>
      <c r="Y69" s="27">
        <f t="shared" ref="Y69" si="159">+I69</f>
        <v>2011</v>
      </c>
      <c r="Z69" s="27">
        <f t="shared" ref="Z69" si="160">+J69</f>
        <v>2012</v>
      </c>
      <c r="AA69" s="27">
        <f t="shared" ref="AA69" si="161">+K69</f>
        <v>2013</v>
      </c>
      <c r="AB69" s="27">
        <f t="shared" ref="AB69" si="162">+L69</f>
        <v>2014</v>
      </c>
      <c r="AC69" s="27">
        <f t="shared" ref="AC69" si="163">+M69</f>
        <v>2015</v>
      </c>
      <c r="AD69" s="27">
        <f t="shared" ref="AD69" si="164">+N69</f>
        <v>2016</v>
      </c>
    </row>
    <row r="70" spans="1:30" ht="15" customHeight="1" x14ac:dyDescent="0.25">
      <c r="A70" s="33" t="s">
        <v>20</v>
      </c>
      <c r="B70" s="33"/>
      <c r="C70" s="48"/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3"/>
      <c r="Q70" s="2" t="str">
        <f t="shared" si="152"/>
        <v>Operating Sales and Revenues:</v>
      </c>
      <c r="AD70" s="26"/>
    </row>
    <row r="71" spans="1:30" ht="15" customHeight="1" x14ac:dyDescent="0.25">
      <c r="A71" s="33" t="s">
        <v>85</v>
      </c>
      <c r="B71" s="33">
        <v>44274501</v>
      </c>
      <c r="C71" s="33">
        <v>48531620</v>
      </c>
      <c r="D71" s="75">
        <v>52553282</v>
      </c>
      <c r="E71" s="75">
        <v>58939797</v>
      </c>
      <c r="F71" s="64">
        <v>60671900</v>
      </c>
      <c r="G71" s="64">
        <v>58345815</v>
      </c>
      <c r="H71" s="64">
        <v>60936786</v>
      </c>
      <c r="I71" s="64">
        <v>62983833</v>
      </c>
      <c r="J71" s="64">
        <v>65559618</v>
      </c>
      <c r="K71" s="64">
        <v>68812382</v>
      </c>
      <c r="L71" s="64">
        <v>73568892</v>
      </c>
      <c r="M71" s="64">
        <v>74159683</v>
      </c>
      <c r="N71" s="64">
        <v>76094320</v>
      </c>
      <c r="O71" s="34">
        <f>RATE(5,,-I71,N71)</f>
        <v>3.8543353579006796E-2</v>
      </c>
      <c r="P71" s="51"/>
      <c r="Q71" s="33" t="str">
        <f t="shared" si="152"/>
        <v>Operating Revenues</v>
      </c>
      <c r="R71" s="76">
        <f>+B71/B$73</f>
        <v>1</v>
      </c>
      <c r="S71" s="76">
        <f t="shared" ref="S71:AD71" si="165">+C71/C$73</f>
        <v>1</v>
      </c>
      <c r="T71" s="76">
        <f t="shared" si="165"/>
        <v>1</v>
      </c>
      <c r="U71" s="76">
        <f t="shared" si="165"/>
        <v>1</v>
      </c>
      <c r="V71" s="76">
        <f t="shared" si="165"/>
        <v>1</v>
      </c>
      <c r="W71" s="76">
        <f t="shared" si="165"/>
        <v>1</v>
      </c>
      <c r="X71" s="76">
        <f t="shared" si="165"/>
        <v>1</v>
      </c>
      <c r="Y71" s="76">
        <f t="shared" si="165"/>
        <v>1</v>
      </c>
      <c r="Z71" s="76">
        <f t="shared" si="165"/>
        <v>1</v>
      </c>
      <c r="AA71" s="76">
        <f t="shared" si="165"/>
        <v>1</v>
      </c>
      <c r="AB71" s="76">
        <f t="shared" si="165"/>
        <v>1</v>
      </c>
      <c r="AC71" s="76">
        <f t="shared" si="165"/>
        <v>1</v>
      </c>
      <c r="AD71" s="76">
        <f t="shared" si="165"/>
        <v>1</v>
      </c>
    </row>
    <row r="72" spans="1:30" ht="15" customHeight="1" x14ac:dyDescent="0.25">
      <c r="A72" s="33"/>
      <c r="B72" s="77"/>
      <c r="C72" s="77"/>
      <c r="D72" s="75"/>
      <c r="E72" s="75"/>
      <c r="F72" s="64"/>
      <c r="G72" s="64"/>
      <c r="H72" s="64"/>
      <c r="I72" s="64"/>
      <c r="J72" s="64"/>
      <c r="K72" s="64"/>
      <c r="L72" s="64"/>
      <c r="M72" s="64"/>
      <c r="N72" s="64"/>
      <c r="O72" s="41"/>
      <c r="P72" s="51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</row>
    <row r="73" spans="1:30" ht="15" customHeight="1" x14ac:dyDescent="0.25">
      <c r="A73" s="33" t="s">
        <v>48</v>
      </c>
      <c r="B73" s="78">
        <f>SUM(B70:B72)</f>
        <v>44274501</v>
      </c>
      <c r="C73" s="78">
        <f>SUM(C70:C72)</f>
        <v>48531620</v>
      </c>
      <c r="D73" s="79">
        <f>SUM(D70:D72)</f>
        <v>52553282</v>
      </c>
      <c r="E73" s="79">
        <f>SUM(E70:E72)</f>
        <v>58939797</v>
      </c>
      <c r="F73" s="80">
        <f>SUM(F70:F72)</f>
        <v>60671900</v>
      </c>
      <c r="G73" s="80">
        <f t="shared" ref="G73:L73" si="166">SUM(G70:G72)</f>
        <v>58345815</v>
      </c>
      <c r="H73" s="80">
        <f t="shared" si="166"/>
        <v>60936786</v>
      </c>
      <c r="I73" s="80">
        <f t="shared" si="166"/>
        <v>62983833</v>
      </c>
      <c r="J73" s="80">
        <f t="shared" si="166"/>
        <v>65559618</v>
      </c>
      <c r="K73" s="80">
        <f t="shared" si="166"/>
        <v>68812382</v>
      </c>
      <c r="L73" s="80">
        <f t="shared" si="166"/>
        <v>73568892</v>
      </c>
      <c r="M73" s="80">
        <f t="shared" ref="M73:N73" si="167">SUM(M70:M72)</f>
        <v>74159683</v>
      </c>
      <c r="N73" s="80">
        <f t="shared" si="167"/>
        <v>76094320</v>
      </c>
      <c r="O73" s="34">
        <f>RATE(5,,-I73,N73)</f>
        <v>3.8543353579006796E-2</v>
      </c>
      <c r="P73" s="51"/>
      <c r="Q73" s="33" t="str">
        <f t="shared" si="152"/>
        <v>Total Revenues</v>
      </c>
      <c r="R73" s="76">
        <f>+B73/B$73</f>
        <v>1</v>
      </c>
      <c r="S73" s="76">
        <f t="shared" ref="S73:AD73" si="168">+C73/C$73</f>
        <v>1</v>
      </c>
      <c r="T73" s="76">
        <f t="shared" si="168"/>
        <v>1</v>
      </c>
      <c r="U73" s="76">
        <f t="shared" si="168"/>
        <v>1</v>
      </c>
      <c r="V73" s="76">
        <f t="shared" si="168"/>
        <v>1</v>
      </c>
      <c r="W73" s="76">
        <f t="shared" si="168"/>
        <v>1</v>
      </c>
      <c r="X73" s="76">
        <f t="shared" si="168"/>
        <v>1</v>
      </c>
      <c r="Y73" s="76">
        <f t="shared" si="168"/>
        <v>1</v>
      </c>
      <c r="Z73" s="76">
        <f t="shared" si="168"/>
        <v>1</v>
      </c>
      <c r="AA73" s="76">
        <f t="shared" si="168"/>
        <v>1</v>
      </c>
      <c r="AB73" s="76">
        <f t="shared" si="168"/>
        <v>1</v>
      </c>
      <c r="AC73" s="76">
        <f t="shared" si="168"/>
        <v>1</v>
      </c>
      <c r="AD73" s="76">
        <f t="shared" si="168"/>
        <v>1</v>
      </c>
    </row>
    <row r="74" spans="1:30" ht="15" customHeight="1" x14ac:dyDescent="0.25">
      <c r="A74" s="33"/>
      <c r="B74" s="77"/>
      <c r="C74" s="77"/>
      <c r="D74" s="75"/>
      <c r="E74" s="75"/>
      <c r="F74" s="64"/>
      <c r="G74" s="64"/>
      <c r="H74" s="64"/>
      <c r="I74" s="64"/>
      <c r="J74" s="64"/>
      <c r="K74" s="64"/>
      <c r="L74" s="64"/>
      <c r="M74" s="64"/>
      <c r="N74" s="64"/>
      <c r="O74" s="34"/>
      <c r="P74" s="51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ht="15" customHeight="1" x14ac:dyDescent="0.25">
      <c r="A75" s="33" t="s">
        <v>19</v>
      </c>
      <c r="B75" s="77"/>
      <c r="C75" s="77"/>
      <c r="D75" s="75"/>
      <c r="E75" s="75"/>
      <c r="F75" s="64"/>
      <c r="G75" s="64"/>
      <c r="H75" s="64"/>
      <c r="I75" s="64"/>
      <c r="J75" s="64"/>
      <c r="K75" s="64"/>
      <c r="L75" s="64"/>
      <c r="M75" s="64"/>
      <c r="N75" s="64"/>
      <c r="O75" s="34"/>
      <c r="P75" s="51"/>
      <c r="Q75" s="33" t="str">
        <f t="shared" si="152"/>
        <v>Operating Expenses: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ht="15" customHeight="1" x14ac:dyDescent="0.25">
      <c r="A76" s="81" t="s">
        <v>89</v>
      </c>
      <c r="B76" s="77">
        <v>29211302</v>
      </c>
      <c r="C76" s="77">
        <v>32969394</v>
      </c>
      <c r="D76" s="75">
        <v>35853385</v>
      </c>
      <c r="E76" s="75">
        <v>42119081</v>
      </c>
      <c r="F76" s="64">
        <v>42985444</v>
      </c>
      <c r="G76" s="64">
        <v>40014539</v>
      </c>
      <c r="H76" s="64">
        <v>43201550</v>
      </c>
      <c r="I76" s="64">
        <v>44111503</v>
      </c>
      <c r="J76" s="64">
        <v>46939815</v>
      </c>
      <c r="K76" s="64">
        <v>49420925</v>
      </c>
      <c r="L76" s="64">
        <v>53063947</v>
      </c>
      <c r="M76" s="64">
        <v>55006168</v>
      </c>
      <c r="N76" s="64">
        <v>55986870</v>
      </c>
      <c r="O76" s="34">
        <f t="shared" ref="O76:O88" si="169">RATE(5,,-I76,N76)</f>
        <v>4.8834263634688173E-2</v>
      </c>
      <c r="P76" s="51"/>
      <c r="Q76" s="33" t="str">
        <f t="shared" si="152"/>
        <v>Cost of Purchased Power</v>
      </c>
      <c r="R76" s="76">
        <f t="shared" ref="R76:R88" si="170">+B76/B$73</f>
        <v>0.65977710285204572</v>
      </c>
      <c r="S76" s="76">
        <f t="shared" ref="S76:S88" si="171">+C76/C$73</f>
        <v>0.6793384189524273</v>
      </c>
      <c r="T76" s="76">
        <f t="shared" ref="T76:T88" si="172">+D76/D$73</f>
        <v>0.68222922785298168</v>
      </c>
      <c r="U76" s="76">
        <f t="shared" ref="U76:U88" si="173">+E76/E$73</f>
        <v>0.71461191154085579</v>
      </c>
      <c r="V76" s="76">
        <f t="shared" ref="V76:V88" si="174">+F76/F$73</f>
        <v>0.70849015771716395</v>
      </c>
      <c r="W76" s="76">
        <f t="shared" ref="W76:W88" si="175">+G76/G$73</f>
        <v>0.68581678051801997</v>
      </c>
      <c r="X76" s="76">
        <f t="shared" ref="X76:X88" si="176">+H76/H$73</f>
        <v>0.70895681961303314</v>
      </c>
      <c r="Y76" s="76">
        <f t="shared" ref="Y76:Y88" si="177">+I76/I$73</f>
        <v>0.70036231361149459</v>
      </c>
      <c r="Z76" s="76">
        <f t="shared" ref="Z76:Z88" si="178">+J76/J$73</f>
        <v>0.71598670693901845</v>
      </c>
      <c r="AA76" s="76">
        <f t="shared" ref="AA76:AA88" si="179">+K76/K$73</f>
        <v>0.71819814346784272</v>
      </c>
      <c r="AB76" s="76">
        <f t="shared" ref="AB76:AB88" si="180">+L76/L$73</f>
        <v>0.72128240017533496</v>
      </c>
      <c r="AC76" s="76">
        <f t="shared" ref="AC76:AC88" si="181">+M76/M$73</f>
        <v>0.74172604001017639</v>
      </c>
      <c r="AD76" s="76">
        <f t="shared" ref="AD76:AD88" si="182">+N76/N$73</f>
        <v>0.73575622989994527</v>
      </c>
    </row>
    <row r="77" spans="1:30" ht="15" customHeight="1" x14ac:dyDescent="0.25">
      <c r="A77" s="81" t="s">
        <v>102</v>
      </c>
      <c r="B77" s="77"/>
      <c r="C77" s="77"/>
      <c r="D77" s="75"/>
      <c r="E77" s="75"/>
      <c r="F77" s="64">
        <v>398812</v>
      </c>
      <c r="G77" s="64">
        <v>369418</v>
      </c>
      <c r="H77" s="64">
        <v>319586</v>
      </c>
      <c r="I77" s="64">
        <v>359802</v>
      </c>
      <c r="J77" s="64">
        <v>369101</v>
      </c>
      <c r="K77" s="64">
        <v>459686</v>
      </c>
      <c r="L77" s="64">
        <v>543371</v>
      </c>
      <c r="M77" s="64">
        <v>564551</v>
      </c>
      <c r="N77" s="64">
        <v>476465</v>
      </c>
      <c r="O77" s="34">
        <f t="shared" si="169"/>
        <v>5.7775457155619159E-2</v>
      </c>
      <c r="P77" s="51"/>
      <c r="Q77" s="33" t="str">
        <f t="shared" si="152"/>
        <v>Power Production Expense</v>
      </c>
      <c r="R77" s="76">
        <f t="shared" si="170"/>
        <v>0</v>
      </c>
      <c r="S77" s="76">
        <f t="shared" si="171"/>
        <v>0</v>
      </c>
      <c r="T77" s="76">
        <f t="shared" si="172"/>
        <v>0</v>
      </c>
      <c r="U77" s="76">
        <f t="shared" si="173"/>
        <v>0</v>
      </c>
      <c r="V77" s="76">
        <f t="shared" si="174"/>
        <v>6.5732571421036759E-3</v>
      </c>
      <c r="W77" s="76">
        <f t="shared" si="175"/>
        <v>6.3315252345005381E-3</v>
      </c>
      <c r="X77" s="76">
        <f t="shared" si="176"/>
        <v>5.2445496551130873E-3</v>
      </c>
      <c r="Y77" s="76">
        <f t="shared" si="177"/>
        <v>5.7126088213780195E-3</v>
      </c>
      <c r="Z77" s="76">
        <f t="shared" si="178"/>
        <v>5.6300053487193897E-3</v>
      </c>
      <c r="AA77" s="76">
        <f t="shared" si="179"/>
        <v>6.6802803018793915E-3</v>
      </c>
      <c r="AB77" s="76">
        <f t="shared" si="180"/>
        <v>7.3858798906472588E-3</v>
      </c>
      <c r="AC77" s="76">
        <f t="shared" si="181"/>
        <v>7.6126404154127792E-3</v>
      </c>
      <c r="AD77" s="76">
        <f t="shared" si="182"/>
        <v>6.2615054579632226E-3</v>
      </c>
    </row>
    <row r="78" spans="1:30" ht="15" customHeight="1" x14ac:dyDescent="0.25">
      <c r="A78" s="81" t="s">
        <v>103</v>
      </c>
      <c r="B78" s="77"/>
      <c r="C78" s="77"/>
      <c r="D78" s="75"/>
      <c r="E78" s="75"/>
      <c r="F78" s="64">
        <v>478273</v>
      </c>
      <c r="G78" s="64">
        <v>545086</v>
      </c>
      <c r="H78" s="64">
        <v>1545894</v>
      </c>
      <c r="I78" s="64">
        <v>345034</v>
      </c>
      <c r="J78" s="64">
        <v>916624</v>
      </c>
      <c r="K78" s="64">
        <v>673476</v>
      </c>
      <c r="L78" s="64">
        <v>513736</v>
      </c>
      <c r="M78" s="64">
        <v>745309</v>
      </c>
      <c r="N78" s="64">
        <v>798697</v>
      </c>
      <c r="O78" s="34">
        <f t="shared" si="169"/>
        <v>0.18278016270166819</v>
      </c>
      <c r="P78" s="51"/>
      <c r="Q78" s="33" t="str">
        <f t="shared" si="152"/>
        <v>Transmission Expense</v>
      </c>
      <c r="R78" s="76">
        <f t="shared" si="170"/>
        <v>0</v>
      </c>
      <c r="S78" s="76">
        <f t="shared" si="171"/>
        <v>0</v>
      </c>
      <c r="T78" s="76">
        <f t="shared" si="172"/>
        <v>0</v>
      </c>
      <c r="U78" s="76">
        <f t="shared" si="173"/>
        <v>0</v>
      </c>
      <c r="V78" s="76">
        <f t="shared" si="174"/>
        <v>7.8829408671889298E-3</v>
      </c>
      <c r="W78" s="76">
        <f t="shared" si="175"/>
        <v>9.3423324363538333E-3</v>
      </c>
      <c r="X78" s="76">
        <f t="shared" si="176"/>
        <v>2.5368814167521077E-2</v>
      </c>
      <c r="Y78" s="76">
        <f t="shared" si="177"/>
        <v>5.4781359527610839E-3</v>
      </c>
      <c r="Z78" s="76">
        <f t="shared" si="178"/>
        <v>1.3981533571473831E-2</v>
      </c>
      <c r="AA78" s="76">
        <f t="shared" si="179"/>
        <v>9.7871339492360543E-3</v>
      </c>
      <c r="AB78" s="76">
        <f t="shared" si="180"/>
        <v>6.9830601771194269E-3</v>
      </c>
      <c r="AC78" s="76">
        <f t="shared" si="181"/>
        <v>1.0050056443741811E-2</v>
      </c>
      <c r="AD78" s="76">
        <f t="shared" si="182"/>
        <v>1.049614478452531E-2</v>
      </c>
    </row>
    <row r="79" spans="1:30" ht="15" customHeight="1" x14ac:dyDescent="0.25">
      <c r="A79" s="81" t="s">
        <v>104</v>
      </c>
      <c r="B79" s="77"/>
      <c r="C79" s="77"/>
      <c r="D79" s="75"/>
      <c r="E79" s="75"/>
      <c r="F79" s="64">
        <v>3547650</v>
      </c>
      <c r="G79" s="64">
        <v>3785859</v>
      </c>
      <c r="H79" s="64">
        <v>3980767</v>
      </c>
      <c r="I79" s="64">
        <v>4251052</v>
      </c>
      <c r="J79" s="64">
        <v>4112492</v>
      </c>
      <c r="K79" s="64">
        <v>4537983</v>
      </c>
      <c r="L79" s="64">
        <v>4725365</v>
      </c>
      <c r="M79" s="64">
        <v>4656797</v>
      </c>
      <c r="N79" s="64">
        <v>5126303</v>
      </c>
      <c r="O79" s="34">
        <f t="shared" si="169"/>
        <v>3.8153496500370712E-2</v>
      </c>
      <c r="P79" s="51"/>
      <c r="Q79" s="33" t="str">
        <f t="shared" si="152"/>
        <v>Distribution - Operation</v>
      </c>
      <c r="R79" s="76">
        <f t="shared" si="170"/>
        <v>0</v>
      </c>
      <c r="S79" s="76">
        <f t="shared" si="171"/>
        <v>0</v>
      </c>
      <c r="T79" s="76">
        <f t="shared" si="172"/>
        <v>0</v>
      </c>
      <c r="U79" s="76">
        <f t="shared" si="173"/>
        <v>0</v>
      </c>
      <c r="V79" s="76">
        <f t="shared" si="174"/>
        <v>5.8472703178901603E-2</v>
      </c>
      <c r="W79" s="76">
        <f t="shared" si="175"/>
        <v>6.4886556130889589E-2</v>
      </c>
      <c r="X79" s="76">
        <f t="shared" si="176"/>
        <v>6.5326172601226459E-2</v>
      </c>
      <c r="Y79" s="76">
        <f t="shared" si="177"/>
        <v>6.7494336205292549E-2</v>
      </c>
      <c r="Z79" s="76">
        <f t="shared" si="178"/>
        <v>6.272904152675203E-2</v>
      </c>
      <c r="AA79" s="76">
        <f t="shared" si="179"/>
        <v>6.594718665602943E-2</v>
      </c>
      <c r="AB79" s="76">
        <f t="shared" si="180"/>
        <v>6.4230476653094087E-2</v>
      </c>
      <c r="AC79" s="76">
        <f t="shared" si="181"/>
        <v>6.2794186970836968E-2</v>
      </c>
      <c r="AD79" s="76">
        <f t="shared" si="182"/>
        <v>6.7367748341794764E-2</v>
      </c>
    </row>
    <row r="80" spans="1:30" ht="15" customHeight="1" x14ac:dyDescent="0.25">
      <c r="A80" s="81" t="s">
        <v>105</v>
      </c>
      <c r="B80" s="77"/>
      <c r="C80" s="77"/>
      <c r="D80" s="75"/>
      <c r="E80" s="75"/>
      <c r="F80" s="64">
        <v>2452893</v>
      </c>
      <c r="G80" s="64">
        <v>2263030</v>
      </c>
      <c r="H80" s="64">
        <v>2331593</v>
      </c>
      <c r="I80" s="64">
        <v>2633012</v>
      </c>
      <c r="J80" s="64">
        <v>1765747</v>
      </c>
      <c r="K80" s="64">
        <v>1796129</v>
      </c>
      <c r="L80" s="64">
        <v>2180921</v>
      </c>
      <c r="M80" s="64">
        <v>2767840</v>
      </c>
      <c r="N80" s="64">
        <v>2932347</v>
      </c>
      <c r="O80" s="34">
        <f t="shared" si="169"/>
        <v>2.1768487899227768E-2</v>
      </c>
      <c r="P80" s="51"/>
      <c r="Q80" s="33" t="str">
        <f t="shared" si="152"/>
        <v>Distribution - Maintenance</v>
      </c>
      <c r="R80" s="76">
        <f t="shared" si="170"/>
        <v>0</v>
      </c>
      <c r="S80" s="76">
        <f t="shared" si="171"/>
        <v>0</v>
      </c>
      <c r="T80" s="76">
        <f t="shared" si="172"/>
        <v>0</v>
      </c>
      <c r="U80" s="76">
        <f t="shared" si="173"/>
        <v>0</v>
      </c>
      <c r="V80" s="76">
        <f t="shared" si="174"/>
        <v>4.0428814657197151E-2</v>
      </c>
      <c r="W80" s="76">
        <f t="shared" si="175"/>
        <v>3.8786500797015178E-2</v>
      </c>
      <c r="X80" s="76">
        <f t="shared" si="176"/>
        <v>3.8262487292979319E-2</v>
      </c>
      <c r="Y80" s="76">
        <f t="shared" si="177"/>
        <v>4.1804569118554596E-2</v>
      </c>
      <c r="Z80" s="76">
        <f t="shared" si="178"/>
        <v>2.6933454676322244E-2</v>
      </c>
      <c r="AA80" s="76">
        <f t="shared" si="179"/>
        <v>2.610182859241815E-2</v>
      </c>
      <c r="AB80" s="76">
        <f t="shared" si="180"/>
        <v>2.964460848479273E-2</v>
      </c>
      <c r="AC80" s="76">
        <f t="shared" si="181"/>
        <v>3.7322705384271938E-2</v>
      </c>
      <c r="AD80" s="76">
        <f t="shared" si="182"/>
        <v>3.8535688340470088E-2</v>
      </c>
    </row>
    <row r="81" spans="1:30" ht="15" customHeight="1" x14ac:dyDescent="0.25">
      <c r="A81" s="81" t="s">
        <v>106</v>
      </c>
      <c r="B81" s="77"/>
      <c r="C81" s="77"/>
      <c r="D81" s="75"/>
      <c r="E81" s="75"/>
      <c r="F81" s="64">
        <f>908697+61747</f>
        <v>970444</v>
      </c>
      <c r="G81" s="64">
        <f>939083+61692</f>
        <v>1000775</v>
      </c>
      <c r="H81" s="64">
        <f>1014679+58230</f>
        <v>1072909</v>
      </c>
      <c r="I81" s="64">
        <f>1031561+56031</f>
        <v>1087592</v>
      </c>
      <c r="J81" s="64">
        <f>1043084+69206</f>
        <v>1112290</v>
      </c>
      <c r="K81" s="64">
        <f>1138992+66642</f>
        <v>1205634</v>
      </c>
      <c r="L81" s="64">
        <f>1331973+74839</f>
        <v>1406812</v>
      </c>
      <c r="M81" s="64">
        <f>1301442+85023</f>
        <v>1386465</v>
      </c>
      <c r="N81" s="64">
        <f>1424738+50400+45798</f>
        <v>1520936</v>
      </c>
      <c r="O81" s="34">
        <f t="shared" si="169"/>
        <v>6.9372439574133471E-2</v>
      </c>
      <c r="P81" s="51"/>
      <c r="Q81" s="33" t="str">
        <f t="shared" si="152"/>
        <v>Customer Service &amp; Account Exp</v>
      </c>
      <c r="R81" s="76">
        <f t="shared" si="170"/>
        <v>0</v>
      </c>
      <c r="S81" s="76">
        <f t="shared" si="171"/>
        <v>0</v>
      </c>
      <c r="T81" s="76">
        <f t="shared" si="172"/>
        <v>0</v>
      </c>
      <c r="U81" s="76">
        <f t="shared" si="173"/>
        <v>0</v>
      </c>
      <c r="V81" s="76">
        <f t="shared" si="174"/>
        <v>1.5994949886191136E-2</v>
      </c>
      <c r="W81" s="76">
        <f t="shared" si="175"/>
        <v>1.7152472718051842E-2</v>
      </c>
      <c r="X81" s="76">
        <f t="shared" si="176"/>
        <v>1.7606918093776722E-2</v>
      </c>
      <c r="Y81" s="76">
        <f t="shared" si="177"/>
        <v>1.7267796324812432E-2</v>
      </c>
      <c r="Z81" s="76">
        <f t="shared" si="178"/>
        <v>1.6966084213608443E-2</v>
      </c>
      <c r="AA81" s="76">
        <f t="shared" si="179"/>
        <v>1.7520596801895334E-2</v>
      </c>
      <c r="AB81" s="76">
        <f t="shared" si="180"/>
        <v>1.9122375799814954E-2</v>
      </c>
      <c r="AC81" s="76">
        <f t="shared" si="181"/>
        <v>1.8695670530306879E-2</v>
      </c>
      <c r="AD81" s="76">
        <f t="shared" si="182"/>
        <v>1.9987510237294979E-2</v>
      </c>
    </row>
    <row r="82" spans="1:30" ht="15" customHeight="1" x14ac:dyDescent="0.25">
      <c r="A82" s="81" t="s">
        <v>92</v>
      </c>
      <c r="B82" s="77">
        <v>2421635</v>
      </c>
      <c r="C82" s="82">
        <v>2490158</v>
      </c>
      <c r="D82" s="83">
        <v>2437343</v>
      </c>
      <c r="E82" s="83">
        <v>2370223</v>
      </c>
      <c r="F82" s="84">
        <v>2363436</v>
      </c>
      <c r="G82" s="84">
        <v>3461528</v>
      </c>
      <c r="H82" s="84">
        <v>2328928</v>
      </c>
      <c r="I82" s="84">
        <v>2734518</v>
      </c>
      <c r="J82" s="84">
        <v>2487847</v>
      </c>
      <c r="K82" s="84">
        <v>3102671</v>
      </c>
      <c r="L82" s="84">
        <v>3077461</v>
      </c>
      <c r="M82" s="84">
        <v>3008308</v>
      </c>
      <c r="N82" s="84">
        <v>3283056</v>
      </c>
      <c r="O82" s="34">
        <f t="shared" si="169"/>
        <v>3.7240583565658174E-2</v>
      </c>
      <c r="P82" s="51"/>
      <c r="Q82" s="33" t="str">
        <f t="shared" si="152"/>
        <v>Administrative and General Expenses</v>
      </c>
      <c r="R82" s="76">
        <f t="shared" si="170"/>
        <v>5.469592983103299E-2</v>
      </c>
      <c r="S82" s="76">
        <f t="shared" si="171"/>
        <v>5.1310011905640072E-2</v>
      </c>
      <c r="T82" s="76">
        <f t="shared" si="172"/>
        <v>4.6378511621786057E-2</v>
      </c>
      <c r="U82" s="76">
        <f t="shared" si="173"/>
        <v>4.0214305454767688E-2</v>
      </c>
      <c r="V82" s="76">
        <f t="shared" si="174"/>
        <v>3.8954375913726122E-2</v>
      </c>
      <c r="W82" s="76">
        <f t="shared" si="175"/>
        <v>5.9327785548972105E-2</v>
      </c>
      <c r="X82" s="76">
        <f t="shared" si="176"/>
        <v>3.821875344721988E-2</v>
      </c>
      <c r="Y82" s="76">
        <f t="shared" si="177"/>
        <v>4.3416189040130344E-2</v>
      </c>
      <c r="Z82" s="76">
        <f t="shared" si="178"/>
        <v>3.7947856865181859E-2</v>
      </c>
      <c r="AA82" s="76">
        <f t="shared" si="179"/>
        <v>4.5088847527469694E-2</v>
      </c>
      <c r="AB82" s="76">
        <f t="shared" si="180"/>
        <v>4.183100922601906E-2</v>
      </c>
      <c r="AC82" s="76">
        <f t="shared" si="181"/>
        <v>4.0565275879078391E-2</v>
      </c>
      <c r="AD82" s="76">
        <f t="shared" si="182"/>
        <v>4.3144560592696009E-2</v>
      </c>
    </row>
    <row r="83" spans="1:30" ht="15" customHeight="1" x14ac:dyDescent="0.25">
      <c r="A83" s="85" t="s">
        <v>74</v>
      </c>
      <c r="B83" s="77">
        <v>4902130</v>
      </c>
      <c r="C83" s="75">
        <v>6195765</v>
      </c>
      <c r="D83" s="75">
        <v>6018718</v>
      </c>
      <c r="E83" s="75">
        <v>6019333</v>
      </c>
      <c r="F83" s="64"/>
      <c r="G83" s="64"/>
      <c r="H83" s="64"/>
      <c r="I83" s="64"/>
      <c r="J83" s="64"/>
      <c r="K83" s="64"/>
      <c r="L83" s="64"/>
      <c r="M83" s="64"/>
      <c r="N83" s="64"/>
      <c r="O83" s="34"/>
      <c r="P83" s="51"/>
      <c r="Q83" s="33" t="str">
        <f t="shared" si="152"/>
        <v xml:space="preserve">   Operating and Maintenance</v>
      </c>
      <c r="R83" s="76">
        <f t="shared" si="170"/>
        <v>0.11072129305308263</v>
      </c>
      <c r="S83" s="76">
        <f t="shared" si="171"/>
        <v>0.12766449996929838</v>
      </c>
      <c r="T83" s="76">
        <f t="shared" si="172"/>
        <v>0.11452601571106444</v>
      </c>
      <c r="U83" s="76">
        <f t="shared" si="173"/>
        <v>0.1021268023709006</v>
      </c>
      <c r="V83" s="76">
        <f t="shared" si="174"/>
        <v>0</v>
      </c>
      <c r="W83" s="76">
        <f t="shared" si="175"/>
        <v>0</v>
      </c>
      <c r="X83" s="76">
        <f t="shared" si="176"/>
        <v>0</v>
      </c>
      <c r="Y83" s="76"/>
      <c r="Z83" s="76"/>
      <c r="AA83" s="76"/>
      <c r="AB83" s="76"/>
      <c r="AC83" s="76"/>
      <c r="AD83" s="76"/>
    </row>
    <row r="84" spans="1:30" ht="15" customHeight="1" x14ac:dyDescent="0.25">
      <c r="A84" s="86" t="s">
        <v>44</v>
      </c>
      <c r="B84" s="77">
        <v>2339072</v>
      </c>
      <c r="C84" s="75">
        <v>2406288</v>
      </c>
      <c r="D84" s="75">
        <v>2580043</v>
      </c>
      <c r="E84" s="75">
        <v>2749656</v>
      </c>
      <c r="F84" s="64">
        <v>2888901</v>
      </c>
      <c r="G84" s="64">
        <v>3089543</v>
      </c>
      <c r="H84" s="64">
        <v>3374466</v>
      </c>
      <c r="I84" s="64">
        <v>3764503</v>
      </c>
      <c r="J84" s="64">
        <v>3806269</v>
      </c>
      <c r="K84" s="64">
        <v>3910984</v>
      </c>
      <c r="L84" s="64">
        <v>3841667</v>
      </c>
      <c r="M84" s="64">
        <v>4085044</v>
      </c>
      <c r="N84" s="64">
        <v>4082336</v>
      </c>
      <c r="O84" s="34">
        <f t="shared" si="169"/>
        <v>1.634281163627354E-2</v>
      </c>
      <c r="P84" s="51"/>
      <c r="Q84" s="33" t="str">
        <f t="shared" si="152"/>
        <v xml:space="preserve">   Depreciation and amortization</v>
      </c>
      <c r="R84" s="76">
        <f t="shared" si="170"/>
        <v>5.283113185171754E-2</v>
      </c>
      <c r="S84" s="76">
        <f t="shared" si="171"/>
        <v>4.9581860238747437E-2</v>
      </c>
      <c r="T84" s="76">
        <f t="shared" si="172"/>
        <v>4.9093851074800618E-2</v>
      </c>
      <c r="U84" s="76">
        <f t="shared" si="173"/>
        <v>4.6651942150394581E-2</v>
      </c>
      <c r="V84" s="76">
        <f t="shared" si="174"/>
        <v>4.7615139792886001E-2</v>
      </c>
      <c r="W84" s="76">
        <f t="shared" si="175"/>
        <v>5.2952264014137086E-2</v>
      </c>
      <c r="X84" s="76">
        <f t="shared" si="176"/>
        <v>5.5376501149896548E-2</v>
      </c>
      <c r="Y84" s="76">
        <f t="shared" si="177"/>
        <v>5.9769353827671935E-2</v>
      </c>
      <c r="Z84" s="76">
        <f t="shared" si="178"/>
        <v>5.8058132675513761E-2</v>
      </c>
      <c r="AA84" s="76">
        <f t="shared" si="179"/>
        <v>5.6835468942202871E-2</v>
      </c>
      <c r="AB84" s="76">
        <f t="shared" si="180"/>
        <v>5.2218633386513419E-2</v>
      </c>
      <c r="AC84" s="76">
        <f t="shared" si="181"/>
        <v>5.5084431792946038E-2</v>
      </c>
      <c r="AD84" s="76">
        <f t="shared" si="182"/>
        <v>5.3648366921473248E-2</v>
      </c>
    </row>
    <row r="85" spans="1:30" ht="15" customHeight="1" x14ac:dyDescent="0.25">
      <c r="A85" s="85" t="s">
        <v>86</v>
      </c>
      <c r="B85" s="77">
        <v>45903</v>
      </c>
      <c r="C85" s="77">
        <v>62832</v>
      </c>
      <c r="D85" s="75">
        <v>929291</v>
      </c>
      <c r="E85" s="75">
        <v>943702</v>
      </c>
      <c r="F85" s="64">
        <v>61549</v>
      </c>
      <c r="G85" s="64">
        <v>60929</v>
      </c>
      <c r="H85" s="64">
        <v>58833</v>
      </c>
      <c r="I85" s="64">
        <f>68945</f>
        <v>68945</v>
      </c>
      <c r="J85" s="64">
        <v>77549</v>
      </c>
      <c r="K85" s="64">
        <v>64020</v>
      </c>
      <c r="L85" s="64">
        <v>54956</v>
      </c>
      <c r="M85" s="64">
        <v>64945</v>
      </c>
      <c r="N85" s="64">
        <v>152681</v>
      </c>
      <c r="O85" s="34">
        <f t="shared" si="169"/>
        <v>0.17234772219302327</v>
      </c>
      <c r="P85" s="51"/>
      <c r="Q85" s="33" t="str">
        <f t="shared" si="152"/>
        <v xml:space="preserve">   Other</v>
      </c>
      <c r="R85" s="76">
        <f t="shared" si="170"/>
        <v>1.036781871352994E-3</v>
      </c>
      <c r="S85" s="76">
        <f t="shared" si="171"/>
        <v>1.2946610889972353E-3</v>
      </c>
      <c r="T85" s="76">
        <f t="shared" si="172"/>
        <v>1.7682834727619865E-2</v>
      </c>
      <c r="U85" s="76">
        <f t="shared" si="173"/>
        <v>1.6011286906875501E-2</v>
      </c>
      <c r="V85" s="76">
        <f t="shared" si="174"/>
        <v>1.0144564452407127E-3</v>
      </c>
      <c r="W85" s="76">
        <f t="shared" si="175"/>
        <v>1.0442736981221361E-3</v>
      </c>
      <c r="X85" s="76">
        <f t="shared" si="176"/>
        <v>9.6547592779179395E-4</v>
      </c>
      <c r="Y85" s="76">
        <f t="shared" si="177"/>
        <v>1.094645986375583E-3</v>
      </c>
      <c r="Z85" s="76">
        <f t="shared" si="178"/>
        <v>1.1828775451376181E-3</v>
      </c>
      <c r="AA85" s="76">
        <f t="shared" si="179"/>
        <v>9.3035581881179463E-4</v>
      </c>
      <c r="AB85" s="76">
        <f t="shared" si="180"/>
        <v>7.470005121186275E-4</v>
      </c>
      <c r="AC85" s="76">
        <f t="shared" si="181"/>
        <v>8.7574538310796173E-4</v>
      </c>
      <c r="AD85" s="76">
        <f t="shared" si="182"/>
        <v>2.0064703909569073E-3</v>
      </c>
    </row>
    <row r="86" spans="1:30" ht="15" customHeight="1" x14ac:dyDescent="0.25">
      <c r="A86" s="86" t="s">
        <v>45</v>
      </c>
      <c r="B86" s="77">
        <v>448306</v>
      </c>
      <c r="C86" s="77">
        <v>469318</v>
      </c>
      <c r="D86" s="75">
        <v>454121</v>
      </c>
      <c r="E86" s="75">
        <v>447167</v>
      </c>
      <c r="F86" s="64">
        <v>403957</v>
      </c>
      <c r="G86" s="64">
        <v>413823</v>
      </c>
      <c r="H86" s="64">
        <v>506270</v>
      </c>
      <c r="I86" s="64">
        <v>527378</v>
      </c>
      <c r="J86" s="64">
        <v>599663</v>
      </c>
      <c r="K86" s="64">
        <v>580750</v>
      </c>
      <c r="L86" s="64">
        <v>571204</v>
      </c>
      <c r="M86" s="64">
        <v>634524</v>
      </c>
      <c r="N86" s="64">
        <f>660818+714</f>
        <v>661532</v>
      </c>
      <c r="O86" s="41">
        <f t="shared" si="169"/>
        <v>4.6371180386633251E-2</v>
      </c>
      <c r="P86" s="51"/>
      <c r="Q86" s="52" t="str">
        <f t="shared" si="152"/>
        <v xml:space="preserve">   Taxes, other than income taxes</v>
      </c>
      <c r="R86" s="87">
        <f t="shared" si="170"/>
        <v>1.0125602544905023E-2</v>
      </c>
      <c r="S86" s="87">
        <f t="shared" si="171"/>
        <v>9.6703551210530377E-3</v>
      </c>
      <c r="T86" s="87">
        <f t="shared" si="172"/>
        <v>8.6411539435348687E-3</v>
      </c>
      <c r="U86" s="87">
        <f t="shared" si="173"/>
        <v>7.586843232595457E-3</v>
      </c>
      <c r="V86" s="87">
        <f t="shared" si="174"/>
        <v>6.6580575192140019E-3</v>
      </c>
      <c r="W86" s="87">
        <f t="shared" si="175"/>
        <v>7.0925909596086713E-3</v>
      </c>
      <c r="X86" s="87">
        <f t="shared" si="176"/>
        <v>8.3081178583983735E-3</v>
      </c>
      <c r="Y86" s="87">
        <f t="shared" si="177"/>
        <v>8.373228094898575E-3</v>
      </c>
      <c r="Z86" s="87">
        <f t="shared" si="178"/>
        <v>9.1468348702092809E-3</v>
      </c>
      <c r="AA86" s="87">
        <f t="shared" si="179"/>
        <v>8.439614835597466E-3</v>
      </c>
      <c r="AB86" s="87">
        <f t="shared" si="180"/>
        <v>7.7642055557938811E-3</v>
      </c>
      <c r="AC86" s="87">
        <f t="shared" si="181"/>
        <v>8.5561854410839376E-3</v>
      </c>
      <c r="AD86" s="87">
        <f t="shared" si="182"/>
        <v>8.6935792316693277E-3</v>
      </c>
    </row>
    <row r="87" spans="1:30" ht="15" customHeight="1" x14ac:dyDescent="0.25">
      <c r="A87" s="33" t="s">
        <v>40</v>
      </c>
      <c r="B87" s="78">
        <f>SUM(B75:B86)</f>
        <v>39368348</v>
      </c>
      <c r="C87" s="78">
        <f>SUM(C75:C86)</f>
        <v>44593755</v>
      </c>
      <c r="D87" s="79">
        <f>SUM(D75:D86)</f>
        <v>48272901</v>
      </c>
      <c r="E87" s="79">
        <f>SUM(E75:E86)</f>
        <v>54649162</v>
      </c>
      <c r="F87" s="80">
        <f>SUM(F75:F86)</f>
        <v>56551359</v>
      </c>
      <c r="G87" s="80">
        <f t="shared" ref="G87:L87" si="183">SUM(G75:G86)</f>
        <v>55004530</v>
      </c>
      <c r="H87" s="80">
        <f t="shared" si="183"/>
        <v>58720796</v>
      </c>
      <c r="I87" s="80">
        <f t="shared" si="183"/>
        <v>59883339</v>
      </c>
      <c r="J87" s="80">
        <f t="shared" si="183"/>
        <v>62187397</v>
      </c>
      <c r="K87" s="80">
        <f t="shared" si="183"/>
        <v>65752258</v>
      </c>
      <c r="L87" s="80">
        <f t="shared" si="183"/>
        <v>69979440</v>
      </c>
      <c r="M87" s="80">
        <f t="shared" ref="M87:N87" si="184">SUM(M75:M86)</f>
        <v>72919951</v>
      </c>
      <c r="N87" s="80">
        <f t="shared" si="184"/>
        <v>75021223</v>
      </c>
      <c r="O87" s="55">
        <f t="shared" si="169"/>
        <v>4.6105839447445285E-2</v>
      </c>
      <c r="P87" s="51"/>
      <c r="Q87" s="54" t="str">
        <f t="shared" si="152"/>
        <v>Total Operating Expenses</v>
      </c>
      <c r="R87" s="88">
        <f t="shared" si="170"/>
        <v>0.88918784200413692</v>
      </c>
      <c r="S87" s="88">
        <f t="shared" si="171"/>
        <v>0.91885980727616345</v>
      </c>
      <c r="T87" s="88">
        <f t="shared" si="172"/>
        <v>0.91855159493178751</v>
      </c>
      <c r="U87" s="88">
        <f t="shared" si="173"/>
        <v>0.9272030916563897</v>
      </c>
      <c r="V87" s="88">
        <f t="shared" si="174"/>
        <v>0.93208485311981326</v>
      </c>
      <c r="W87" s="88">
        <f t="shared" si="175"/>
        <v>0.94273308205567097</v>
      </c>
      <c r="X87" s="88">
        <f t="shared" si="176"/>
        <v>0.96363460980695637</v>
      </c>
      <c r="Y87" s="88">
        <f t="shared" si="177"/>
        <v>0.95077317698336972</v>
      </c>
      <c r="Z87" s="88">
        <f t="shared" si="178"/>
        <v>0.94856252823193687</v>
      </c>
      <c r="AA87" s="88">
        <f t="shared" si="179"/>
        <v>0.95552945689338298</v>
      </c>
      <c r="AB87" s="88">
        <f t="shared" si="180"/>
        <v>0.95120964986124845</v>
      </c>
      <c r="AC87" s="88">
        <f t="shared" si="181"/>
        <v>0.98328293825096313</v>
      </c>
      <c r="AD87" s="88">
        <f t="shared" si="182"/>
        <v>0.98589780419878903</v>
      </c>
    </row>
    <row r="88" spans="1:30" ht="15" customHeight="1" x14ac:dyDescent="0.25">
      <c r="A88" s="33" t="s">
        <v>11</v>
      </c>
      <c r="B88" s="78">
        <f>B73-B87</f>
        <v>4906153</v>
      </c>
      <c r="C88" s="78">
        <f>C73-C87</f>
        <v>3937865</v>
      </c>
      <c r="D88" s="79">
        <f>D73-D87</f>
        <v>4280381</v>
      </c>
      <c r="E88" s="79">
        <f>E73-E87</f>
        <v>4290635</v>
      </c>
      <c r="F88" s="80">
        <f>F73-F87</f>
        <v>4120541</v>
      </c>
      <c r="G88" s="80">
        <f t="shared" ref="G88:L88" si="185">G73-G87</f>
        <v>3341285</v>
      </c>
      <c r="H88" s="80">
        <f t="shared" si="185"/>
        <v>2215990</v>
      </c>
      <c r="I88" s="80">
        <f t="shared" si="185"/>
        <v>3100494</v>
      </c>
      <c r="J88" s="80">
        <f t="shared" si="185"/>
        <v>3372221</v>
      </c>
      <c r="K88" s="80">
        <f t="shared" si="185"/>
        <v>3060124</v>
      </c>
      <c r="L88" s="80">
        <f t="shared" si="185"/>
        <v>3589452</v>
      </c>
      <c r="M88" s="80">
        <f t="shared" ref="M88:N88" si="186">M73-M87</f>
        <v>1239732</v>
      </c>
      <c r="N88" s="80">
        <f t="shared" si="186"/>
        <v>1073097</v>
      </c>
      <c r="O88" s="34">
        <f t="shared" si="169"/>
        <v>-0.19119911629599373</v>
      </c>
      <c r="P88" s="51"/>
      <c r="Q88" s="33" t="str">
        <f t="shared" si="152"/>
        <v>Earnings From Operations</v>
      </c>
      <c r="R88" s="76">
        <f t="shared" si="170"/>
        <v>0.11081215799586312</v>
      </c>
      <c r="S88" s="76">
        <f t="shared" si="171"/>
        <v>8.1140192723836546E-2</v>
      </c>
      <c r="T88" s="76">
        <f t="shared" si="172"/>
        <v>8.1448405068212479E-2</v>
      </c>
      <c r="U88" s="76">
        <f t="shared" si="173"/>
        <v>7.2796908343610342E-2</v>
      </c>
      <c r="V88" s="76">
        <f t="shared" si="174"/>
        <v>6.7915146880186711E-2</v>
      </c>
      <c r="W88" s="76">
        <f t="shared" si="175"/>
        <v>5.7266917944328997E-2</v>
      </c>
      <c r="X88" s="76">
        <f t="shared" si="176"/>
        <v>3.6365390193043655E-2</v>
      </c>
      <c r="Y88" s="76">
        <f t="shared" si="177"/>
        <v>4.9226823016630318E-2</v>
      </c>
      <c r="Z88" s="76">
        <f t="shared" si="178"/>
        <v>5.1437471768063077E-2</v>
      </c>
      <c r="AA88" s="76">
        <f t="shared" si="179"/>
        <v>4.4470543106617064E-2</v>
      </c>
      <c r="AB88" s="76">
        <f t="shared" si="180"/>
        <v>4.8790350138751583E-2</v>
      </c>
      <c r="AC88" s="76">
        <f t="shared" si="181"/>
        <v>1.6717061749036873E-2</v>
      </c>
      <c r="AD88" s="76">
        <f t="shared" si="182"/>
        <v>1.4102195801210918E-2</v>
      </c>
    </row>
    <row r="89" spans="1:30" ht="15" customHeight="1" x14ac:dyDescent="0.25">
      <c r="A89" s="33"/>
      <c r="B89" s="77"/>
      <c r="C89" s="77"/>
      <c r="D89" s="75"/>
      <c r="E89" s="75"/>
      <c r="F89" s="64"/>
      <c r="G89" s="64"/>
      <c r="H89" s="64"/>
      <c r="I89" s="64"/>
      <c r="J89" s="64"/>
      <c r="K89" s="64"/>
      <c r="L89" s="64"/>
      <c r="M89" s="64"/>
      <c r="N89" s="64"/>
      <c r="O89" s="34"/>
      <c r="P89" s="51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ht="15" customHeight="1" x14ac:dyDescent="0.25">
      <c r="A90" s="86" t="s">
        <v>46</v>
      </c>
      <c r="B90" s="77">
        <v>125830</v>
      </c>
      <c r="C90" s="77">
        <v>170790</v>
      </c>
      <c r="D90" s="75">
        <v>167776</v>
      </c>
      <c r="E90" s="75">
        <v>156493</v>
      </c>
      <c r="F90" s="64">
        <v>144230</v>
      </c>
      <c r="G90" s="64">
        <v>516804</v>
      </c>
      <c r="H90" s="64">
        <v>796055</v>
      </c>
      <c r="I90" s="64">
        <v>768571</v>
      </c>
      <c r="J90" s="64">
        <v>747959</v>
      </c>
      <c r="K90" s="64">
        <v>723783</v>
      </c>
      <c r="L90" s="64">
        <v>684527</v>
      </c>
      <c r="M90" s="64">
        <v>660524</v>
      </c>
      <c r="N90" s="64">
        <f>636509+1510</f>
        <v>638019</v>
      </c>
      <c r="O90" s="34">
        <f t="shared" ref="O90:O94" si="187">RATE(5,,-I90,N90)</f>
        <v>-3.6548352491922023E-2</v>
      </c>
      <c r="P90" s="51"/>
      <c r="Q90" s="33" t="str">
        <f t="shared" si="152"/>
        <v xml:space="preserve">   Interest expense (net)</v>
      </c>
      <c r="R90" s="76">
        <f t="shared" ref="R90:R94" si="188">+B90/B$73</f>
        <v>2.842042194896787E-3</v>
      </c>
      <c r="S90" s="76">
        <f t="shared" ref="S90:S94" si="189">+C90/C$73</f>
        <v>3.5191489589673701E-3</v>
      </c>
      <c r="T90" s="76">
        <f t="shared" ref="T90:T94" si="190">+D90/D$73</f>
        <v>3.192493287098606E-3</v>
      </c>
      <c r="U90" s="76">
        <f t="shared" ref="U90:U94" si="191">+E90/E$73</f>
        <v>2.6551329995249222E-3</v>
      </c>
      <c r="V90" s="76">
        <f t="shared" ref="V90:V94" si="192">+F90/F$73</f>
        <v>2.3772125151841298E-3</v>
      </c>
      <c r="W90" s="76">
        <f t="shared" ref="W90:W94" si="193">+G90/G$73</f>
        <v>8.8576018691314887E-3</v>
      </c>
      <c r="X90" s="76">
        <f t="shared" ref="X90:X94" si="194">+H90/H$73</f>
        <v>1.3063619732094174E-2</v>
      </c>
      <c r="Y90" s="76">
        <f t="shared" ref="Y90:Y94" si="195">+I90/I$73</f>
        <v>1.2202671120381004E-2</v>
      </c>
      <c r="Z90" s="76">
        <f t="shared" ref="Z90:Z94" si="196">+J90/J$73</f>
        <v>1.1408837067964611E-2</v>
      </c>
      <c r="AA90" s="76">
        <f t="shared" ref="AA90:AA94" si="197">+K90/K$73</f>
        <v>1.0518208772368903E-2</v>
      </c>
      <c r="AB90" s="76">
        <f t="shared" ref="AB90:AB94" si="198">+L90/L$73</f>
        <v>9.3045712853742583E-3</v>
      </c>
      <c r="AC90" s="76">
        <f t="shared" ref="AC90:AC94" si="199">+M90/M$73</f>
        <v>8.9067802514743756E-3</v>
      </c>
      <c r="AD90" s="76">
        <f t="shared" ref="AD90:AD94" si="200">+N90/N$73</f>
        <v>8.3845811356222117E-3</v>
      </c>
    </row>
    <row r="91" spans="1:30" ht="15" customHeight="1" x14ac:dyDescent="0.25">
      <c r="A91" s="85" t="s">
        <v>78</v>
      </c>
      <c r="B91" s="77">
        <v>-354770</v>
      </c>
      <c r="C91" s="77">
        <v>-419212</v>
      </c>
      <c r="D91" s="75">
        <v>-613464</v>
      </c>
      <c r="E91" s="75">
        <v>-652959</v>
      </c>
      <c r="F91" s="64">
        <v>-465656</v>
      </c>
      <c r="G91" s="64">
        <v>-272005</v>
      </c>
      <c r="H91" s="64">
        <v>-143442</v>
      </c>
      <c r="I91" s="64">
        <f>-168961</f>
        <v>-168961</v>
      </c>
      <c r="J91" s="64">
        <v>-149283</v>
      </c>
      <c r="K91" s="64">
        <v>-157697</v>
      </c>
      <c r="L91" s="64">
        <v>-172051</v>
      </c>
      <c r="M91" s="64">
        <v>-201406</v>
      </c>
      <c r="N91" s="64">
        <v>-245353</v>
      </c>
      <c r="O91" s="34">
        <f t="shared" si="187"/>
        <v>7.7459563444780472E-2</v>
      </c>
      <c r="P91" s="51"/>
      <c r="Q91" s="33" t="str">
        <f t="shared" si="152"/>
        <v xml:space="preserve">   Interest and Other Income</v>
      </c>
      <c r="R91" s="76">
        <f t="shared" si="188"/>
        <v>-8.0129643923033712E-3</v>
      </c>
      <c r="S91" s="76">
        <f t="shared" si="189"/>
        <v>-8.6379148274877294E-3</v>
      </c>
      <c r="T91" s="76">
        <f t="shared" si="190"/>
        <v>-1.167318151509548E-2</v>
      </c>
      <c r="U91" s="76">
        <f t="shared" si="191"/>
        <v>-1.1078405987723371E-2</v>
      </c>
      <c r="V91" s="76">
        <f t="shared" si="192"/>
        <v>-7.6749862786561814E-3</v>
      </c>
      <c r="W91" s="76">
        <f t="shared" si="193"/>
        <v>-4.6619453340398104E-3</v>
      </c>
      <c r="X91" s="76">
        <f t="shared" si="194"/>
        <v>-2.3539475810227342E-3</v>
      </c>
      <c r="Y91" s="76">
        <f t="shared" si="195"/>
        <v>-2.6826090434985119E-3</v>
      </c>
      <c r="Z91" s="76">
        <f t="shared" si="196"/>
        <v>-2.2770571970080729E-3</v>
      </c>
      <c r="AA91" s="76">
        <f t="shared" si="197"/>
        <v>-2.2916951196370445E-3</v>
      </c>
      <c r="AB91" s="76">
        <f t="shared" si="198"/>
        <v>-2.3386379123393622E-3</v>
      </c>
      <c r="AC91" s="76">
        <f t="shared" si="199"/>
        <v>-2.7158422454421766E-3</v>
      </c>
      <c r="AD91" s="76">
        <f t="shared" si="200"/>
        <v>-3.2243273873792419E-3</v>
      </c>
    </row>
    <row r="92" spans="1:30" ht="15" customHeight="1" x14ac:dyDescent="0.25">
      <c r="A92" s="86" t="s">
        <v>49</v>
      </c>
      <c r="B92" s="77"/>
      <c r="C92" s="77"/>
      <c r="D92" s="75"/>
      <c r="E92" s="75"/>
      <c r="F92" s="64"/>
      <c r="G92" s="64"/>
      <c r="H92" s="64"/>
      <c r="I92" s="64"/>
      <c r="J92" s="64"/>
      <c r="K92" s="64"/>
      <c r="L92" s="64" t="s">
        <v>99</v>
      </c>
      <c r="M92" s="64" t="s">
        <v>99</v>
      </c>
      <c r="N92" s="64" t="s">
        <v>99</v>
      </c>
      <c r="O92" s="34"/>
      <c r="P92" s="51"/>
      <c r="Q92" s="33" t="str">
        <f t="shared" si="152"/>
        <v xml:space="preserve">   Loss (Gain) on Sale of Assets</v>
      </c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</row>
    <row r="93" spans="1:30" ht="15" customHeight="1" x14ac:dyDescent="0.25">
      <c r="A93" s="38" t="s">
        <v>90</v>
      </c>
      <c r="B93" s="77">
        <v>-18607</v>
      </c>
      <c r="C93" s="77">
        <v>36410</v>
      </c>
      <c r="D93" s="75">
        <v>10434</v>
      </c>
      <c r="E93" s="75">
        <v>-21060</v>
      </c>
      <c r="F93" s="64">
        <v>-45641</v>
      </c>
      <c r="G93" s="64">
        <v>57125</v>
      </c>
      <c r="H93" s="64">
        <v>-623235</v>
      </c>
      <c r="I93" s="64">
        <v>-228</v>
      </c>
      <c r="J93" s="64">
        <v>2260</v>
      </c>
      <c r="K93" s="64">
        <v>-11359</v>
      </c>
      <c r="L93" s="64">
        <v>7795</v>
      </c>
      <c r="M93" s="64">
        <v>-37551</v>
      </c>
      <c r="N93" s="64">
        <v>-85852</v>
      </c>
      <c r="O93" s="41"/>
      <c r="P93" s="51"/>
      <c r="Q93" s="52" t="str">
        <f t="shared" si="152"/>
        <v xml:space="preserve">   Other (Income) Expense</v>
      </c>
      <c r="R93" s="87">
        <f t="shared" si="188"/>
        <v>-4.2026447683735611E-4</v>
      </c>
      <c r="S93" s="87">
        <f t="shared" si="189"/>
        <v>7.5023252881317379E-4</v>
      </c>
      <c r="T93" s="87">
        <f t="shared" si="190"/>
        <v>1.9854135846358748E-4</v>
      </c>
      <c r="U93" s="87">
        <f t="shared" si="191"/>
        <v>-3.5731375186107275E-4</v>
      </c>
      <c r="V93" s="87">
        <f t="shared" si="192"/>
        <v>-7.5225928312777418E-4</v>
      </c>
      <c r="W93" s="87">
        <f t="shared" si="193"/>
        <v>9.7907621994825162E-4</v>
      </c>
      <c r="X93" s="87">
        <f t="shared" si="194"/>
        <v>-1.0227565989450117E-2</v>
      </c>
      <c r="Y93" s="87">
        <f t="shared" si="195"/>
        <v>-3.6199765739884393E-6</v>
      </c>
      <c r="Z93" s="87">
        <f t="shared" si="196"/>
        <v>3.447244003160604E-5</v>
      </c>
      <c r="AA93" s="87">
        <f t="shared" si="197"/>
        <v>-1.6507203601816894E-4</v>
      </c>
      <c r="AB93" s="87">
        <f t="shared" si="198"/>
        <v>1.0595510939596589E-4</v>
      </c>
      <c r="AC93" s="87">
        <f t="shared" si="199"/>
        <v>-5.0635329711428247E-4</v>
      </c>
      <c r="AD93" s="87">
        <f t="shared" si="200"/>
        <v>-1.1282313844187056E-3</v>
      </c>
    </row>
    <row r="94" spans="1:30" ht="15" customHeight="1" x14ac:dyDescent="0.25">
      <c r="A94" s="33" t="s">
        <v>47</v>
      </c>
      <c r="B94" s="78">
        <f>SUM(B90:B93)</f>
        <v>-247547</v>
      </c>
      <c r="C94" s="78">
        <f>SUM(C90:C93)</f>
        <v>-212012</v>
      </c>
      <c r="D94" s="79">
        <f>SUM(D90:D93)</f>
        <v>-435254</v>
      </c>
      <c r="E94" s="79">
        <f>SUM(E90:E93)</f>
        <v>-517526</v>
      </c>
      <c r="F94" s="80">
        <f>SUM(F90:F93)</f>
        <v>-367067</v>
      </c>
      <c r="G94" s="80">
        <f t="shared" ref="G94:L94" si="201">SUM(G90:G93)</f>
        <v>301924</v>
      </c>
      <c r="H94" s="80">
        <f t="shared" si="201"/>
        <v>29378</v>
      </c>
      <c r="I94" s="80">
        <f t="shared" si="201"/>
        <v>599382</v>
      </c>
      <c r="J94" s="80">
        <f t="shared" si="201"/>
        <v>600936</v>
      </c>
      <c r="K94" s="80">
        <f t="shared" si="201"/>
        <v>554727</v>
      </c>
      <c r="L94" s="80">
        <f t="shared" si="201"/>
        <v>520271</v>
      </c>
      <c r="M94" s="80">
        <f t="shared" ref="M94:N94" si="202">SUM(M90:M93)</f>
        <v>421567</v>
      </c>
      <c r="N94" s="80">
        <f t="shared" si="202"/>
        <v>306814</v>
      </c>
      <c r="O94" s="34">
        <f t="shared" si="187"/>
        <v>-0.12535001056341066</v>
      </c>
      <c r="P94" s="51"/>
      <c r="Q94" s="33" t="str">
        <f t="shared" si="152"/>
        <v>Total Other Income/Expense</v>
      </c>
      <c r="R94" s="76">
        <f t="shared" si="188"/>
        <v>-5.5911866742439399E-3</v>
      </c>
      <c r="S94" s="76">
        <f t="shared" si="189"/>
        <v>-4.3685333397071851E-3</v>
      </c>
      <c r="T94" s="76">
        <f t="shared" si="190"/>
        <v>-8.2821468695332863E-3</v>
      </c>
      <c r="U94" s="76">
        <f t="shared" si="191"/>
        <v>-8.7805867400595223E-3</v>
      </c>
      <c r="V94" s="76">
        <f t="shared" si="192"/>
        <v>-6.0500330465998262E-3</v>
      </c>
      <c r="W94" s="76">
        <f t="shared" si="193"/>
        <v>5.1747327550399286E-3</v>
      </c>
      <c r="X94" s="76">
        <f t="shared" si="194"/>
        <v>4.8210616162132347E-4</v>
      </c>
      <c r="Y94" s="76">
        <f t="shared" si="195"/>
        <v>9.5164421003085028E-3</v>
      </c>
      <c r="Z94" s="76">
        <f t="shared" si="196"/>
        <v>9.1662523109881447E-3</v>
      </c>
      <c r="AA94" s="76">
        <f t="shared" si="197"/>
        <v>8.0614416167136896E-3</v>
      </c>
      <c r="AB94" s="76">
        <f t="shared" si="198"/>
        <v>7.0718884824308619E-3</v>
      </c>
      <c r="AC94" s="76">
        <f t="shared" si="199"/>
        <v>5.6845847089179169E-3</v>
      </c>
      <c r="AD94" s="76">
        <f t="shared" si="200"/>
        <v>4.0320223638242647E-3</v>
      </c>
    </row>
    <row r="95" spans="1:30" ht="15" customHeight="1" x14ac:dyDescent="0.25">
      <c r="A95" s="33"/>
      <c r="B95" s="77"/>
      <c r="C95" s="77"/>
      <c r="D95" s="75"/>
      <c r="E95" s="75"/>
      <c r="F95" s="64"/>
      <c r="G95" s="64"/>
      <c r="H95" s="64"/>
      <c r="I95" s="89"/>
      <c r="J95" s="89"/>
      <c r="K95" s="89"/>
      <c r="L95" s="89"/>
      <c r="M95" s="89"/>
      <c r="N95" s="89"/>
      <c r="O95" s="41"/>
      <c r="P95" s="51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1:30" ht="15" customHeight="1" x14ac:dyDescent="0.25">
      <c r="A96" s="33" t="s">
        <v>10</v>
      </c>
      <c r="B96" s="77">
        <f>B88-B94</f>
        <v>5153700</v>
      </c>
      <c r="C96" s="77">
        <f>C88-C94</f>
        <v>4149877</v>
      </c>
      <c r="D96" s="75">
        <f>D88-D94</f>
        <v>4715635</v>
      </c>
      <c r="E96" s="90">
        <f>E88-E94</f>
        <v>4808161</v>
      </c>
      <c r="F96" s="89">
        <f>F88-F94</f>
        <v>4487608</v>
      </c>
      <c r="G96" s="89">
        <f t="shared" ref="G96:L96" si="203">G88-G94</f>
        <v>3039361</v>
      </c>
      <c r="H96" s="89">
        <f t="shared" si="203"/>
        <v>2186612</v>
      </c>
      <c r="I96" s="64">
        <f t="shared" si="203"/>
        <v>2501112</v>
      </c>
      <c r="J96" s="64">
        <f t="shared" si="203"/>
        <v>2771285</v>
      </c>
      <c r="K96" s="64">
        <f t="shared" si="203"/>
        <v>2505397</v>
      </c>
      <c r="L96" s="64">
        <f t="shared" si="203"/>
        <v>3069181</v>
      </c>
      <c r="M96" s="64">
        <f t="shared" ref="M96:N96" si="204">M88-M94</f>
        <v>818165</v>
      </c>
      <c r="N96" s="64">
        <f t="shared" si="204"/>
        <v>766283</v>
      </c>
      <c r="O96" s="34">
        <f>RATE(5,,-I96,N96)</f>
        <v>-0.21068344779752796</v>
      </c>
      <c r="P96" s="51"/>
      <c r="Q96" s="33" t="str">
        <f t="shared" si="152"/>
        <v>Earnings Before Taxes</v>
      </c>
      <c r="R96" s="76">
        <f t="shared" ref="R96:R100" si="205">+B96/B$73</f>
        <v>0.11640334467010707</v>
      </c>
      <c r="S96" s="76">
        <f t="shared" ref="S96:S100" si="206">+C96/C$73</f>
        <v>8.5508726063543733E-2</v>
      </c>
      <c r="T96" s="76">
        <f t="shared" ref="T96:T100" si="207">+D96/D$73</f>
        <v>8.9730551937745776E-2</v>
      </c>
      <c r="U96" s="76">
        <f t="shared" ref="U96:U100" si="208">+E96/E$73</f>
        <v>8.1577495083669863E-2</v>
      </c>
      <c r="V96" s="76">
        <f t="shared" ref="V96:V100" si="209">+F96/F$73</f>
        <v>7.3965179926786542E-2</v>
      </c>
      <c r="W96" s="76">
        <f t="shared" ref="W96:W100" si="210">+G96/G$73</f>
        <v>5.209218518928907E-2</v>
      </c>
      <c r="X96" s="76">
        <f t="shared" ref="X96:X100" si="211">+H96/H$73</f>
        <v>3.5883284031422331E-2</v>
      </c>
      <c r="Y96" s="76">
        <f t="shared" ref="Y96:Y100" si="212">+I96/I$73</f>
        <v>3.9710380916321814E-2</v>
      </c>
      <c r="Z96" s="76">
        <f t="shared" ref="Z96:Z100" si="213">+J96/J$73</f>
        <v>4.2271219457074932E-2</v>
      </c>
      <c r="AA96" s="76">
        <f t="shared" ref="AA96:AA100" si="214">+K96/K$73</f>
        <v>3.6409101489903374E-2</v>
      </c>
      <c r="AB96" s="76">
        <f t="shared" ref="AB96:AB100" si="215">+L96/L$73</f>
        <v>4.1718461656320718E-2</v>
      </c>
      <c r="AC96" s="76">
        <f t="shared" ref="AC96:AC100" si="216">+M96/M$73</f>
        <v>1.1032477040118956E-2</v>
      </c>
      <c r="AD96" s="76">
        <f t="shared" ref="AD96:AD100" si="217">+N96/N$73</f>
        <v>1.0070173437386655E-2</v>
      </c>
    </row>
    <row r="97" spans="1:30" ht="15" customHeight="1" x14ac:dyDescent="0.25">
      <c r="A97" s="33" t="s">
        <v>107</v>
      </c>
      <c r="B97" s="78">
        <v>70114</v>
      </c>
      <c r="C97" s="78">
        <v>129453</v>
      </c>
      <c r="D97" s="79">
        <v>218512</v>
      </c>
      <c r="E97" s="75">
        <v>618184</v>
      </c>
      <c r="F97" s="64">
        <v>-151400</v>
      </c>
      <c r="G97" s="64">
        <v>-621800</v>
      </c>
      <c r="H97" s="64">
        <v>-46800</v>
      </c>
      <c r="I97" s="64">
        <v>0</v>
      </c>
      <c r="J97" s="64">
        <v>-429400</v>
      </c>
      <c r="K97" s="64">
        <v>-137100</v>
      </c>
      <c r="L97" s="64">
        <v>-106200</v>
      </c>
      <c r="M97" s="64"/>
      <c r="N97" s="64"/>
      <c r="O97" s="34"/>
      <c r="P97" s="51"/>
      <c r="Q97" s="33" t="str">
        <f t="shared" si="152"/>
        <v>Post Retirement Health Benefit Loss</v>
      </c>
      <c r="R97" s="76">
        <f t="shared" si="205"/>
        <v>1.5836203326153805E-3</v>
      </c>
      <c r="S97" s="76">
        <f t="shared" si="206"/>
        <v>2.6673949890813455E-3</v>
      </c>
      <c r="T97" s="76">
        <f t="shared" si="207"/>
        <v>4.1579134867352338E-3</v>
      </c>
      <c r="U97" s="76">
        <f t="shared" si="208"/>
        <v>1.0488397169063884E-2</v>
      </c>
      <c r="V97" s="76">
        <f t="shared" si="209"/>
        <v>-2.4953891340142634E-3</v>
      </c>
      <c r="W97" s="76">
        <f t="shared" si="210"/>
        <v>-1.0657148246193836E-2</v>
      </c>
      <c r="X97" s="76">
        <f t="shared" si="211"/>
        <v>-7.6800899870236021E-4</v>
      </c>
      <c r="Y97" s="76">
        <f t="shared" si="212"/>
        <v>0</v>
      </c>
      <c r="Z97" s="76">
        <f t="shared" si="213"/>
        <v>-6.5497636060051481E-3</v>
      </c>
      <c r="AA97" s="76">
        <f t="shared" si="214"/>
        <v>-1.9923739887394102E-3</v>
      </c>
      <c r="AB97" s="76">
        <f t="shared" si="215"/>
        <v>-1.4435449156961614E-3</v>
      </c>
      <c r="AC97" s="76">
        <f t="shared" si="216"/>
        <v>0</v>
      </c>
      <c r="AD97" s="76">
        <f t="shared" si="217"/>
        <v>0</v>
      </c>
    </row>
    <row r="98" spans="1:30" ht="15" customHeight="1" x14ac:dyDescent="0.25">
      <c r="A98" s="33" t="s">
        <v>98</v>
      </c>
      <c r="B98" s="77"/>
      <c r="C98" s="77"/>
      <c r="D98" s="75"/>
      <c r="E98" s="75"/>
      <c r="F98" s="64">
        <v>724791</v>
      </c>
      <c r="G98" s="64">
        <v>789585</v>
      </c>
      <c r="H98" s="64">
        <v>1112171</v>
      </c>
      <c r="I98" s="64">
        <v>749755</v>
      </c>
      <c r="J98" s="64">
        <v>1346327</v>
      </c>
      <c r="K98" s="64">
        <v>387777</v>
      </c>
      <c r="L98" s="64">
        <v>911780</v>
      </c>
      <c r="M98" s="64">
        <v>929192</v>
      </c>
      <c r="N98" s="64">
        <f>721014+287504</f>
        <v>1008518</v>
      </c>
      <c r="O98" s="34">
        <f t="shared" ref="O98:O100" si="218">RATE(5,,-I98,N98)</f>
        <v>6.10915514580209E-2</v>
      </c>
      <c r="P98" s="51"/>
      <c r="Q98" s="33" t="str">
        <f t="shared" si="152"/>
        <v xml:space="preserve">Coop Capital Credits </v>
      </c>
      <c r="R98" s="76">
        <f t="shared" si="205"/>
        <v>0</v>
      </c>
      <c r="S98" s="76">
        <f t="shared" si="206"/>
        <v>0</v>
      </c>
      <c r="T98" s="76">
        <f t="shared" si="207"/>
        <v>0</v>
      </c>
      <c r="U98" s="76">
        <f t="shared" si="208"/>
        <v>0</v>
      </c>
      <c r="V98" s="76">
        <f t="shared" si="209"/>
        <v>1.1946073882637596E-2</v>
      </c>
      <c r="W98" s="76">
        <f t="shared" si="210"/>
        <v>1.3532847214491734E-2</v>
      </c>
      <c r="X98" s="76">
        <f t="shared" si="211"/>
        <v>1.8251225130252194E-2</v>
      </c>
      <c r="Y98" s="76">
        <f t="shared" si="212"/>
        <v>1.1903927790485536E-2</v>
      </c>
      <c r="Z98" s="76">
        <f t="shared" si="213"/>
        <v>2.0535918924969941E-2</v>
      </c>
      <c r="AA98" s="76">
        <f t="shared" si="214"/>
        <v>5.635279418172154E-3</v>
      </c>
      <c r="AB98" s="76">
        <f t="shared" si="215"/>
        <v>1.2393553514439227E-2</v>
      </c>
      <c r="AC98" s="76">
        <f t="shared" si="216"/>
        <v>1.2529611271396617E-2</v>
      </c>
      <c r="AD98" s="76">
        <f t="shared" si="217"/>
        <v>1.3253525361682712E-2</v>
      </c>
    </row>
    <row r="99" spans="1:30" ht="15" customHeight="1" x14ac:dyDescent="0.25">
      <c r="A99" s="33" t="s">
        <v>13</v>
      </c>
      <c r="B99" s="77"/>
      <c r="C99" s="77"/>
      <c r="D99" s="75"/>
      <c r="E99" s="75"/>
      <c r="F99" s="64"/>
      <c r="G99" s="64"/>
      <c r="H99" s="64"/>
      <c r="I99" s="64"/>
      <c r="J99" s="64"/>
      <c r="K99" s="64"/>
      <c r="L99" s="64"/>
      <c r="M99" s="64"/>
      <c r="N99" s="64"/>
      <c r="O99" s="41"/>
      <c r="P99" s="51"/>
      <c r="Q99" s="52" t="str">
        <f t="shared" si="152"/>
        <v>Income Taxes</v>
      </c>
      <c r="R99" s="87">
        <f t="shared" si="205"/>
        <v>0</v>
      </c>
      <c r="S99" s="87">
        <f t="shared" si="206"/>
        <v>0</v>
      </c>
      <c r="T99" s="87">
        <f t="shared" si="207"/>
        <v>0</v>
      </c>
      <c r="U99" s="87">
        <f t="shared" si="208"/>
        <v>0</v>
      </c>
      <c r="V99" s="87">
        <f t="shared" si="209"/>
        <v>0</v>
      </c>
      <c r="W99" s="87">
        <f t="shared" si="210"/>
        <v>0</v>
      </c>
      <c r="X99" s="87">
        <f t="shared" si="211"/>
        <v>0</v>
      </c>
      <c r="Y99" s="87">
        <f t="shared" si="212"/>
        <v>0</v>
      </c>
      <c r="Z99" s="87">
        <f t="shared" si="213"/>
        <v>0</v>
      </c>
      <c r="AA99" s="87">
        <f t="shared" si="214"/>
        <v>0</v>
      </c>
      <c r="AB99" s="87">
        <f t="shared" si="215"/>
        <v>0</v>
      </c>
      <c r="AC99" s="87">
        <f t="shared" si="216"/>
        <v>0</v>
      </c>
      <c r="AD99" s="87">
        <f t="shared" si="217"/>
        <v>0</v>
      </c>
    </row>
    <row r="100" spans="1:30" ht="15" customHeight="1" thickBot="1" x14ac:dyDescent="0.3">
      <c r="A100" s="33" t="s">
        <v>15</v>
      </c>
      <c r="B100" s="79">
        <f>B96+B97-B99</f>
        <v>5223814</v>
      </c>
      <c r="C100" s="79">
        <f>C96+C97-C99</f>
        <v>4279330</v>
      </c>
      <c r="D100" s="91">
        <f>D96+D97-D99</f>
        <v>4934147</v>
      </c>
      <c r="E100" s="91">
        <f>E96+E97-E99</f>
        <v>5426345</v>
      </c>
      <c r="F100" s="92">
        <f>F96+F97-F99+F98</f>
        <v>5060999</v>
      </c>
      <c r="G100" s="92">
        <f>G96+G97-G99+G98</f>
        <v>3207146</v>
      </c>
      <c r="H100" s="92">
        <f>H96+H97-H99+H98</f>
        <v>3251983</v>
      </c>
      <c r="I100" s="92">
        <f t="shared" ref="I100:L100" si="219">I96+I97-I99+I98</f>
        <v>3250867</v>
      </c>
      <c r="J100" s="92">
        <f t="shared" si="219"/>
        <v>3688212</v>
      </c>
      <c r="K100" s="92">
        <f t="shared" si="219"/>
        <v>2756074</v>
      </c>
      <c r="L100" s="92">
        <f t="shared" si="219"/>
        <v>3874761</v>
      </c>
      <c r="M100" s="92">
        <f t="shared" ref="M100:N100" si="220">M96+M97-M99+M98</f>
        <v>1747357</v>
      </c>
      <c r="N100" s="92">
        <f t="shared" si="220"/>
        <v>1774801</v>
      </c>
      <c r="O100" s="93">
        <f t="shared" si="218"/>
        <v>-0.11400740411943444</v>
      </c>
      <c r="P100" s="51"/>
      <c r="Q100" s="57" t="str">
        <f t="shared" si="152"/>
        <v>Net Income</v>
      </c>
      <c r="R100" s="94">
        <f t="shared" si="205"/>
        <v>0.11798696500272245</v>
      </c>
      <c r="S100" s="94">
        <f t="shared" si="206"/>
        <v>8.8176121052625067E-2</v>
      </c>
      <c r="T100" s="94">
        <f t="shared" si="207"/>
        <v>9.388846542448101E-2</v>
      </c>
      <c r="U100" s="94">
        <f t="shared" si="208"/>
        <v>9.2065892252733747E-2</v>
      </c>
      <c r="V100" s="94">
        <f t="shared" si="209"/>
        <v>8.3415864675409873E-2</v>
      </c>
      <c r="W100" s="94">
        <f t="shared" si="210"/>
        <v>5.4967884157586966E-2</v>
      </c>
      <c r="X100" s="94">
        <f t="shared" si="211"/>
        <v>5.3366500162972168E-2</v>
      </c>
      <c r="Y100" s="94">
        <f t="shared" si="212"/>
        <v>5.1614308706807346E-2</v>
      </c>
      <c r="Z100" s="94">
        <f t="shared" si="213"/>
        <v>5.6257374776039724E-2</v>
      </c>
      <c r="AA100" s="94">
        <f t="shared" si="214"/>
        <v>4.0052006919336115E-2</v>
      </c>
      <c r="AB100" s="94">
        <f t="shared" si="215"/>
        <v>5.2668470255063785E-2</v>
      </c>
      <c r="AC100" s="94">
        <f t="shared" si="216"/>
        <v>2.3562088311515572E-2</v>
      </c>
      <c r="AD100" s="94">
        <f t="shared" si="217"/>
        <v>2.3323698799069367E-2</v>
      </c>
    </row>
    <row r="101" spans="1:30" ht="15" customHeight="1" thickTop="1" x14ac:dyDescent="0.25">
      <c r="A101" s="33"/>
      <c r="B101" s="95"/>
      <c r="C101" s="95"/>
      <c r="D101" s="75"/>
      <c r="E101" s="75"/>
      <c r="F101" s="64"/>
      <c r="G101" s="64"/>
      <c r="H101" s="64"/>
      <c r="I101" s="64">
        <f>3250867-I100</f>
        <v>0</v>
      </c>
      <c r="J101" s="64"/>
      <c r="K101" s="64"/>
      <c r="L101" s="64"/>
      <c r="M101" s="64"/>
      <c r="N101" s="64"/>
      <c r="O101" s="34"/>
      <c r="P101" s="51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ht="15" customHeight="1" x14ac:dyDescent="0.25">
      <c r="A102" s="33" t="s">
        <v>50</v>
      </c>
      <c r="B102" s="77">
        <v>0</v>
      </c>
      <c r="C102" s="77">
        <v>0</v>
      </c>
      <c r="D102" s="75">
        <v>0</v>
      </c>
      <c r="E102" s="75">
        <v>0</v>
      </c>
      <c r="F102" s="64">
        <v>0</v>
      </c>
      <c r="G102" s="64"/>
      <c r="H102" s="64"/>
      <c r="I102" s="28"/>
      <c r="J102" s="28"/>
      <c r="K102" s="28"/>
      <c r="L102" s="28"/>
      <c r="M102" s="28"/>
      <c r="N102" s="28"/>
      <c r="O102" s="34"/>
      <c r="P102" s="51"/>
      <c r="Q102" s="33" t="str">
        <f t="shared" si="152"/>
        <v>Preferred Stock Dividends</v>
      </c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</row>
    <row r="103" spans="1:30" ht="15" customHeight="1" x14ac:dyDescent="0.25">
      <c r="A103" s="38" t="s">
        <v>93</v>
      </c>
      <c r="B103" s="96">
        <v>-1613256</v>
      </c>
      <c r="C103" s="36">
        <v>-1014454</v>
      </c>
      <c r="D103" s="36">
        <v>-57853</v>
      </c>
      <c r="E103" s="36">
        <v>-1052362</v>
      </c>
      <c r="F103" s="64">
        <v>-10732</v>
      </c>
      <c r="G103" s="64">
        <v>-12</v>
      </c>
      <c r="H103" s="64">
        <v>0</v>
      </c>
      <c r="I103" s="64">
        <v>-1012353</v>
      </c>
      <c r="J103" s="64">
        <v>-2020494</v>
      </c>
      <c r="K103" s="64">
        <v>-1931838</v>
      </c>
      <c r="L103" s="64">
        <v>-357154</v>
      </c>
      <c r="M103" s="64">
        <v>-357154</v>
      </c>
      <c r="N103" s="64">
        <v>-357154</v>
      </c>
      <c r="O103" s="34">
        <f>RATE(5,,-I103,N103)</f>
        <v>-0.18809594801980173</v>
      </c>
      <c r="P103" s="51"/>
      <c r="Q103" s="33" t="str">
        <f t="shared" si="152"/>
        <v>Return of Patrons Capital</v>
      </c>
      <c r="R103" s="76">
        <f t="shared" ref="R103" si="221">+B103/B$73</f>
        <v>-3.6437587404994129E-2</v>
      </c>
      <c r="S103" s="76">
        <f t="shared" ref="S103" si="222">+C103/C$73</f>
        <v>-2.0902949458517974E-2</v>
      </c>
      <c r="T103" s="76">
        <f t="shared" ref="T103" si="223">+D103/D$73</f>
        <v>-1.1008446627557913E-3</v>
      </c>
      <c r="U103" s="76">
        <f t="shared" ref="U103" si="224">+E103/E$73</f>
        <v>-1.7854862988415113E-2</v>
      </c>
      <c r="V103" s="76">
        <f t="shared" ref="V103" si="225">+F103/F$73</f>
        <v>-1.7688584006764251E-4</v>
      </c>
      <c r="W103" s="76">
        <f t="shared" ref="W103" si="226">+G103/G$73</f>
        <v>-2.0567027815105506E-7</v>
      </c>
      <c r="X103" s="76">
        <f t="shared" ref="X103" si="227">+H103/H$73</f>
        <v>0</v>
      </c>
      <c r="Y103" s="76">
        <f t="shared" ref="Y103" si="228">+I103/I$73</f>
        <v>-1.6073219932486484E-2</v>
      </c>
      <c r="Z103" s="76">
        <f t="shared" ref="Z103" si="229">+J103/J$73</f>
        <v>-3.0819185066026468E-2</v>
      </c>
      <c r="AA103" s="76">
        <f t="shared" ref="AA103" si="230">+K103/K$73</f>
        <v>-2.8073988195903465E-2</v>
      </c>
      <c r="AB103" s="76">
        <f t="shared" ref="AB103" si="231">+L103/L$73</f>
        <v>-4.8546877666718153E-3</v>
      </c>
      <c r="AC103" s="76">
        <f t="shared" ref="AC103" si="232">+M103/M$73</f>
        <v>-4.8160130350071752E-3</v>
      </c>
      <c r="AD103" s="76">
        <f t="shared" ref="AD103" si="233">+N103/N$73</f>
        <v>-4.6935697697278855E-3</v>
      </c>
    </row>
    <row r="104" spans="1:30" ht="15" customHeight="1" x14ac:dyDescent="0.25">
      <c r="A104" s="33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34"/>
      <c r="P104" s="51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51"/>
    </row>
    <row r="105" spans="1:30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98" t="str">
        <f>+O62</f>
        <v>Exhibit 1</v>
      </c>
    </row>
    <row r="106" spans="1:30" ht="15" customHeight="1" x14ac:dyDescent="0.25">
      <c r="A106" s="2"/>
      <c r="O106" s="116" t="s">
        <v>145</v>
      </c>
    </row>
    <row r="107" spans="1:30" ht="15" customHeight="1" x14ac:dyDescent="0.3">
      <c r="A107" s="4" t="str">
        <f>A3</f>
        <v>Moon Lake Electric Association, Inc.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"/>
    </row>
    <row r="108" spans="1:30" ht="15" customHeight="1" x14ac:dyDescent="0.25">
      <c r="A108" s="6" t="s">
        <v>43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30" ht="15" customHeight="1" x14ac:dyDescent="0.25">
      <c r="A109" s="15" t="str">
        <f>A5</f>
        <v>Years Ended December 31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30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</row>
    <row r="111" spans="1:30" ht="15" customHeight="1" x14ac:dyDescent="0.25">
      <c r="A111" s="33"/>
      <c r="B111" s="33"/>
      <c r="C111" s="44"/>
      <c r="D111" s="44"/>
      <c r="E111" s="44"/>
      <c r="F111" s="97"/>
      <c r="G111" s="97"/>
      <c r="H111" s="97"/>
      <c r="I111" s="97"/>
      <c r="J111" s="97"/>
      <c r="K111" s="97"/>
      <c r="L111" s="97"/>
      <c r="M111" s="97"/>
      <c r="N111" s="97"/>
      <c r="O111" s="30" t="str">
        <f>O6</f>
        <v>2012 to 2016</v>
      </c>
    </row>
    <row r="112" spans="1:30" ht="15" customHeight="1" x14ac:dyDescent="0.25">
      <c r="A112" s="71" t="s">
        <v>25</v>
      </c>
      <c r="B112" s="99">
        <f>+B69</f>
        <v>2004</v>
      </c>
      <c r="C112" s="99">
        <f t="shared" ref="C112:N112" si="234">+C69</f>
        <v>2005</v>
      </c>
      <c r="D112" s="100">
        <f t="shared" si="234"/>
        <v>2006</v>
      </c>
      <c r="E112" s="100">
        <f t="shared" si="234"/>
        <v>2007</v>
      </c>
      <c r="F112" s="100">
        <f t="shared" si="234"/>
        <v>2008</v>
      </c>
      <c r="G112" s="100">
        <f t="shared" si="234"/>
        <v>2009</v>
      </c>
      <c r="H112" s="100">
        <f t="shared" si="234"/>
        <v>2010</v>
      </c>
      <c r="I112" s="100">
        <f t="shared" si="234"/>
        <v>2011</v>
      </c>
      <c r="J112" s="100">
        <f t="shared" si="234"/>
        <v>2012</v>
      </c>
      <c r="K112" s="100">
        <f t="shared" si="234"/>
        <v>2013</v>
      </c>
      <c r="L112" s="100">
        <f t="shared" si="234"/>
        <v>2014</v>
      </c>
      <c r="M112" s="100">
        <f t="shared" si="234"/>
        <v>2015</v>
      </c>
      <c r="N112" s="100">
        <f t="shared" si="234"/>
        <v>2016</v>
      </c>
      <c r="O112" s="31" t="s">
        <v>2</v>
      </c>
    </row>
    <row r="113" spans="1:15" ht="15" customHeight="1" x14ac:dyDescent="0.25">
      <c r="A113" s="49"/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</row>
    <row r="114" spans="1:15" ht="15" customHeight="1" x14ac:dyDescent="0.25">
      <c r="A114" s="32" t="s">
        <v>32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34"/>
    </row>
    <row r="115" spans="1:15" ht="15" customHeight="1" x14ac:dyDescent="0.25">
      <c r="A115" s="33" t="s">
        <v>6</v>
      </c>
      <c r="B115" s="105">
        <f t="shared" ref="B115:N115" si="235">B17/B44</f>
        <v>2.2101252537184757</v>
      </c>
      <c r="C115" s="105">
        <f t="shared" si="235"/>
        <v>1.8423168290404377</v>
      </c>
      <c r="D115" s="105">
        <f t="shared" si="235"/>
        <v>1.8591564848882052</v>
      </c>
      <c r="E115" s="105">
        <f t="shared" si="235"/>
        <v>1.7544039474304229</v>
      </c>
      <c r="F115" s="105">
        <f t="shared" si="235"/>
        <v>1.9524757050147958</v>
      </c>
      <c r="G115" s="105">
        <f t="shared" si="235"/>
        <v>1.5702740466377609</v>
      </c>
      <c r="H115" s="105">
        <f t="shared" si="235"/>
        <v>1.8623977227168862</v>
      </c>
      <c r="I115" s="105">
        <f t="shared" si="235"/>
        <v>2.066274910547456</v>
      </c>
      <c r="J115" s="105">
        <f t="shared" si="235"/>
        <v>2.1152515159395135</v>
      </c>
      <c r="K115" s="105">
        <f t="shared" si="235"/>
        <v>2.2240518190316068</v>
      </c>
      <c r="L115" s="105">
        <f t="shared" si="235"/>
        <v>2.4613748293901208</v>
      </c>
      <c r="M115" s="105">
        <f t="shared" si="235"/>
        <v>2.3725299584544768</v>
      </c>
      <c r="N115" s="105">
        <f t="shared" si="235"/>
        <v>2.3406475964282896</v>
      </c>
      <c r="O115" s="105">
        <f>AVERAGE(J115:N115)</f>
        <v>2.3027711438488012</v>
      </c>
    </row>
    <row r="116" spans="1:15" ht="15" customHeight="1" x14ac:dyDescent="0.25">
      <c r="A116" s="33" t="s">
        <v>24</v>
      </c>
      <c r="B116" s="105">
        <f t="shared" ref="B116:N116" si="236">(B10+B13)/B44</f>
        <v>1.6458286418128047</v>
      </c>
      <c r="C116" s="105">
        <f t="shared" si="236"/>
        <v>1.329587401574803</v>
      </c>
      <c r="D116" s="105">
        <f t="shared" si="236"/>
        <v>1.3168075525958869</v>
      </c>
      <c r="E116" s="105">
        <f t="shared" si="236"/>
        <v>1.2750629295624214</v>
      </c>
      <c r="F116" s="105">
        <f t="shared" si="236"/>
        <v>1.4845548868618548</v>
      </c>
      <c r="G116" s="105">
        <f t="shared" si="236"/>
        <v>1.1522794699189873</v>
      </c>
      <c r="H116" s="105">
        <f t="shared" si="236"/>
        <v>1.3394842593520431</v>
      </c>
      <c r="I116" s="105">
        <f t="shared" si="236"/>
        <v>1.5168273633952174</v>
      </c>
      <c r="J116" s="105">
        <f t="shared" si="236"/>
        <v>1.3814200010444779</v>
      </c>
      <c r="K116" s="105">
        <f t="shared" si="236"/>
        <v>1.3199921505557277</v>
      </c>
      <c r="L116" s="105">
        <f t="shared" si="236"/>
        <v>1.1779738012416527</v>
      </c>
      <c r="M116" s="105">
        <f t="shared" si="236"/>
        <v>0.81416197990044281</v>
      </c>
      <c r="N116" s="105">
        <f t="shared" si="236"/>
        <v>0.88283925572618116</v>
      </c>
      <c r="O116" s="105">
        <f t="shared" ref="O116:O117" si="237">AVERAGE(J116:N116)</f>
        <v>1.1152774376936965</v>
      </c>
    </row>
    <row r="117" spans="1:15" ht="15" customHeight="1" x14ac:dyDescent="0.25">
      <c r="A117" s="33" t="s">
        <v>9</v>
      </c>
      <c r="B117" s="105"/>
      <c r="C117" s="105">
        <f t="shared" ref="C117:N117" si="238">365*(((B13+C13)/2)/((B73+C73)/2))</f>
        <v>29.806592821609257</v>
      </c>
      <c r="D117" s="105">
        <f t="shared" si="238"/>
        <v>29.656805029103158</v>
      </c>
      <c r="E117" s="105">
        <f t="shared" si="238"/>
        <v>29.938313749501887</v>
      </c>
      <c r="F117" s="105">
        <f t="shared" si="238"/>
        <v>29.418460554071061</v>
      </c>
      <c r="G117" s="105">
        <f t="shared" si="238"/>
        <v>29.185266621863814</v>
      </c>
      <c r="H117" s="105">
        <f t="shared" si="238"/>
        <v>28.20998026359268</v>
      </c>
      <c r="I117" s="105">
        <f t="shared" si="238"/>
        <v>28.179608834910674</v>
      </c>
      <c r="J117" s="105">
        <f t="shared" si="238"/>
        <v>29.205125082568383</v>
      </c>
      <c r="K117" s="105">
        <f t="shared" si="238"/>
        <v>30.245367040752541</v>
      </c>
      <c r="L117" s="105">
        <f t="shared" si="238"/>
        <v>29.943267679989997</v>
      </c>
      <c r="M117" s="105">
        <f t="shared" si="238"/>
        <v>28.69604658408165</v>
      </c>
      <c r="N117" s="105">
        <f t="shared" si="238"/>
        <v>28.805846357384567</v>
      </c>
      <c r="O117" s="105">
        <f t="shared" si="237"/>
        <v>29.379130548955423</v>
      </c>
    </row>
    <row r="118" spans="1:15" ht="15" customHeight="1" x14ac:dyDescent="0.25">
      <c r="A118" s="33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1:15" ht="15" customHeight="1" x14ac:dyDescent="0.25">
      <c r="A119" s="32" t="s">
        <v>14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1:15" ht="15" customHeight="1" x14ac:dyDescent="0.25">
      <c r="A120" s="33" t="s">
        <v>18</v>
      </c>
      <c r="B120" s="105">
        <f t="shared" ref="B120:N120" si="239">B59/B52</f>
        <v>3.7469153238674027</v>
      </c>
      <c r="C120" s="105">
        <f t="shared" si="239"/>
        <v>3.6530043160628165</v>
      </c>
      <c r="D120" s="105">
        <f t="shared" si="239"/>
        <v>3.892370248846742</v>
      </c>
      <c r="E120" s="105">
        <f t="shared" si="239"/>
        <v>3.8619055994520335</v>
      </c>
      <c r="F120" s="105">
        <f t="shared" si="239"/>
        <v>4.2253908837918859</v>
      </c>
      <c r="G120" s="105">
        <f t="shared" si="239"/>
        <v>2.4332926206678169</v>
      </c>
      <c r="H120" s="105">
        <f t="shared" si="239"/>
        <v>2.8213213589142465</v>
      </c>
      <c r="I120" s="105">
        <f t="shared" si="239"/>
        <v>2.8794906490104273</v>
      </c>
      <c r="J120" s="105">
        <f t="shared" si="239"/>
        <v>2.8697532911649271</v>
      </c>
      <c r="K120" s="105">
        <f t="shared" si="239"/>
        <v>2.9147634646314575</v>
      </c>
      <c r="L120" s="105">
        <f t="shared" si="239"/>
        <v>2.7747516890323438</v>
      </c>
      <c r="M120" s="105">
        <f t="shared" si="239"/>
        <v>3.1346482844208214</v>
      </c>
      <c r="N120" s="105">
        <f t="shared" si="239"/>
        <v>2.9880566711158516</v>
      </c>
      <c r="O120" s="105">
        <f t="shared" ref="O120:O123" si="240">AVERAGE(J120:N120)</f>
        <v>2.93639468007308</v>
      </c>
    </row>
    <row r="121" spans="1:15" ht="15" customHeight="1" x14ac:dyDescent="0.25">
      <c r="A121" s="33" t="s">
        <v>17</v>
      </c>
      <c r="B121" s="105">
        <f t="shared" ref="B121:N121" si="241">B59/B50</f>
        <v>9.970757998913875</v>
      </c>
      <c r="C121" s="105">
        <f t="shared" si="241"/>
        <v>11.05013277664359</v>
      </c>
      <c r="D121" s="105">
        <f t="shared" si="241"/>
        <v>12.089852493743239</v>
      </c>
      <c r="E121" s="105">
        <f t="shared" si="241"/>
        <v>13.497642748529238</v>
      </c>
      <c r="F121" s="105">
        <f t="shared" si="241"/>
        <v>15.127320575902299</v>
      </c>
      <c r="G121" s="105">
        <f t="shared" si="241"/>
        <v>4.7289587521009837</v>
      </c>
      <c r="H121" s="105">
        <f t="shared" si="241"/>
        <v>5.0995808305979313</v>
      </c>
      <c r="I121" s="105">
        <f t="shared" si="241"/>
        <v>5.376881966550533</v>
      </c>
      <c r="J121" s="105">
        <f t="shared" si="241"/>
        <v>5.6437637924857027</v>
      </c>
      <c r="K121" s="105">
        <f t="shared" si="241"/>
        <v>5.8761269572639634</v>
      </c>
      <c r="L121" s="105">
        <f t="shared" si="241"/>
        <v>5.5814689573394887</v>
      </c>
      <c r="M121" s="105">
        <f t="shared" si="241"/>
        <v>6.6850751840505849</v>
      </c>
      <c r="N121" s="105">
        <f t="shared" si="241"/>
        <v>6.7578992779846194</v>
      </c>
      <c r="O121" s="105">
        <f t="shared" si="240"/>
        <v>6.1088668338248722</v>
      </c>
    </row>
    <row r="122" spans="1:15" ht="15" customHeight="1" x14ac:dyDescent="0.25">
      <c r="A122" s="33" t="s">
        <v>16</v>
      </c>
      <c r="B122" s="105">
        <f t="shared" ref="B122:N122" si="242">B59/B27</f>
        <v>1.1685666072461276</v>
      </c>
      <c r="C122" s="105">
        <f t="shared" si="242"/>
        <v>1.1178571980029797</v>
      </c>
      <c r="D122" s="105">
        <f t="shared" si="242"/>
        <v>1.1210931257418948</v>
      </c>
      <c r="E122" s="105">
        <f t="shared" si="242"/>
        <v>1.116668168910228</v>
      </c>
      <c r="F122" s="105">
        <f t="shared" si="242"/>
        <v>1.154050137415954</v>
      </c>
      <c r="G122" s="105">
        <f t="shared" si="242"/>
        <v>0.94285973927824274</v>
      </c>
      <c r="H122" s="105">
        <f t="shared" si="242"/>
        <v>0.97889914787739851</v>
      </c>
      <c r="I122" s="105">
        <f t="shared" si="242"/>
        <v>1.0241819024491137</v>
      </c>
      <c r="J122" s="105">
        <f t="shared" si="242"/>
        <v>1.0546738550090287</v>
      </c>
      <c r="K122" s="105">
        <f t="shared" si="242"/>
        <v>1.0894869249586785</v>
      </c>
      <c r="L122" s="105">
        <f t="shared" si="242"/>
        <v>1.144547275357634</v>
      </c>
      <c r="M122" s="105">
        <f t="shared" si="242"/>
        <v>1.1438654481354229</v>
      </c>
      <c r="N122" s="105">
        <f t="shared" si="242"/>
        <v>1.167826946568183</v>
      </c>
      <c r="O122" s="105">
        <f t="shared" si="240"/>
        <v>1.1200800900057895</v>
      </c>
    </row>
    <row r="123" spans="1:15" ht="15" customHeight="1" x14ac:dyDescent="0.25">
      <c r="A123" s="33" t="s">
        <v>33</v>
      </c>
      <c r="B123" s="105">
        <f t="shared" ref="B123:N123" si="243">(B96+B90)/B90</f>
        <v>41.957641262020189</v>
      </c>
      <c r="C123" s="105">
        <f t="shared" si="243"/>
        <v>25.29812635400199</v>
      </c>
      <c r="D123" s="105">
        <f t="shared" si="243"/>
        <v>29.106731594506961</v>
      </c>
      <c r="E123" s="105">
        <f t="shared" si="243"/>
        <v>31.724447738876499</v>
      </c>
      <c r="F123" s="105">
        <f t="shared" si="243"/>
        <v>32.114248075989735</v>
      </c>
      <c r="G123" s="105">
        <f t="shared" si="243"/>
        <v>6.8810709669429801</v>
      </c>
      <c r="H123" s="105">
        <f t="shared" si="243"/>
        <v>3.7468102078373984</v>
      </c>
      <c r="I123" s="105">
        <f t="shared" si="243"/>
        <v>4.2542367588680809</v>
      </c>
      <c r="J123" s="105">
        <f t="shared" si="243"/>
        <v>4.7051295592405467</v>
      </c>
      <c r="K123" s="105">
        <f t="shared" si="243"/>
        <v>4.4615305968777932</v>
      </c>
      <c r="L123" s="105">
        <f t="shared" si="243"/>
        <v>5.4836522153253267</v>
      </c>
      <c r="M123" s="105">
        <f t="shared" si="243"/>
        <v>2.2386605180129715</v>
      </c>
      <c r="N123" s="105">
        <f t="shared" si="243"/>
        <v>2.2010347654223463</v>
      </c>
      <c r="O123" s="105">
        <f t="shared" si="240"/>
        <v>3.8180015309757969</v>
      </c>
    </row>
    <row r="124" spans="1:15" ht="15" customHeight="1" x14ac:dyDescent="0.25">
      <c r="A124" s="33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1:15" ht="15" customHeight="1" x14ac:dyDescent="0.25">
      <c r="A125" s="32" t="s">
        <v>64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1:15" ht="15" customHeight="1" x14ac:dyDescent="0.25">
      <c r="A126" s="33" t="s">
        <v>148</v>
      </c>
      <c r="B126" s="105"/>
      <c r="C126" s="105"/>
      <c r="D126" s="105"/>
      <c r="E126" s="105"/>
      <c r="F126" s="105"/>
      <c r="G126" s="105"/>
      <c r="H126" s="105"/>
      <c r="I126" s="106">
        <f t="shared" ref="I126:M126" si="244">I100/I73</f>
        <v>5.1614308706807346E-2</v>
      </c>
      <c r="J126" s="106">
        <f t="shared" si="244"/>
        <v>5.6257374776039724E-2</v>
      </c>
      <c r="K126" s="106">
        <f t="shared" si="244"/>
        <v>4.0052006919336115E-2</v>
      </c>
      <c r="L126" s="106">
        <f t="shared" si="244"/>
        <v>5.2668470255063785E-2</v>
      </c>
      <c r="M126" s="106">
        <f t="shared" si="244"/>
        <v>2.3562088311515572E-2</v>
      </c>
      <c r="N126" s="106">
        <f>N100/N73</f>
        <v>2.3323698799069367E-2</v>
      </c>
      <c r="O126" s="106">
        <f>AVERAGE(J126:N126)</f>
        <v>3.9172727812204912E-2</v>
      </c>
    </row>
    <row r="127" spans="1:15" ht="15" customHeight="1" x14ac:dyDescent="0.25">
      <c r="A127" s="33" t="s">
        <v>26</v>
      </c>
      <c r="B127" s="34"/>
      <c r="C127" s="34">
        <f t="shared" ref="C127:N127" si="245">(C100+(C90*(1-(C99/C96))))/((B35+C35)/2)</f>
        <v>7.0794229624086977E-2</v>
      </c>
      <c r="D127" s="34">
        <f t="shared" si="245"/>
        <v>7.5318810647541909E-2</v>
      </c>
      <c r="E127" s="34">
        <f t="shared" si="245"/>
        <v>7.6346093296840042E-2</v>
      </c>
      <c r="F127" s="34">
        <f t="shared" si="245"/>
        <v>6.6452367104719356E-2</v>
      </c>
      <c r="G127" s="34">
        <f t="shared" si="245"/>
        <v>4.1966079525458694E-2</v>
      </c>
      <c r="H127" s="34">
        <f t="shared" si="245"/>
        <v>4.1750340177505764E-2</v>
      </c>
      <c r="I127" s="34">
        <f t="shared" si="245"/>
        <v>4.0816926290490774E-2</v>
      </c>
      <c r="J127" s="34">
        <f t="shared" si="245"/>
        <v>4.3968719998929172E-2</v>
      </c>
      <c r="K127" s="34">
        <f t="shared" si="245"/>
        <v>3.3979094977167335E-2</v>
      </c>
      <c r="L127" s="34">
        <f t="shared" si="245"/>
        <v>4.2988043978318839E-2</v>
      </c>
      <c r="M127" s="34">
        <f t="shared" si="245"/>
        <v>2.2120813612866042E-2</v>
      </c>
      <c r="N127" s="34">
        <f t="shared" si="245"/>
        <v>2.1900363014932124E-2</v>
      </c>
      <c r="O127" s="106">
        <f>AVERAGE(J127:N127)</f>
        <v>3.2991407116442703E-2</v>
      </c>
    </row>
    <row r="128" spans="1:15" ht="15" customHeight="1" x14ac:dyDescent="0.25">
      <c r="A128" s="33" t="s">
        <v>63</v>
      </c>
      <c r="B128" s="34"/>
      <c r="C128" s="34">
        <f t="shared" ref="C128:N128" si="246">(C100+(C90*(1-(C99/C96))))/((B46+C46+B54+C54+B59+C59)/2)</f>
        <v>8.3800369702196398E-2</v>
      </c>
      <c r="D128" s="34">
        <f t="shared" si="246"/>
        <v>8.9651714701024329E-2</v>
      </c>
      <c r="E128" s="34">
        <f t="shared" si="246"/>
        <v>9.1208386160948465E-2</v>
      </c>
      <c r="F128" s="34">
        <f t="shared" si="246"/>
        <v>7.9346535258833284E-2</v>
      </c>
      <c r="G128" s="34">
        <f t="shared" si="246"/>
        <v>5.0070639339858426E-2</v>
      </c>
      <c r="H128" s="34">
        <f t="shared" si="246"/>
        <v>4.9261470940893962E-2</v>
      </c>
      <c r="I128" s="34">
        <f t="shared" si="246"/>
        <v>4.758077840667041E-2</v>
      </c>
      <c r="J128" s="34">
        <f t="shared" si="246"/>
        <v>5.160931169903038E-2</v>
      </c>
      <c r="K128" s="34">
        <f t="shared" si="246"/>
        <v>4.0137664003842298E-2</v>
      </c>
      <c r="L128" s="34">
        <f t="shared" si="246"/>
        <v>5.1481393618644677E-2</v>
      </c>
      <c r="M128" s="34">
        <f t="shared" si="246"/>
        <v>2.6479077470854807E-2</v>
      </c>
      <c r="N128" s="34">
        <f t="shared" si="246"/>
        <v>2.6135445182850221E-2</v>
      </c>
      <c r="O128" s="106">
        <f t="shared" ref="O128:O129" si="247">AVERAGE(J128:N128)</f>
        <v>3.9168578395044479E-2</v>
      </c>
    </row>
    <row r="129" spans="1:15" ht="15" customHeight="1" x14ac:dyDescent="0.25">
      <c r="A129" s="33" t="s">
        <v>62</v>
      </c>
      <c r="B129" s="34"/>
      <c r="C129" s="34">
        <v>6.7734997943316805E-2</v>
      </c>
      <c r="D129" s="34">
        <f t="shared" ref="D129:N129" si="248">(D100-D102)/((D59+C59)/2)</f>
        <v>9.2141209872347044E-2</v>
      </c>
      <c r="E129" s="34">
        <f t="shared" si="248"/>
        <v>9.3348479276462823E-2</v>
      </c>
      <c r="F129" s="34">
        <f t="shared" si="248"/>
        <v>8.0592874488118305E-2</v>
      </c>
      <c r="G129" s="34">
        <f t="shared" si="248"/>
        <v>4.7920919230509645E-2</v>
      </c>
      <c r="H129" s="34">
        <f t="shared" si="248"/>
        <v>4.6354019571262561E-2</v>
      </c>
      <c r="I129" s="34">
        <f t="shared" si="248"/>
        <v>4.4593138521063128E-2</v>
      </c>
      <c r="J129" s="34">
        <f t="shared" si="248"/>
        <v>4.9272256667623998E-2</v>
      </c>
      <c r="K129" s="34">
        <f t="shared" si="248"/>
        <v>3.6216619662760054E-2</v>
      </c>
      <c r="L129" s="34">
        <f t="shared" si="248"/>
        <v>4.9391975009458827E-2</v>
      </c>
      <c r="M129" s="34">
        <f t="shared" si="248"/>
        <v>2.1502260118628849E-2</v>
      </c>
      <c r="N129" s="34">
        <f t="shared" si="248"/>
        <v>2.137578654325983E-2</v>
      </c>
      <c r="O129" s="106">
        <f t="shared" si="247"/>
        <v>3.5551779600346313E-2</v>
      </c>
    </row>
    <row r="130" spans="1:15" ht="15" customHeight="1" x14ac:dyDescent="0.25">
      <c r="A130" s="33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1:15" ht="15" customHeight="1" x14ac:dyDescent="0.25">
      <c r="A131" s="32" t="s">
        <v>1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1:15" ht="15" customHeight="1" x14ac:dyDescent="0.25">
      <c r="A132" s="33" t="s">
        <v>28</v>
      </c>
      <c r="B132" s="105"/>
      <c r="C132" s="105">
        <f t="shared" ref="C132:N132" si="249">C73/((B10+C10)/2)</f>
        <v>5.394402046936623</v>
      </c>
      <c r="D132" s="105">
        <f t="shared" si="249"/>
        <v>6.1527613577798714</v>
      </c>
      <c r="E132" s="105">
        <f t="shared" si="249"/>
        <v>6.5840073753647799</v>
      </c>
      <c r="F132" s="105">
        <f t="shared" si="249"/>
        <v>5.7494332005865809</v>
      </c>
      <c r="G132" s="105">
        <f t="shared" si="249"/>
        <v>5.1232275083400012</v>
      </c>
      <c r="H132" s="105">
        <f t="shared" si="249"/>
        <v>5.6008211784707012</v>
      </c>
      <c r="I132" s="105">
        <f t="shared" si="249"/>
        <v>5.2998104957629764</v>
      </c>
      <c r="J132" s="105">
        <f t="shared" si="249"/>
        <v>5.0953919116399797</v>
      </c>
      <c r="K132" s="105">
        <f t="shared" si="249"/>
        <v>5.67865753623619</v>
      </c>
      <c r="L132" s="105">
        <f t="shared" si="249"/>
        <v>6.4132472118691757</v>
      </c>
      <c r="M132" s="105">
        <f t="shared" si="249"/>
        <v>8.787995400028807</v>
      </c>
      <c r="N132" s="105">
        <f t="shared" si="249"/>
        <v>11.439746147968</v>
      </c>
      <c r="O132" s="105">
        <f t="shared" ref="O132:O136" si="250">AVERAGE(J132:N132)</f>
        <v>7.483007641548431</v>
      </c>
    </row>
    <row r="133" spans="1:15" ht="15" customHeight="1" x14ac:dyDescent="0.25">
      <c r="A133" s="33" t="s">
        <v>27</v>
      </c>
      <c r="B133" s="105"/>
      <c r="C133" s="105">
        <f t="shared" ref="C133:N133" si="251">C73/((B13+C13)/2)</f>
        <v>12.807332738334315</v>
      </c>
      <c r="D133" s="105">
        <f t="shared" si="251"/>
        <v>12.797114242237775</v>
      </c>
      <c r="E133" s="105">
        <f t="shared" si="251"/>
        <v>12.890098952735995</v>
      </c>
      <c r="F133" s="105">
        <f t="shared" si="251"/>
        <v>12.586844327788754</v>
      </c>
      <c r="G133" s="105">
        <f t="shared" si="251"/>
        <v>12.261886660726878</v>
      </c>
      <c r="H133" s="105">
        <f t="shared" si="251"/>
        <v>13.219728067956543</v>
      </c>
      <c r="I133" s="105">
        <f t="shared" si="251"/>
        <v>13.166593047216024</v>
      </c>
      <c r="J133" s="105">
        <f t="shared" si="251"/>
        <v>12.748240519631889</v>
      </c>
      <c r="K133" s="105">
        <f t="shared" si="251"/>
        <v>12.360095069389086</v>
      </c>
      <c r="L133" s="105">
        <f t="shared" si="251"/>
        <v>12.596938471495937</v>
      </c>
      <c r="M133" s="105">
        <f t="shared" si="251"/>
        <v>12.770389617367115</v>
      </c>
      <c r="N133" s="105">
        <f t="shared" si="251"/>
        <v>12.834188377277405</v>
      </c>
      <c r="O133" s="105">
        <f t="shared" si="250"/>
        <v>12.661970411032287</v>
      </c>
    </row>
    <row r="134" spans="1:15" ht="15" customHeight="1" x14ac:dyDescent="0.25">
      <c r="A134" s="33" t="s">
        <v>31</v>
      </c>
      <c r="B134" s="105"/>
      <c r="C134" s="105">
        <f t="shared" ref="C134:N134" si="252">C73/((B17+C17-B44-C44)/2)</f>
        <v>5.535341026018143</v>
      </c>
      <c r="D134" s="105">
        <f t="shared" si="252"/>
        <v>6.4606452337030875</v>
      </c>
      <c r="E134" s="105">
        <f t="shared" si="252"/>
        <v>7.0231112871462678</v>
      </c>
      <c r="F134" s="105">
        <f t="shared" si="252"/>
        <v>6.3808254365159831</v>
      </c>
      <c r="G134" s="105">
        <f t="shared" si="252"/>
        <v>6.3390149539777321</v>
      </c>
      <c r="H134" s="105">
        <f t="shared" si="252"/>
        <v>6.9249739390645155</v>
      </c>
      <c r="I134" s="105">
        <f t="shared" si="252"/>
        <v>5.5902813662888384</v>
      </c>
      <c r="J134" s="105">
        <f t="shared" si="252"/>
        <v>4.8226290903991131</v>
      </c>
      <c r="K134" s="105">
        <f t="shared" si="252"/>
        <v>4.4901456264797321</v>
      </c>
      <c r="L134" s="105">
        <f t="shared" si="252"/>
        <v>3.9254834167971335</v>
      </c>
      <c r="M134" s="105">
        <f t="shared" si="252"/>
        <v>3.6720610196553896</v>
      </c>
      <c r="N134" s="105">
        <f t="shared" si="252"/>
        <v>3.794796402204637</v>
      </c>
      <c r="O134" s="105">
        <f t="shared" si="250"/>
        <v>4.1410231111072004</v>
      </c>
    </row>
    <row r="135" spans="1:15" ht="15" customHeight="1" x14ac:dyDescent="0.25">
      <c r="A135" s="33" t="s">
        <v>29</v>
      </c>
      <c r="B135" s="105"/>
      <c r="C135" s="105">
        <f>C73/((B27+C27)/2)</f>
        <v>1.1199458807045917</v>
      </c>
      <c r="D135" s="105">
        <f t="shared" ref="D135:N135" si="253">D73/((B27+D27)/2)</f>
        <v>1.1564734792190183</v>
      </c>
      <c r="E135" s="105">
        <f t="shared" si="253"/>
        <v>1.1823697352907978</v>
      </c>
      <c r="F135" s="105">
        <f t="shared" si="253"/>
        <v>1.1389171797272821</v>
      </c>
      <c r="G135" s="105">
        <f t="shared" si="253"/>
        <v>0.92131791229703397</v>
      </c>
      <c r="H135" s="105">
        <f t="shared" si="253"/>
        <v>0.93798507961687549</v>
      </c>
      <c r="I135" s="105">
        <f t="shared" si="253"/>
        <v>0.86901429787148676</v>
      </c>
      <c r="J135" s="105">
        <f t="shared" si="253"/>
        <v>0.90369333872814017</v>
      </c>
      <c r="K135" s="105">
        <f t="shared" si="253"/>
        <v>0.96579069119475836</v>
      </c>
      <c r="L135" s="105">
        <f t="shared" si="253"/>
        <v>1.0361935155816302</v>
      </c>
      <c r="M135" s="105">
        <f t="shared" si="253"/>
        <v>1.0442264016426754</v>
      </c>
      <c r="N135" s="105">
        <f t="shared" si="253"/>
        <v>1.0710653230835945</v>
      </c>
      <c r="O135" s="105">
        <f t="shared" si="250"/>
        <v>1.0041938540461597</v>
      </c>
    </row>
    <row r="136" spans="1:15" ht="15" customHeight="1" x14ac:dyDescent="0.25">
      <c r="A136" s="33" t="s">
        <v>30</v>
      </c>
      <c r="B136" s="105"/>
      <c r="C136" s="105">
        <f t="shared" ref="C136:N136" si="254">C73/((B35+C35)/2)</f>
        <v>0.77205977598557607</v>
      </c>
      <c r="D136" s="105">
        <f t="shared" si="254"/>
        <v>0.77583505197253522</v>
      </c>
      <c r="E136" s="105">
        <f t="shared" si="254"/>
        <v>0.80600999718401511</v>
      </c>
      <c r="F136" s="105">
        <f t="shared" si="254"/>
        <v>0.77456560926345841</v>
      </c>
      <c r="G136" s="105">
        <f t="shared" si="254"/>
        <v>0.65751288612030256</v>
      </c>
      <c r="H136" s="105">
        <f t="shared" si="254"/>
        <v>0.62848509446400225</v>
      </c>
      <c r="I136" s="105">
        <f t="shared" si="254"/>
        <v>0.63959351258896902</v>
      </c>
      <c r="J136" s="105">
        <f t="shared" si="254"/>
        <v>0.64978840695698092</v>
      </c>
      <c r="K136" s="105">
        <f t="shared" si="254"/>
        <v>0.67191912299359413</v>
      </c>
      <c r="L136" s="105">
        <f t="shared" si="254"/>
        <v>0.69365715978727138</v>
      </c>
      <c r="M136" s="105">
        <f t="shared" si="254"/>
        <v>0.68129302288287108</v>
      </c>
      <c r="N136" s="105">
        <f t="shared" si="254"/>
        <v>0.69068278254258908</v>
      </c>
      <c r="O136" s="105">
        <f t="shared" si="250"/>
        <v>0.67746809903266125</v>
      </c>
    </row>
    <row r="137" spans="1:15" ht="15" customHeight="1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105"/>
    </row>
    <row r="138" spans="1:15" ht="15" hidden="1" customHeight="1" x14ac:dyDescent="0.25">
      <c r="A138" s="32" t="s">
        <v>65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105"/>
    </row>
    <row r="139" spans="1:15" ht="15" hidden="1" customHeight="1" x14ac:dyDescent="0.25">
      <c r="A139" s="33" t="s">
        <v>66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105"/>
    </row>
    <row r="140" spans="1:15" ht="15" hidden="1" customHeight="1" x14ac:dyDescent="0.25">
      <c r="A140" s="33" t="s">
        <v>68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105"/>
    </row>
    <row r="141" spans="1:15" ht="15" hidden="1" customHeight="1" x14ac:dyDescent="0.25">
      <c r="A141" s="33" t="s">
        <v>67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105"/>
    </row>
    <row r="142" spans="1:15" ht="15" hidden="1" customHeight="1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105"/>
    </row>
    <row r="143" spans="1:15" ht="15" customHeight="1" x14ac:dyDescent="0.25">
      <c r="A143" s="32" t="s">
        <v>80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105"/>
    </row>
    <row r="144" spans="1:15" ht="15" customHeight="1" x14ac:dyDescent="0.25">
      <c r="A144" s="33" t="s">
        <v>56</v>
      </c>
      <c r="B144" s="34">
        <f t="shared" ref="B144:N144" si="255">B46/(B$46+B$59)</f>
        <v>7.2601866975703658E-2</v>
      </c>
      <c r="C144" s="34">
        <f t="shared" si="255"/>
        <v>6.4147497187408697E-2</v>
      </c>
      <c r="D144" s="34">
        <f t="shared" si="255"/>
        <v>5.4279390207684609E-2</v>
      </c>
      <c r="E144" s="34">
        <f t="shared" si="255"/>
        <v>4.6601126998657455E-2</v>
      </c>
      <c r="F144" s="34">
        <f t="shared" si="255"/>
        <v>3.9158849729529238E-2</v>
      </c>
      <c r="G144" s="34">
        <f t="shared" si="255"/>
        <v>0.15148011990526949</v>
      </c>
      <c r="H144" s="34">
        <f t="shared" si="255"/>
        <v>0.14122374004296528</v>
      </c>
      <c r="I144" s="34">
        <f t="shared" si="255"/>
        <v>0.13291717187530147</v>
      </c>
      <c r="J144" s="34">
        <f t="shared" si="255"/>
        <v>0.12547461760738166</v>
      </c>
      <c r="K144" s="34">
        <f t="shared" si="255"/>
        <v>0.1190252194819683</v>
      </c>
      <c r="L144" s="34">
        <f t="shared" si="255"/>
        <v>0.10953339038957249</v>
      </c>
      <c r="M144" s="34">
        <f t="shared" si="255"/>
        <v>0.10322109028879244</v>
      </c>
      <c r="N144" s="34">
        <f t="shared" si="255"/>
        <v>9.8103310046687223E-2</v>
      </c>
      <c r="O144" s="106">
        <f t="shared" ref="O144:O145" si="256">AVERAGE(J144:N144)</f>
        <v>0.11107152556288043</v>
      </c>
    </row>
    <row r="145" spans="1:15" ht="15" customHeight="1" x14ac:dyDescent="0.25">
      <c r="A145" s="33" t="s">
        <v>81</v>
      </c>
      <c r="B145" s="34">
        <f t="shared" ref="B145:N145" si="257">B59/(B$46+B$59)</f>
        <v>0.9273981330242963</v>
      </c>
      <c r="C145" s="34">
        <f t="shared" si="257"/>
        <v>0.93585250281259125</v>
      </c>
      <c r="D145" s="34">
        <f t="shared" si="257"/>
        <v>0.94572060979231543</v>
      </c>
      <c r="E145" s="34">
        <f t="shared" si="257"/>
        <v>0.95339887300134252</v>
      </c>
      <c r="F145" s="34">
        <f t="shared" si="257"/>
        <v>0.96084115027047079</v>
      </c>
      <c r="G145" s="34">
        <f t="shared" si="257"/>
        <v>0.84851988009473056</v>
      </c>
      <c r="H145" s="34">
        <f t="shared" si="257"/>
        <v>0.85877625995703477</v>
      </c>
      <c r="I145" s="34">
        <f t="shared" si="257"/>
        <v>0.8670828281246985</v>
      </c>
      <c r="J145" s="34">
        <f t="shared" si="257"/>
        <v>0.87452538239261834</v>
      </c>
      <c r="K145" s="34">
        <f t="shared" si="257"/>
        <v>0.88097478051803169</v>
      </c>
      <c r="L145" s="34">
        <f t="shared" si="257"/>
        <v>0.89046660961042745</v>
      </c>
      <c r="M145" s="34">
        <f t="shared" si="257"/>
        <v>0.89677890971120755</v>
      </c>
      <c r="N145" s="34">
        <f t="shared" si="257"/>
        <v>0.90189668995331274</v>
      </c>
      <c r="O145" s="106">
        <f t="shared" si="256"/>
        <v>0.88892847443711953</v>
      </c>
    </row>
    <row r="146" spans="1:15" ht="15" customHeight="1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106"/>
    </row>
    <row r="147" spans="1:15" ht="15" customHeight="1" x14ac:dyDescent="0.25">
      <c r="A147" s="32" t="s">
        <v>82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106"/>
    </row>
    <row r="148" spans="1:15" ht="15" customHeight="1" x14ac:dyDescent="0.25">
      <c r="A148" s="33" t="s">
        <v>83</v>
      </c>
      <c r="B148" s="34">
        <f>B$38/(B$38+B$46+B$59)</f>
        <v>3.6669014890017386E-3</v>
      </c>
      <c r="C148" s="34">
        <f>C$38/(C$38+C$46+C$59)</f>
        <v>3.6337962903840787E-3</v>
      </c>
      <c r="D148" s="34">
        <f>D$38/(D$38+D$46+D$59)</f>
        <v>4.2368215251988974E-3</v>
      </c>
      <c r="E148" s="34">
        <f>E$38/(E$38+E$46+E$59)</f>
        <v>4.2117882058715058E-3</v>
      </c>
      <c r="F148" s="34">
        <f>F$38/(F$38+F$46+F$59)</f>
        <v>4.157671210774142E-3</v>
      </c>
      <c r="G148" s="34">
        <f t="shared" ref="G148:N148" si="258">G$38/(G$38+G$46+G$59)</f>
        <v>4.9732963819043357E-3</v>
      </c>
      <c r="H148" s="34">
        <f t="shared" si="258"/>
        <v>5.1154784026696438E-3</v>
      </c>
      <c r="I148" s="34">
        <f t="shared" si="258"/>
        <v>5.3317632389702566E-3</v>
      </c>
      <c r="J148" s="34">
        <f t="shared" si="258"/>
        <v>5.5980595688376296E-3</v>
      </c>
      <c r="K148" s="34">
        <f t="shared" si="258"/>
        <v>5.9771358729581595E-3</v>
      </c>
      <c r="L148" s="34">
        <f t="shared" si="258"/>
        <v>4.9505857938570456E-3</v>
      </c>
      <c r="M148" s="34">
        <f t="shared" si="258"/>
        <v>4.7101758211445383E-3</v>
      </c>
      <c r="N148" s="34">
        <f t="shared" si="258"/>
        <v>0</v>
      </c>
      <c r="O148" s="106">
        <f t="shared" ref="O148:O150" si="259">AVERAGE(J148:N148)</f>
        <v>4.2471914113594742E-3</v>
      </c>
    </row>
    <row r="149" spans="1:15" ht="15" customHeight="1" x14ac:dyDescent="0.25">
      <c r="A149" s="33" t="s">
        <v>56</v>
      </c>
      <c r="B149" s="34">
        <f>B$46/(B$38+B$46+B$59)</f>
        <v>7.2335643081586146E-2</v>
      </c>
      <c r="C149" s="34">
        <f>C$46/(C$38+C$46+C$59)</f>
        <v>6.3914398250091667E-2</v>
      </c>
      <c r="D149" s="34">
        <f>D$46/(D$38+D$46+D$59)</f>
        <v>5.404941811887802E-2</v>
      </c>
      <c r="E149" s="34">
        <f>E$46/(E$38+E$46+E$59)</f>
        <v>4.6404852921584187E-2</v>
      </c>
      <c r="F149" s="34">
        <f>F$46/(F$38+F$46+F$59)</f>
        <v>3.8996040107361747E-2</v>
      </c>
      <c r="G149" s="34">
        <f t="shared" ref="G149:N149" si="260">G$46/(G$38+G$46+G$59)</f>
        <v>0.15072676437301419</v>
      </c>
      <c r="H149" s="34">
        <f t="shared" si="260"/>
        <v>0.14050131305083127</v>
      </c>
      <c r="I149" s="34">
        <f t="shared" si="260"/>
        <v>0.13220848898446882</v>
      </c>
      <c r="J149" s="34">
        <f t="shared" si="260"/>
        <v>0.12477220322363841</v>
      </c>
      <c r="K149" s="34">
        <f t="shared" si="260"/>
        <v>0.11831378957281591</v>
      </c>
      <c r="L149" s="34">
        <f t="shared" si="260"/>
        <v>0.10899113594315689</v>
      </c>
      <c r="M149" s="34">
        <f t="shared" si="260"/>
        <v>0.10273490080508198</v>
      </c>
      <c r="N149" s="34">
        <f t="shared" si="260"/>
        <v>9.8103310046687223E-2</v>
      </c>
      <c r="O149" s="106">
        <f t="shared" si="259"/>
        <v>0.11058306791827607</v>
      </c>
    </row>
    <row r="150" spans="1:15" ht="15" customHeight="1" x14ac:dyDescent="0.25">
      <c r="A150" s="33" t="s">
        <v>5</v>
      </c>
      <c r="B150" s="34">
        <f>B$59/(B$38+B$46+B$59)</f>
        <v>0.92399745542941214</v>
      </c>
      <c r="C150" s="34">
        <f>C$59/(C$38+C$46+C$59)</f>
        <v>0.93245180545952422</v>
      </c>
      <c r="D150" s="34">
        <f>D$59/(D$38+D$46+D$59)</f>
        <v>0.94171376035592314</v>
      </c>
      <c r="E150" s="34">
        <f>E$59/(E$38+E$46+E$59)</f>
        <v>0.94938335887254433</v>
      </c>
      <c r="F150" s="34">
        <f>F$59/(F$38+F$46+F$59)</f>
        <v>0.95684628868186417</v>
      </c>
      <c r="G150" s="34">
        <f t="shared" ref="G150:N150" si="261">G$59/(G$38+G$46+G$59)</f>
        <v>0.84429993924508151</v>
      </c>
      <c r="H150" s="34">
        <f t="shared" si="261"/>
        <v>0.85438320854649907</v>
      </c>
      <c r="I150" s="34">
        <f t="shared" si="261"/>
        <v>0.86245974777656087</v>
      </c>
      <c r="J150" s="34">
        <f t="shared" si="261"/>
        <v>0.8696297372075239</v>
      </c>
      <c r="K150" s="34">
        <f t="shared" si="261"/>
        <v>0.87570907455422597</v>
      </c>
      <c r="L150" s="34">
        <f t="shared" si="261"/>
        <v>0.88605827826298611</v>
      </c>
      <c r="M150" s="34">
        <f t="shared" si="261"/>
        <v>0.89255492337377351</v>
      </c>
      <c r="N150" s="34">
        <f t="shared" si="261"/>
        <v>0.90189668995331274</v>
      </c>
      <c r="O150" s="106">
        <f t="shared" si="259"/>
        <v>0.88516974067036447</v>
      </c>
    </row>
    <row r="151" spans="1:15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105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</row>
    <row r="153" spans="1:15" ht="16.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3"/>
    </row>
  </sheetData>
  <mergeCells count="6">
    <mergeCell ref="P66:AD66"/>
    <mergeCell ref="Q3:AD3"/>
    <mergeCell ref="Q4:AD4"/>
    <mergeCell ref="Q5:AD5"/>
    <mergeCell ref="P64:AD64"/>
    <mergeCell ref="P65:AD65"/>
  </mergeCells>
  <phoneticPr fontId="6" type="noConversion"/>
  <printOptions horizontalCentered="1"/>
  <pageMargins left="0.75" right="0.75" top="1" bottom="1" header="0.5" footer="0.5"/>
  <pageSetup scale="80" fitToHeight="5" orientation="portrait" r:id="rId1"/>
  <headerFooter alignWithMargins="0"/>
  <rowBreaks count="2" manualBreakCount="2">
    <brk id="61" max="14" man="1"/>
    <brk id="10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zoomScale="145" zoomScaleNormal="145" workbookViewId="0">
      <selection activeCell="M6" sqref="M6"/>
    </sheetView>
  </sheetViews>
  <sheetFormatPr defaultColWidth="13.7109375" defaultRowHeight="12.75" x14ac:dyDescent="0.2"/>
  <cols>
    <col min="1" max="2" width="2.7109375" style="2" customWidth="1"/>
    <col min="3" max="3" width="31.85546875" style="2" customWidth="1"/>
    <col min="4" max="7" width="10.7109375" hidden="1" customWidth="1"/>
    <col min="8" max="9" width="11.140625" hidden="1" customWidth="1"/>
    <col min="10" max="10" width="12.42578125" hidden="1" customWidth="1"/>
    <col min="11" max="15" width="12.42578125" customWidth="1"/>
    <col min="16" max="16" width="11.140625" hidden="1" customWidth="1"/>
    <col min="17" max="21" width="12.7109375" customWidth="1"/>
  </cols>
  <sheetData>
    <row r="1" spans="1:16" ht="14.25" x14ac:dyDescent="0.2">
      <c r="O1" s="114" t="s">
        <v>77</v>
      </c>
    </row>
    <row r="2" spans="1:16" ht="14.25" x14ac:dyDescent="0.2">
      <c r="O2" s="115" t="s">
        <v>146</v>
      </c>
    </row>
    <row r="3" spans="1:16" ht="18.75" x14ac:dyDescent="0.3">
      <c r="A3" s="4" t="str">
        <f>+Historical!A3</f>
        <v>Moon Lake Electric Association, Inc.</v>
      </c>
      <c r="B3" s="4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 x14ac:dyDescent="0.25">
      <c r="A4" s="6" t="s">
        <v>108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x14ac:dyDescent="0.25">
      <c r="A5" s="15" t="s">
        <v>76</v>
      </c>
      <c r="B5" s="15"/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.75" x14ac:dyDescent="0.25">
      <c r="A6" s="14"/>
      <c r="B6" s="14"/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">
      <c r="D8" s="2"/>
      <c r="E8" s="9"/>
      <c r="F8" s="17"/>
      <c r="G8" s="17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5">
      <c r="A9" s="67"/>
      <c r="B9" s="67"/>
      <c r="C9" s="67"/>
      <c r="D9" s="68">
        <v>2004</v>
      </c>
      <c r="E9" s="68">
        <v>2005</v>
      </c>
      <c r="F9" s="69">
        <v>2006</v>
      </c>
      <c r="G9" s="69">
        <v>2007</v>
      </c>
      <c r="H9" s="70">
        <f>+G9+1</f>
        <v>2008</v>
      </c>
      <c r="I9" s="70">
        <f t="shared" ref="I9:N9" si="0">+H9+1</f>
        <v>2009</v>
      </c>
      <c r="J9" s="70">
        <f t="shared" si="0"/>
        <v>2010</v>
      </c>
      <c r="K9" s="70">
        <f t="shared" si="0"/>
        <v>2011</v>
      </c>
      <c r="L9" s="70">
        <f t="shared" si="0"/>
        <v>2012</v>
      </c>
      <c r="M9" s="70">
        <f t="shared" si="0"/>
        <v>2013</v>
      </c>
      <c r="N9" s="70">
        <f t="shared" si="0"/>
        <v>2014</v>
      </c>
      <c r="O9" s="70">
        <f t="shared" ref="O9" si="1">+N9+1</f>
        <v>2015</v>
      </c>
      <c r="P9" s="21">
        <f t="shared" ref="P9" si="2">+O9+1</f>
        <v>2016</v>
      </c>
    </row>
    <row r="10" spans="1:16" ht="7.5" customHeight="1" x14ac:dyDescent="0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7"/>
    </row>
    <row r="11" spans="1:16" ht="15" x14ac:dyDescent="0.25">
      <c r="A11" s="33" t="s">
        <v>109</v>
      </c>
      <c r="B11" s="33"/>
      <c r="C11" s="33"/>
      <c r="D11" s="33"/>
      <c r="E11" s="33"/>
      <c r="F11" s="33"/>
      <c r="G11" s="33"/>
      <c r="H11" s="43"/>
      <c r="I11" s="43"/>
      <c r="J11" s="43"/>
      <c r="K11" s="43"/>
      <c r="L11" s="43"/>
      <c r="M11" s="43"/>
      <c r="N11" s="43"/>
      <c r="O11" s="43"/>
      <c r="P11" s="22"/>
    </row>
    <row r="12" spans="1:16" ht="15" x14ac:dyDescent="0.25">
      <c r="A12" s="33"/>
      <c r="B12" s="33" t="s">
        <v>111</v>
      </c>
      <c r="C12" s="33"/>
      <c r="D12" s="51"/>
      <c r="E12" s="51"/>
      <c r="F12" s="51"/>
      <c r="G12" s="51"/>
      <c r="H12" s="43">
        <v>61460987</v>
      </c>
      <c r="I12" s="43">
        <v>58581296</v>
      </c>
      <c r="J12" s="43">
        <v>62155739</v>
      </c>
      <c r="K12" s="43">
        <v>62972779</v>
      </c>
      <c r="L12" s="43">
        <v>69200406</v>
      </c>
      <c r="M12" s="43">
        <v>65647857</v>
      </c>
      <c r="N12" s="43">
        <v>75835473</v>
      </c>
      <c r="O12" s="43">
        <v>74529607</v>
      </c>
      <c r="P12" s="22"/>
    </row>
    <row r="13" spans="1:16" ht="15" x14ac:dyDescent="0.25">
      <c r="A13" s="33"/>
      <c r="B13" s="33" t="s">
        <v>110</v>
      </c>
      <c r="C13" s="33"/>
      <c r="D13" s="51"/>
      <c r="E13" s="51"/>
      <c r="F13" s="51"/>
      <c r="G13" s="51"/>
      <c r="H13" s="43">
        <v>-42801680</v>
      </c>
      <c r="I13" s="43">
        <v>-40421979</v>
      </c>
      <c r="J13" s="43">
        <v>-42901013</v>
      </c>
      <c r="K13" s="43">
        <v>-43688829</v>
      </c>
      <c r="L13" s="43">
        <v>-45875590</v>
      </c>
      <c r="M13" s="43">
        <v>-49090330</v>
      </c>
      <c r="N13" s="43">
        <v>-52797683</v>
      </c>
      <c r="O13" s="43">
        <v>-54801797</v>
      </c>
      <c r="P13" s="22"/>
    </row>
    <row r="14" spans="1:16" ht="15" x14ac:dyDescent="0.25">
      <c r="A14" s="33"/>
      <c r="B14" s="33" t="s">
        <v>112</v>
      </c>
      <c r="C14" s="33"/>
      <c r="D14" s="51"/>
      <c r="E14" s="51"/>
      <c r="F14" s="51"/>
      <c r="G14" s="51"/>
      <c r="H14" s="43">
        <v>-2223332</v>
      </c>
      <c r="I14" s="43">
        <v>-967276</v>
      </c>
      <c r="J14" s="43">
        <v>-5379356</v>
      </c>
      <c r="K14" s="43">
        <v>-1467436</v>
      </c>
      <c r="L14" s="43">
        <v>-1302312</v>
      </c>
      <c r="M14" s="43">
        <v>-2639821</v>
      </c>
      <c r="N14" s="43">
        <v>-3280488</v>
      </c>
      <c r="O14" s="43">
        <v>-5426838</v>
      </c>
      <c r="P14" s="22"/>
    </row>
    <row r="15" spans="1:16" ht="15" x14ac:dyDescent="0.25">
      <c r="A15" s="33"/>
      <c r="B15" s="33" t="s">
        <v>147</v>
      </c>
      <c r="C15" s="33"/>
      <c r="D15" s="51"/>
      <c r="E15" s="51"/>
      <c r="F15" s="51"/>
      <c r="G15" s="51"/>
      <c r="H15" s="43">
        <v>-8359937</v>
      </c>
      <c r="I15" s="43">
        <v>-7817774</v>
      </c>
      <c r="J15" s="43">
        <v>-8983317</v>
      </c>
      <c r="K15" s="43">
        <v>-9843282</v>
      </c>
      <c r="L15" s="43">
        <v>-10072318</v>
      </c>
      <c r="M15" s="43">
        <v>-9347213</v>
      </c>
      <c r="N15" s="43">
        <v>-8178629</v>
      </c>
      <c r="O15" s="43">
        <v>-8690599</v>
      </c>
      <c r="P15" s="22"/>
    </row>
    <row r="16" spans="1:16" ht="15" x14ac:dyDescent="0.25">
      <c r="A16" s="33"/>
      <c r="B16" s="33" t="s">
        <v>113</v>
      </c>
      <c r="C16" s="33"/>
      <c r="D16" s="51"/>
      <c r="E16" s="51"/>
      <c r="F16" s="51"/>
      <c r="G16" s="51"/>
      <c r="H16" s="43">
        <v>465656</v>
      </c>
      <c r="I16" s="43">
        <v>272005</v>
      </c>
      <c r="J16" s="43">
        <v>143442</v>
      </c>
      <c r="K16" s="43">
        <v>168961</v>
      </c>
      <c r="L16" s="43">
        <v>149283</v>
      </c>
      <c r="M16" s="43">
        <v>157697</v>
      </c>
      <c r="N16" s="43">
        <v>172051</v>
      </c>
      <c r="O16" s="43">
        <v>201406</v>
      </c>
      <c r="P16" s="22"/>
    </row>
    <row r="17" spans="1:16" ht="15" x14ac:dyDescent="0.25">
      <c r="A17" s="33"/>
      <c r="B17" s="33" t="s">
        <v>114</v>
      </c>
      <c r="C17" s="33"/>
      <c r="D17" s="51"/>
      <c r="E17" s="51"/>
      <c r="F17" s="51"/>
      <c r="G17" s="51"/>
      <c r="H17" s="53">
        <v>-145068</v>
      </c>
      <c r="I17" s="53">
        <v>-459572</v>
      </c>
      <c r="J17" s="53">
        <v>-796055</v>
      </c>
      <c r="K17" s="53">
        <v>-773953</v>
      </c>
      <c r="L17" s="53">
        <v>-750386</v>
      </c>
      <c r="M17" s="53">
        <v>-725256</v>
      </c>
      <c r="N17" s="53">
        <v>-688127</v>
      </c>
      <c r="O17" s="53">
        <v>-662474</v>
      </c>
      <c r="P17" s="23"/>
    </row>
    <row r="18" spans="1:16" ht="15" x14ac:dyDescent="0.25">
      <c r="A18" s="33"/>
      <c r="B18" s="33"/>
      <c r="C18" s="33" t="s">
        <v>115</v>
      </c>
      <c r="D18" s="51"/>
      <c r="E18" s="51"/>
      <c r="F18" s="51"/>
      <c r="G18" s="51"/>
      <c r="H18" s="43">
        <f>SUM(H12:H17)</f>
        <v>8396626</v>
      </c>
      <c r="I18" s="43">
        <f>SUM(I12:I17)</f>
        <v>9186700</v>
      </c>
      <c r="J18" s="43">
        <f t="shared" ref="J18:N18" si="3">SUM(J12:J17)</f>
        <v>4239440</v>
      </c>
      <c r="K18" s="43">
        <f t="shared" si="3"/>
        <v>7368240</v>
      </c>
      <c r="L18" s="43">
        <f t="shared" si="3"/>
        <v>11349083</v>
      </c>
      <c r="M18" s="43">
        <f t="shared" si="3"/>
        <v>4002934</v>
      </c>
      <c r="N18" s="43">
        <f t="shared" si="3"/>
        <v>11062597</v>
      </c>
      <c r="O18" s="43">
        <f t="shared" ref="O18:P18" si="4">SUM(O12:O17)</f>
        <v>5149305</v>
      </c>
      <c r="P18" s="22">
        <f t="shared" si="4"/>
        <v>0</v>
      </c>
    </row>
    <row r="19" spans="1:16" ht="15" x14ac:dyDescent="0.25">
      <c r="A19" s="33"/>
      <c r="B19" s="33"/>
      <c r="C19" s="33"/>
      <c r="D19" s="51"/>
      <c r="E19" s="51"/>
      <c r="F19" s="51"/>
      <c r="G19" s="51"/>
      <c r="H19" s="43"/>
      <c r="I19" s="43"/>
      <c r="J19" s="43"/>
      <c r="K19" s="43"/>
      <c r="L19" s="43"/>
      <c r="M19" s="43"/>
      <c r="N19" s="43"/>
      <c r="O19" s="43"/>
      <c r="P19" s="22"/>
    </row>
    <row r="20" spans="1:16" ht="15" x14ac:dyDescent="0.25">
      <c r="A20" s="33" t="s">
        <v>126</v>
      </c>
      <c r="B20" s="33"/>
      <c r="C20" s="33"/>
      <c r="D20" s="51"/>
      <c r="E20" s="51"/>
      <c r="F20" s="51"/>
      <c r="G20" s="51"/>
      <c r="H20" s="43"/>
      <c r="I20" s="43"/>
      <c r="J20" s="43"/>
      <c r="K20" s="43"/>
      <c r="L20" s="43"/>
      <c r="M20" s="43"/>
      <c r="N20" s="43"/>
      <c r="O20" s="43"/>
      <c r="P20" s="22"/>
    </row>
    <row r="21" spans="1:16" ht="15" x14ac:dyDescent="0.25">
      <c r="A21" s="33"/>
      <c r="B21" s="33" t="s">
        <v>116</v>
      </c>
      <c r="C21" s="33"/>
      <c r="D21" s="51"/>
      <c r="E21" s="51"/>
      <c r="F21" s="51"/>
      <c r="G21" s="51"/>
      <c r="H21" s="43">
        <v>-5305221</v>
      </c>
      <c r="I21" s="43">
        <v>-18905129</v>
      </c>
      <c r="J21" s="43">
        <v>-3634362</v>
      </c>
      <c r="K21" s="43">
        <v>-2992363</v>
      </c>
      <c r="L21" s="43">
        <v>-3338203</v>
      </c>
      <c r="M21" s="43">
        <v>-2149573</v>
      </c>
      <c r="N21" s="43">
        <v>-4023097</v>
      </c>
      <c r="O21" s="43">
        <v>-5162734</v>
      </c>
      <c r="P21" s="22"/>
    </row>
    <row r="22" spans="1:16" ht="15" x14ac:dyDescent="0.25">
      <c r="A22" s="33"/>
      <c r="B22" s="33" t="s">
        <v>117</v>
      </c>
      <c r="C22" s="33"/>
      <c r="D22" s="51"/>
      <c r="E22" s="51"/>
      <c r="F22" s="51"/>
      <c r="G22" s="51"/>
      <c r="H22" s="43">
        <v>113127</v>
      </c>
      <c r="I22" s="43">
        <v>30731</v>
      </c>
      <c r="J22" s="43">
        <v>26324</v>
      </c>
      <c r="K22" s="43">
        <v>-113657</v>
      </c>
      <c r="L22" s="43">
        <v>-420527</v>
      </c>
      <c r="M22" s="43">
        <v>-718421</v>
      </c>
      <c r="N22" s="43">
        <v>-92663</v>
      </c>
      <c r="O22" s="43">
        <v>-528876</v>
      </c>
      <c r="P22" s="22"/>
    </row>
    <row r="23" spans="1:16" ht="15" x14ac:dyDescent="0.25">
      <c r="A23" s="33"/>
      <c r="B23" s="33" t="s">
        <v>118</v>
      </c>
      <c r="C23" s="33"/>
      <c r="D23" s="51"/>
      <c r="E23" s="51"/>
      <c r="F23" s="51"/>
      <c r="G23" s="51"/>
      <c r="H23" s="43">
        <v>-698839</v>
      </c>
      <c r="I23" s="43">
        <v>-730161</v>
      </c>
      <c r="J23" s="43">
        <v>-267940</v>
      </c>
      <c r="K23" s="43">
        <v>-97518</v>
      </c>
      <c r="L23" s="43">
        <v>-112369</v>
      </c>
      <c r="M23" s="43">
        <v>0</v>
      </c>
      <c r="N23" s="43">
        <v>-340338</v>
      </c>
      <c r="O23" s="43">
        <v>-511617</v>
      </c>
      <c r="P23" s="22"/>
    </row>
    <row r="24" spans="1:16" ht="15" x14ac:dyDescent="0.25">
      <c r="A24" s="33"/>
      <c r="B24" s="33" t="s">
        <v>119</v>
      </c>
      <c r="C24" s="33"/>
      <c r="D24" s="51"/>
      <c r="E24" s="51"/>
      <c r="F24" s="51"/>
      <c r="G24" s="51"/>
      <c r="H24" s="43">
        <v>86518</v>
      </c>
      <c r="I24" s="43">
        <v>69276</v>
      </c>
      <c r="J24" s="43">
        <v>54636</v>
      </c>
      <c r="K24" s="43">
        <v>55489</v>
      </c>
      <c r="L24" s="43">
        <v>66891</v>
      </c>
      <c r="M24" s="43">
        <v>-25646</v>
      </c>
      <c r="N24" s="43">
        <v>153352</v>
      </c>
      <c r="O24" s="43">
        <v>54689</v>
      </c>
      <c r="P24" s="22"/>
    </row>
    <row r="25" spans="1:16" ht="15" x14ac:dyDescent="0.25">
      <c r="A25" s="33"/>
      <c r="B25" s="33" t="s">
        <v>138</v>
      </c>
      <c r="C25" s="33"/>
      <c r="D25" s="51"/>
      <c r="E25" s="51"/>
      <c r="F25" s="51"/>
      <c r="G25" s="51"/>
      <c r="H25" s="43"/>
      <c r="I25" s="43"/>
      <c r="J25" s="43"/>
      <c r="K25" s="43"/>
      <c r="L25" s="43">
        <v>-4000000</v>
      </c>
      <c r="M25" s="43"/>
      <c r="N25" s="112">
        <v>-8021237</v>
      </c>
      <c r="O25" s="43">
        <v>-2078228</v>
      </c>
      <c r="P25" s="22"/>
    </row>
    <row r="26" spans="1:16" ht="15" x14ac:dyDescent="0.25">
      <c r="A26" s="33"/>
      <c r="B26" s="33" t="s">
        <v>120</v>
      </c>
      <c r="C26" s="33"/>
      <c r="D26" s="51"/>
      <c r="E26" s="51"/>
      <c r="F26" s="51"/>
      <c r="G26" s="51"/>
      <c r="H26" s="43"/>
      <c r="I26" s="43"/>
      <c r="J26" s="43"/>
      <c r="K26" s="43"/>
      <c r="L26" s="43"/>
      <c r="M26" s="43"/>
      <c r="N26" s="43"/>
      <c r="O26" s="43"/>
      <c r="P26" s="22"/>
    </row>
    <row r="27" spans="1:16" ht="15" x14ac:dyDescent="0.25">
      <c r="A27" s="33"/>
      <c r="B27" s="33"/>
      <c r="C27" s="33" t="s">
        <v>121</v>
      </c>
      <c r="D27" s="51"/>
      <c r="E27" s="51"/>
      <c r="F27" s="51"/>
      <c r="G27" s="51"/>
      <c r="H27" s="43">
        <v>87842</v>
      </c>
      <c r="I27" s="43">
        <v>148143</v>
      </c>
      <c r="J27" s="43">
        <v>-124975</v>
      </c>
      <c r="K27" s="43">
        <v>-374970</v>
      </c>
      <c r="L27" s="43">
        <v>-1425836</v>
      </c>
      <c r="M27" s="43">
        <v>418622</v>
      </c>
      <c r="N27" s="43">
        <v>62136</v>
      </c>
      <c r="O27" s="43">
        <v>-414126</v>
      </c>
      <c r="P27" s="22"/>
    </row>
    <row r="28" spans="1:16" ht="15" x14ac:dyDescent="0.25">
      <c r="A28" s="33"/>
      <c r="B28" s="33"/>
      <c r="C28" s="33" t="s">
        <v>122</v>
      </c>
      <c r="D28" s="51"/>
      <c r="E28" s="51"/>
      <c r="F28" s="51"/>
      <c r="G28" s="51"/>
      <c r="H28" s="43">
        <v>-68613</v>
      </c>
      <c r="I28" s="43">
        <v>-115671</v>
      </c>
      <c r="J28" s="43">
        <v>-184505</v>
      </c>
      <c r="K28" s="43">
        <v>-56964</v>
      </c>
      <c r="L28" s="43">
        <v>-93850</v>
      </c>
      <c r="M28" s="43">
        <v>-235307</v>
      </c>
      <c r="N28" s="43">
        <v>-152525</v>
      </c>
      <c r="O28" s="43">
        <v>-251904</v>
      </c>
      <c r="P28" s="22"/>
    </row>
    <row r="29" spans="1:16" ht="15" x14ac:dyDescent="0.25">
      <c r="A29" s="33"/>
      <c r="B29" s="33"/>
      <c r="C29" s="33" t="s">
        <v>123</v>
      </c>
      <c r="D29" s="113"/>
      <c r="E29" s="113"/>
      <c r="F29" s="113"/>
      <c r="G29" s="113"/>
      <c r="H29" s="53">
        <v>-14769</v>
      </c>
      <c r="I29" s="53">
        <v>-20395</v>
      </c>
      <c r="J29" s="53">
        <v>-32519</v>
      </c>
      <c r="K29" s="53">
        <v>2281</v>
      </c>
      <c r="L29" s="53">
        <v>38940</v>
      </c>
      <c r="M29" s="53">
        <v>-4914</v>
      </c>
      <c r="N29" s="53">
        <v>1724551</v>
      </c>
      <c r="O29" s="53">
        <v>-1674455</v>
      </c>
      <c r="P29" s="23"/>
    </row>
    <row r="30" spans="1:16" ht="15" x14ac:dyDescent="0.25">
      <c r="A30" s="33"/>
      <c r="B30" s="33"/>
      <c r="C30" s="33" t="s">
        <v>124</v>
      </c>
      <c r="D30" s="51"/>
      <c r="E30" s="51"/>
      <c r="F30" s="51"/>
      <c r="G30" s="51"/>
      <c r="H30" s="43">
        <f t="shared" ref="H30:N30" si="5">SUM(H21:H29)</f>
        <v>-5799955</v>
      </c>
      <c r="I30" s="43">
        <f t="shared" si="5"/>
        <v>-19523206</v>
      </c>
      <c r="J30" s="43">
        <f t="shared" si="5"/>
        <v>-4163341</v>
      </c>
      <c r="K30" s="43">
        <f t="shared" si="5"/>
        <v>-3577702</v>
      </c>
      <c r="L30" s="43">
        <f t="shared" si="5"/>
        <v>-9284954</v>
      </c>
      <c r="M30" s="43">
        <f t="shared" si="5"/>
        <v>-2715239</v>
      </c>
      <c r="N30" s="43">
        <f t="shared" si="5"/>
        <v>-10689821</v>
      </c>
      <c r="O30" s="43">
        <f t="shared" ref="O30:P30" si="6">SUM(O21:O29)</f>
        <v>-10567251</v>
      </c>
      <c r="P30" s="22">
        <f t="shared" si="6"/>
        <v>0</v>
      </c>
    </row>
    <row r="31" spans="1:16" ht="15" x14ac:dyDescent="0.25">
      <c r="A31" s="33"/>
      <c r="B31" s="33"/>
      <c r="C31" s="33"/>
      <c r="D31" s="51"/>
      <c r="E31" s="51"/>
      <c r="F31" s="51"/>
      <c r="G31" s="51"/>
      <c r="H31" s="43"/>
      <c r="I31" s="43"/>
      <c r="J31" s="43"/>
      <c r="K31" s="43"/>
      <c r="L31" s="43"/>
      <c r="M31" s="43"/>
      <c r="N31" s="43"/>
      <c r="O31" s="43"/>
      <c r="P31" s="22"/>
    </row>
    <row r="32" spans="1:16" ht="15" x14ac:dyDescent="0.25">
      <c r="A32" s="33" t="s">
        <v>125</v>
      </c>
      <c r="B32" s="33"/>
      <c r="C32" s="33"/>
      <c r="D32" s="51"/>
      <c r="E32" s="51"/>
      <c r="F32" s="51"/>
      <c r="G32" s="51"/>
      <c r="H32" s="43"/>
      <c r="I32" s="43"/>
      <c r="J32" s="43"/>
      <c r="K32" s="43"/>
      <c r="L32" s="43"/>
      <c r="M32" s="43"/>
      <c r="N32" s="43"/>
      <c r="O32" s="43"/>
      <c r="P32" s="22"/>
    </row>
    <row r="33" spans="1:16" ht="15" x14ac:dyDescent="0.25">
      <c r="A33" s="33"/>
      <c r="B33" s="33" t="s">
        <v>127</v>
      </c>
      <c r="C33" s="33"/>
      <c r="D33" s="51"/>
      <c r="E33" s="51"/>
      <c r="F33" s="51"/>
      <c r="G33" s="51"/>
      <c r="H33" s="43">
        <v>-10732</v>
      </c>
      <c r="I33" s="43">
        <v>-12</v>
      </c>
      <c r="J33" s="43">
        <v>0</v>
      </c>
      <c r="K33" s="43">
        <v>-1012353</v>
      </c>
      <c r="L33" s="43">
        <v>-2020494</v>
      </c>
      <c r="M33" s="43">
        <v>-1931838</v>
      </c>
      <c r="N33" s="43">
        <v>0</v>
      </c>
      <c r="O33" s="43">
        <v>0</v>
      </c>
      <c r="P33" s="22"/>
    </row>
    <row r="34" spans="1:16" ht="15" x14ac:dyDescent="0.25">
      <c r="A34" s="33"/>
      <c r="B34" s="33" t="s">
        <v>128</v>
      </c>
      <c r="C34" s="33"/>
      <c r="D34" s="51"/>
      <c r="E34" s="51"/>
      <c r="F34" s="51"/>
      <c r="G34" s="51"/>
      <c r="H34" s="43">
        <v>-224903</v>
      </c>
      <c r="I34" s="43">
        <v>9736545</v>
      </c>
      <c r="J34" s="43">
        <v>-356313</v>
      </c>
      <c r="K34" s="43">
        <v>-379784</v>
      </c>
      <c r="L34" s="43">
        <v>-404809</v>
      </c>
      <c r="M34" s="43">
        <v>-431494</v>
      </c>
      <c r="N34" s="43">
        <v>-463393</v>
      </c>
      <c r="O34" s="43">
        <v>-387017</v>
      </c>
      <c r="P34" s="22"/>
    </row>
    <row r="35" spans="1:16" ht="15" x14ac:dyDescent="0.25">
      <c r="A35" s="33"/>
      <c r="B35" s="33" t="s">
        <v>129</v>
      </c>
      <c r="C35" s="33"/>
      <c r="D35" s="51"/>
      <c r="E35" s="51"/>
      <c r="F35" s="51"/>
      <c r="G35" s="51"/>
      <c r="H35" s="43">
        <v>-42484</v>
      </c>
      <c r="I35" s="43">
        <v>-44853</v>
      </c>
      <c r="J35" s="43">
        <v>-47354</v>
      </c>
      <c r="K35" s="43">
        <v>-49996</v>
      </c>
      <c r="L35" s="43">
        <v>-52785</v>
      </c>
      <c r="M35" s="43">
        <v>-55729</v>
      </c>
      <c r="N35" s="43">
        <v>-58837</v>
      </c>
      <c r="O35" s="43">
        <v>-62119</v>
      </c>
      <c r="P35" s="22"/>
    </row>
    <row r="36" spans="1:16" ht="15" x14ac:dyDescent="0.25">
      <c r="A36" s="33"/>
      <c r="B36" s="33" t="s">
        <v>130</v>
      </c>
      <c r="C36" s="33"/>
      <c r="D36" s="51"/>
      <c r="E36" s="51"/>
      <c r="F36" s="51"/>
      <c r="G36" s="51"/>
      <c r="H36" s="53">
        <v>43200</v>
      </c>
      <c r="I36" s="53">
        <v>-45300</v>
      </c>
      <c r="J36" s="53">
        <v>665</v>
      </c>
      <c r="K36" s="53">
        <v>-13115</v>
      </c>
      <c r="L36" s="53">
        <v>43240</v>
      </c>
      <c r="M36" s="53">
        <v>4620</v>
      </c>
      <c r="N36" s="53">
        <v>-16450</v>
      </c>
      <c r="O36" s="53">
        <v>-32307</v>
      </c>
      <c r="P36" s="23"/>
    </row>
    <row r="37" spans="1:16" ht="15" x14ac:dyDescent="0.25">
      <c r="A37" s="33"/>
      <c r="B37" s="33"/>
      <c r="C37" s="33" t="s">
        <v>131</v>
      </c>
      <c r="D37" s="51"/>
      <c r="E37" s="51"/>
      <c r="F37" s="51"/>
      <c r="G37" s="51"/>
      <c r="H37" s="43">
        <f>SUM(H33:H36)</f>
        <v>-234919</v>
      </c>
      <c r="I37" s="43">
        <f t="shared" ref="I37:N37" si="7">SUM(I33:I36)</f>
        <v>9646380</v>
      </c>
      <c r="J37" s="43">
        <f t="shared" si="7"/>
        <v>-403002</v>
      </c>
      <c r="K37" s="43">
        <f t="shared" si="7"/>
        <v>-1455248</v>
      </c>
      <c r="L37" s="43">
        <f t="shared" si="7"/>
        <v>-2434848</v>
      </c>
      <c r="M37" s="43">
        <f t="shared" si="7"/>
        <v>-2414441</v>
      </c>
      <c r="N37" s="43">
        <f t="shared" si="7"/>
        <v>-538680</v>
      </c>
      <c r="O37" s="43">
        <f t="shared" ref="O37:P37" si="8">SUM(O33:O36)</f>
        <v>-481443</v>
      </c>
      <c r="P37" s="22">
        <f t="shared" si="8"/>
        <v>0</v>
      </c>
    </row>
    <row r="38" spans="1:16" ht="15" x14ac:dyDescent="0.25">
      <c r="A38" s="33"/>
      <c r="B38" s="33"/>
      <c r="C38" s="33"/>
      <c r="D38" s="51"/>
      <c r="E38" s="51"/>
      <c r="F38" s="51"/>
      <c r="G38" s="51"/>
      <c r="H38" s="43"/>
      <c r="I38" s="43"/>
      <c r="J38" s="43"/>
      <c r="K38" s="43"/>
      <c r="L38" s="43"/>
      <c r="M38" s="43"/>
      <c r="N38" s="43"/>
      <c r="O38" s="43"/>
      <c r="P38" s="22"/>
    </row>
    <row r="39" spans="1:16" ht="15" x14ac:dyDescent="0.25">
      <c r="A39" s="33"/>
      <c r="B39" s="33" t="s">
        <v>132</v>
      </c>
      <c r="D39" s="51"/>
      <c r="E39" s="51"/>
      <c r="F39" s="51"/>
      <c r="G39" s="51"/>
      <c r="H39" s="43">
        <f t="shared" ref="H39:N39" si="9">+H37+H30+H18</f>
        <v>2361752</v>
      </c>
      <c r="I39" s="43">
        <f t="shared" si="9"/>
        <v>-690126</v>
      </c>
      <c r="J39" s="43">
        <f t="shared" si="9"/>
        <v>-326903</v>
      </c>
      <c r="K39" s="43">
        <f t="shared" si="9"/>
        <v>2335290</v>
      </c>
      <c r="L39" s="43">
        <f t="shared" si="9"/>
        <v>-370719</v>
      </c>
      <c r="M39" s="43">
        <f t="shared" si="9"/>
        <v>-1126746</v>
      </c>
      <c r="N39" s="43">
        <f t="shared" si="9"/>
        <v>-165904</v>
      </c>
      <c r="O39" s="43">
        <f t="shared" ref="O39:P39" si="10">+O37+O30+O18</f>
        <v>-5899389</v>
      </c>
      <c r="P39" s="22">
        <f t="shared" si="10"/>
        <v>0</v>
      </c>
    </row>
    <row r="40" spans="1:16" ht="15" x14ac:dyDescent="0.25">
      <c r="A40" s="33"/>
      <c r="B40" s="33"/>
      <c r="C40" s="33"/>
      <c r="D40" s="51"/>
      <c r="E40" s="51"/>
      <c r="F40" s="51"/>
      <c r="G40" s="51"/>
      <c r="H40" s="43"/>
      <c r="I40" s="43"/>
      <c r="J40" s="43"/>
      <c r="K40" s="43"/>
      <c r="L40" s="43"/>
      <c r="M40" s="43"/>
      <c r="N40" s="43"/>
      <c r="O40" s="43"/>
      <c r="P40" s="22"/>
    </row>
    <row r="41" spans="1:16" ht="15" x14ac:dyDescent="0.25">
      <c r="A41" s="33" t="s">
        <v>133</v>
      </c>
      <c r="B41" s="33"/>
      <c r="C41" s="33"/>
      <c r="D41" s="51"/>
      <c r="E41" s="51"/>
      <c r="F41" s="51"/>
      <c r="G41" s="51"/>
      <c r="H41" s="43">
        <v>9371799</v>
      </c>
      <c r="I41" s="43">
        <f>+H42</f>
        <v>11733551</v>
      </c>
      <c r="J41" s="43">
        <f t="shared" ref="J41:N41" si="11">+I42</f>
        <v>11043425</v>
      </c>
      <c r="K41" s="43">
        <f t="shared" si="11"/>
        <v>10716522</v>
      </c>
      <c r="L41" s="43">
        <f t="shared" si="11"/>
        <v>13051812</v>
      </c>
      <c r="M41" s="43">
        <f t="shared" si="11"/>
        <v>12681093</v>
      </c>
      <c r="N41" s="43">
        <f t="shared" si="11"/>
        <v>11554347</v>
      </c>
      <c r="O41" s="43">
        <f t="shared" ref="O41" si="12">+N42</f>
        <v>11388443</v>
      </c>
      <c r="P41" s="22">
        <f t="shared" ref="P41" si="13">+O42</f>
        <v>5489054</v>
      </c>
    </row>
    <row r="42" spans="1:16" ht="15" x14ac:dyDescent="0.25">
      <c r="A42" s="33" t="s">
        <v>134</v>
      </c>
      <c r="B42" s="33"/>
      <c r="C42" s="33"/>
      <c r="D42" s="51"/>
      <c r="E42" s="51"/>
      <c r="F42" s="51"/>
      <c r="G42" s="51"/>
      <c r="H42" s="43">
        <f>+H41+H39</f>
        <v>11733551</v>
      </c>
      <c r="I42" s="43">
        <f>+I41+I39</f>
        <v>11043425</v>
      </c>
      <c r="J42" s="43">
        <f t="shared" ref="J42:N42" si="14">+J41+J39</f>
        <v>10716522</v>
      </c>
      <c r="K42" s="43">
        <f t="shared" si="14"/>
        <v>13051812</v>
      </c>
      <c r="L42" s="43">
        <f>+L41+L39</f>
        <v>12681093</v>
      </c>
      <c r="M42" s="43">
        <f t="shared" si="14"/>
        <v>11554347</v>
      </c>
      <c r="N42" s="43">
        <f t="shared" si="14"/>
        <v>11388443</v>
      </c>
      <c r="O42" s="43">
        <f>+O41+O39</f>
        <v>5489054</v>
      </c>
      <c r="P42" s="22">
        <f t="shared" ref="P42" si="15">+P41+P39</f>
        <v>5489054</v>
      </c>
    </row>
    <row r="43" spans="1:16" ht="15" x14ac:dyDescent="0.25">
      <c r="A43" s="33"/>
      <c r="B43" s="33"/>
      <c r="C43" s="33"/>
      <c r="D43" s="51"/>
      <c r="E43" s="51"/>
      <c r="F43" s="51"/>
      <c r="G43" s="51"/>
      <c r="H43" s="43">
        <f>+H42-Historical!F10</f>
        <v>0</v>
      </c>
      <c r="I43" s="43">
        <f>+I42-Historical!G10</f>
        <v>0</v>
      </c>
      <c r="J43" s="43">
        <f>+J42-Historical!H10</f>
        <v>0</v>
      </c>
      <c r="K43" s="43">
        <f>+K42-Historical!I10</f>
        <v>0</v>
      </c>
      <c r="L43" s="43">
        <f>+L42-Historical!J10</f>
        <v>0</v>
      </c>
      <c r="M43" s="43">
        <f>+M42-Historical!K10</f>
        <v>0</v>
      </c>
      <c r="N43" s="43">
        <f>+N42-Historical!L10</f>
        <v>0</v>
      </c>
      <c r="O43" s="43">
        <f>+O42-Historical!M10</f>
        <v>0</v>
      </c>
      <c r="P43" s="22">
        <f>+P42-Historical!N10-Historical!N11</f>
        <v>-6325390</v>
      </c>
    </row>
    <row r="44" spans="1:16" ht="15" x14ac:dyDescent="0.25">
      <c r="A44" s="33" t="s">
        <v>135</v>
      </c>
      <c r="B44" s="33"/>
      <c r="C44" s="33"/>
      <c r="D44" s="51"/>
      <c r="E44" s="51"/>
      <c r="F44" s="51"/>
      <c r="G44" s="51"/>
      <c r="H44" s="43">
        <f>+Historical!F100</f>
        <v>5060999</v>
      </c>
      <c r="I44" s="43">
        <f>+Historical!G100</f>
        <v>3207146</v>
      </c>
      <c r="J44" s="43">
        <f>+Historical!I100</f>
        <v>3250867</v>
      </c>
      <c r="K44" s="43">
        <f>+Historical!J100</f>
        <v>3688212</v>
      </c>
      <c r="L44" s="43">
        <f>+Historical!K100</f>
        <v>2756074</v>
      </c>
      <c r="M44" s="43">
        <f>+Historical!L100</f>
        <v>3874761</v>
      </c>
      <c r="N44" s="43">
        <f>+Historical!M100</f>
        <v>1747357</v>
      </c>
      <c r="O44" s="43">
        <f>+Historical!N100</f>
        <v>1774801</v>
      </c>
      <c r="P44" s="22">
        <f>+Historical!N100</f>
        <v>1774801</v>
      </c>
    </row>
    <row r="45" spans="1:16" x14ac:dyDescent="0.2">
      <c r="H45" s="22"/>
      <c r="I45" s="22"/>
      <c r="J45" s="22"/>
      <c r="K45" s="22"/>
      <c r="L45" s="22"/>
      <c r="M45" s="22"/>
      <c r="N45" s="22"/>
      <c r="O45" s="22"/>
      <c r="P45" s="22"/>
    </row>
    <row r="46" spans="1:16" x14ac:dyDescent="0.2">
      <c r="H46" s="22"/>
      <c r="I46" s="22"/>
      <c r="J46" s="22"/>
      <c r="K46" s="22"/>
      <c r="L46" s="22"/>
      <c r="M46" s="22"/>
      <c r="N46" s="22"/>
      <c r="O46" s="22"/>
      <c r="P46" s="22"/>
    </row>
    <row r="47" spans="1:16" x14ac:dyDescent="0.2"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2">
      <c r="H48" s="22"/>
      <c r="I48" s="22"/>
      <c r="J48" s="22"/>
      <c r="K48" s="22"/>
      <c r="L48" s="22"/>
      <c r="M48" s="22"/>
      <c r="N48" s="22"/>
      <c r="O48" s="22"/>
      <c r="P48" s="22"/>
    </row>
    <row r="49" spans="8:16" x14ac:dyDescent="0.2">
      <c r="H49" s="22"/>
      <c r="I49" s="22"/>
      <c r="J49" s="22"/>
      <c r="K49" s="22"/>
      <c r="L49" s="22"/>
      <c r="M49" s="22"/>
      <c r="N49" s="22"/>
      <c r="O49" s="22"/>
      <c r="P49" s="22"/>
    </row>
    <row r="50" spans="8:16" x14ac:dyDescent="0.2">
      <c r="H50" s="22"/>
      <c r="I50" s="22"/>
      <c r="J50" s="22"/>
      <c r="K50" s="22"/>
      <c r="L50" s="22"/>
      <c r="M50" s="22"/>
      <c r="N50" s="22"/>
      <c r="O50" s="22"/>
      <c r="P50" s="22"/>
    </row>
    <row r="51" spans="8:16" x14ac:dyDescent="0.2">
      <c r="H51" s="22"/>
      <c r="I51" s="22"/>
      <c r="J51" s="22"/>
      <c r="K51" s="22"/>
      <c r="L51" s="22"/>
      <c r="M51" s="22"/>
      <c r="N51" s="22"/>
      <c r="O51" s="22"/>
      <c r="P51" s="22"/>
    </row>
    <row r="52" spans="8:16" x14ac:dyDescent="0.2">
      <c r="H52" s="22"/>
      <c r="I52" s="22"/>
      <c r="J52" s="22"/>
      <c r="K52" s="22"/>
      <c r="L52" s="22"/>
      <c r="M52" s="22"/>
      <c r="N52" s="22"/>
      <c r="O52" s="22"/>
      <c r="P52" s="22"/>
    </row>
    <row r="53" spans="8:16" x14ac:dyDescent="0.2">
      <c r="H53" s="22"/>
      <c r="I53" s="22"/>
      <c r="J53" s="22"/>
      <c r="K53" s="22"/>
      <c r="L53" s="22"/>
      <c r="M53" s="22"/>
      <c r="N53" s="22"/>
      <c r="O53" s="22"/>
      <c r="P53" s="22"/>
    </row>
    <row r="54" spans="8:16" x14ac:dyDescent="0.2">
      <c r="H54" s="22"/>
      <c r="I54" s="22"/>
      <c r="J54" s="22"/>
      <c r="K54" s="22"/>
      <c r="L54" s="22"/>
      <c r="M54" s="22"/>
      <c r="N54" s="22"/>
      <c r="O54" s="22"/>
      <c r="P54" s="22"/>
    </row>
    <row r="55" spans="8:16" x14ac:dyDescent="0.2">
      <c r="H55" s="22"/>
      <c r="I55" s="22"/>
      <c r="J55" s="22"/>
      <c r="K55" s="22"/>
      <c r="L55" s="22"/>
      <c r="M55" s="22"/>
      <c r="N55" s="22"/>
      <c r="O55" s="22"/>
      <c r="P55" s="22"/>
    </row>
    <row r="56" spans="8:16" x14ac:dyDescent="0.2">
      <c r="H56" s="22"/>
      <c r="I56" s="22"/>
      <c r="J56" s="22"/>
      <c r="K56" s="22"/>
      <c r="L56" s="22"/>
      <c r="M56" s="22"/>
      <c r="N56" s="22"/>
      <c r="O56" s="22"/>
      <c r="P56" s="22"/>
    </row>
    <row r="57" spans="8:16" x14ac:dyDescent="0.2">
      <c r="H57" s="22"/>
      <c r="I57" s="22"/>
      <c r="J57" s="22"/>
      <c r="K57" s="22"/>
      <c r="L57" s="22"/>
      <c r="M57" s="22"/>
      <c r="N57" s="22"/>
      <c r="O57" s="22"/>
      <c r="P57" s="22"/>
    </row>
    <row r="58" spans="8:16" x14ac:dyDescent="0.2">
      <c r="H58" s="22"/>
      <c r="I58" s="22"/>
      <c r="J58" s="22"/>
      <c r="K58" s="22"/>
      <c r="L58" s="22"/>
      <c r="M58" s="22"/>
      <c r="N58" s="22"/>
      <c r="O58" s="22"/>
      <c r="P58" s="22"/>
    </row>
    <row r="59" spans="8:16" x14ac:dyDescent="0.2">
      <c r="H59" s="22"/>
      <c r="I59" s="22"/>
      <c r="J59" s="22"/>
      <c r="K59" s="22"/>
      <c r="L59" s="22"/>
      <c r="M59" s="22"/>
      <c r="N59" s="22"/>
      <c r="O59" s="22"/>
      <c r="P59" s="22"/>
    </row>
    <row r="60" spans="8:16" x14ac:dyDescent="0.2">
      <c r="H60" s="22"/>
      <c r="I60" s="22"/>
      <c r="J60" s="22"/>
      <c r="K60" s="22"/>
      <c r="L60" s="22"/>
      <c r="M60" s="22"/>
      <c r="N60" s="22"/>
      <c r="O60" s="22"/>
      <c r="P60" s="22"/>
    </row>
    <row r="61" spans="8:16" x14ac:dyDescent="0.2">
      <c r="H61" s="22"/>
      <c r="I61" s="22"/>
      <c r="J61" s="22"/>
      <c r="K61" s="22"/>
      <c r="L61" s="22"/>
      <c r="M61" s="22"/>
      <c r="N61" s="22"/>
      <c r="O61" s="22"/>
      <c r="P61" s="22"/>
    </row>
    <row r="62" spans="8:16" x14ac:dyDescent="0.2">
      <c r="H62" s="22"/>
      <c r="I62" s="22"/>
      <c r="J62" s="22"/>
      <c r="K62" s="22"/>
      <c r="L62" s="22"/>
      <c r="M62" s="22"/>
      <c r="N62" s="22"/>
      <c r="O62" s="22"/>
      <c r="P62" s="22"/>
    </row>
    <row r="63" spans="8:16" x14ac:dyDescent="0.2">
      <c r="H63" s="22"/>
      <c r="I63" s="22"/>
      <c r="J63" s="22"/>
      <c r="K63" s="22"/>
      <c r="L63" s="22"/>
      <c r="M63" s="22"/>
      <c r="N63" s="22"/>
      <c r="O63" s="22"/>
      <c r="P63" s="22"/>
    </row>
    <row r="64" spans="8:16" x14ac:dyDescent="0.2">
      <c r="H64" s="22"/>
      <c r="I64" s="22"/>
      <c r="J64" s="22"/>
      <c r="K64" s="22"/>
      <c r="L64" s="22"/>
      <c r="M64" s="22"/>
      <c r="N64" s="22"/>
      <c r="O64" s="22"/>
      <c r="P64" s="22"/>
    </row>
    <row r="65" spans="8:16" x14ac:dyDescent="0.2">
      <c r="H65" s="22"/>
      <c r="I65" s="22"/>
      <c r="J65" s="22"/>
      <c r="K65" s="22"/>
      <c r="L65" s="22"/>
      <c r="M65" s="22"/>
      <c r="N65" s="22"/>
      <c r="O65" s="22"/>
      <c r="P65" s="22"/>
    </row>
    <row r="66" spans="8:16" x14ac:dyDescent="0.2">
      <c r="H66" s="22"/>
      <c r="I66" s="22"/>
      <c r="J66" s="22"/>
      <c r="K66" s="22"/>
      <c r="L66" s="22"/>
      <c r="M66" s="22"/>
      <c r="N66" s="22"/>
      <c r="O66" s="22"/>
      <c r="P66" s="22"/>
    </row>
    <row r="67" spans="8:16" x14ac:dyDescent="0.2">
      <c r="H67" s="22"/>
      <c r="I67" s="22"/>
      <c r="J67" s="22"/>
      <c r="K67" s="22"/>
      <c r="L67" s="22"/>
      <c r="M67" s="22"/>
      <c r="N67" s="22"/>
      <c r="O67" s="22"/>
      <c r="P67" s="22"/>
    </row>
    <row r="68" spans="8:16" x14ac:dyDescent="0.2">
      <c r="H68" s="22"/>
      <c r="I68" s="22"/>
      <c r="J68" s="22"/>
      <c r="K68" s="22"/>
      <c r="L68" s="22"/>
      <c r="M68" s="22"/>
      <c r="N68" s="22"/>
      <c r="O68" s="22"/>
      <c r="P68" s="22"/>
    </row>
    <row r="69" spans="8:16" x14ac:dyDescent="0.2">
      <c r="H69" s="22"/>
      <c r="I69" s="22"/>
      <c r="J69" s="22"/>
      <c r="K69" s="22"/>
      <c r="L69" s="22"/>
      <c r="M69" s="22"/>
      <c r="N69" s="22"/>
      <c r="O69" s="22"/>
      <c r="P69" s="22"/>
    </row>
    <row r="70" spans="8:16" x14ac:dyDescent="0.2">
      <c r="H70" s="22"/>
      <c r="I70" s="22"/>
      <c r="J70" s="22"/>
      <c r="K70" s="22"/>
      <c r="L70" s="22"/>
      <c r="M70" s="22"/>
      <c r="N70" s="22"/>
      <c r="O70" s="22"/>
      <c r="P70" s="22"/>
    </row>
    <row r="71" spans="8:16" x14ac:dyDescent="0.2">
      <c r="H71" s="22"/>
      <c r="I71" s="22"/>
      <c r="J71" s="22"/>
      <c r="K71" s="22"/>
      <c r="L71" s="22"/>
      <c r="M71" s="22"/>
      <c r="N71" s="22"/>
      <c r="O71" s="22"/>
      <c r="P71" s="22"/>
    </row>
    <row r="72" spans="8:16" x14ac:dyDescent="0.2">
      <c r="H72" s="22"/>
      <c r="I72" s="22"/>
      <c r="J72" s="22"/>
      <c r="K72" s="22"/>
      <c r="L72" s="22"/>
      <c r="M72" s="22"/>
      <c r="N72" s="22"/>
      <c r="O72" s="22"/>
      <c r="P72" s="22"/>
    </row>
    <row r="73" spans="8:16" x14ac:dyDescent="0.2">
      <c r="H73" s="22"/>
      <c r="I73" s="22"/>
      <c r="J73" s="22"/>
      <c r="K73" s="22"/>
      <c r="L73" s="22"/>
      <c r="M73" s="22"/>
      <c r="N73" s="22"/>
      <c r="O73" s="22"/>
      <c r="P73" s="22"/>
    </row>
    <row r="74" spans="8:16" x14ac:dyDescent="0.2">
      <c r="H74" s="22"/>
      <c r="I74" s="22"/>
      <c r="J74" s="22"/>
      <c r="K74" s="22"/>
      <c r="L74" s="22"/>
      <c r="M74" s="22"/>
      <c r="N74" s="22"/>
      <c r="O74" s="22"/>
      <c r="P74" s="22"/>
    </row>
    <row r="75" spans="8:16" x14ac:dyDescent="0.2">
      <c r="H75" s="22"/>
      <c r="I75" s="22"/>
      <c r="J75" s="22"/>
      <c r="K75" s="22"/>
      <c r="L75" s="22"/>
      <c r="M75" s="22"/>
      <c r="N75" s="22"/>
      <c r="O75" s="22"/>
      <c r="P75" s="22"/>
    </row>
    <row r="76" spans="8:16" x14ac:dyDescent="0.2">
      <c r="H76" s="22"/>
      <c r="I76" s="22"/>
      <c r="J76" s="22"/>
      <c r="K76" s="22"/>
      <c r="L76" s="22"/>
      <c r="M76" s="22"/>
      <c r="N76" s="22"/>
      <c r="O76" s="22"/>
      <c r="P76" s="22"/>
    </row>
    <row r="77" spans="8:16" x14ac:dyDescent="0.2">
      <c r="H77" s="22"/>
      <c r="I77" s="22"/>
      <c r="J77" s="22"/>
      <c r="K77" s="22"/>
      <c r="L77" s="22"/>
      <c r="M77" s="22"/>
      <c r="N77" s="22"/>
      <c r="O77" s="22"/>
      <c r="P77" s="22"/>
    </row>
    <row r="78" spans="8:16" x14ac:dyDescent="0.2">
      <c r="H78" s="22"/>
      <c r="I78" s="22"/>
      <c r="J78" s="22"/>
      <c r="K78" s="22"/>
      <c r="L78" s="22"/>
      <c r="M78" s="22"/>
      <c r="N78" s="22"/>
      <c r="O78" s="22"/>
      <c r="P78" s="22"/>
    </row>
    <row r="79" spans="8:16" x14ac:dyDescent="0.2">
      <c r="H79" s="22"/>
      <c r="I79" s="22"/>
      <c r="J79" s="22"/>
      <c r="K79" s="22"/>
      <c r="L79" s="22"/>
      <c r="M79" s="22"/>
      <c r="N79" s="22"/>
      <c r="O79" s="22"/>
      <c r="P79" s="22"/>
    </row>
    <row r="80" spans="8:16" x14ac:dyDescent="0.2">
      <c r="H80" s="22"/>
      <c r="I80" s="22"/>
      <c r="J80" s="22"/>
      <c r="K80" s="22"/>
      <c r="L80" s="22"/>
      <c r="M80" s="22"/>
      <c r="N80" s="22"/>
      <c r="O80" s="22"/>
      <c r="P80" s="22"/>
    </row>
    <row r="81" spans="8:16" x14ac:dyDescent="0.2">
      <c r="H81" s="22"/>
      <c r="I81" s="22"/>
      <c r="J81" s="22"/>
      <c r="K81" s="22"/>
      <c r="L81" s="22"/>
      <c r="M81" s="22"/>
      <c r="N81" s="22"/>
      <c r="O81" s="22"/>
      <c r="P81" s="22"/>
    </row>
    <row r="82" spans="8:16" x14ac:dyDescent="0.2">
      <c r="H82" s="22"/>
      <c r="I82" s="22"/>
      <c r="J82" s="22"/>
      <c r="K82" s="22"/>
      <c r="L82" s="22"/>
      <c r="M82" s="22"/>
      <c r="N82" s="22"/>
      <c r="O82" s="22"/>
      <c r="P82" s="22"/>
    </row>
    <row r="83" spans="8:16" x14ac:dyDescent="0.2">
      <c r="H83" s="22"/>
      <c r="I83" s="22"/>
      <c r="J83" s="22"/>
      <c r="K83" s="22"/>
      <c r="L83" s="22"/>
      <c r="M83" s="22"/>
      <c r="N83" s="22"/>
      <c r="O83" s="22"/>
      <c r="P83" s="22"/>
    </row>
    <row r="84" spans="8:16" x14ac:dyDescent="0.2">
      <c r="H84" s="22"/>
      <c r="I84" s="22"/>
      <c r="J84" s="22"/>
      <c r="K84" s="22"/>
      <c r="L84" s="22"/>
      <c r="M84" s="22"/>
      <c r="N84" s="22"/>
      <c r="O84" s="22"/>
      <c r="P84" s="22"/>
    </row>
    <row r="85" spans="8:16" x14ac:dyDescent="0.2">
      <c r="H85" s="22"/>
      <c r="I85" s="22"/>
      <c r="J85" s="22"/>
      <c r="K85" s="22"/>
      <c r="L85" s="22"/>
      <c r="M85" s="22"/>
      <c r="N85" s="22"/>
      <c r="O85" s="22"/>
      <c r="P85" s="22"/>
    </row>
    <row r="86" spans="8:16" x14ac:dyDescent="0.2">
      <c r="H86" s="22"/>
      <c r="I86" s="22"/>
      <c r="J86" s="22"/>
      <c r="K86" s="22"/>
      <c r="L86" s="22"/>
      <c r="M86" s="22"/>
      <c r="N86" s="22"/>
      <c r="O86" s="22"/>
      <c r="P86" s="22"/>
    </row>
    <row r="87" spans="8:16" x14ac:dyDescent="0.2">
      <c r="H87" s="22"/>
      <c r="I87" s="22"/>
      <c r="J87" s="22"/>
      <c r="K87" s="22"/>
      <c r="L87" s="22"/>
      <c r="M87" s="22"/>
      <c r="N87" s="22"/>
      <c r="O87" s="22"/>
      <c r="P87" s="22"/>
    </row>
    <row r="88" spans="8:16" x14ac:dyDescent="0.2">
      <c r="H88" s="22"/>
      <c r="I88" s="22"/>
      <c r="J88" s="22"/>
      <c r="K88" s="22"/>
      <c r="L88" s="22"/>
      <c r="M88" s="22"/>
      <c r="N88" s="22"/>
      <c r="O88" s="22"/>
      <c r="P88" s="22"/>
    </row>
    <row r="89" spans="8:16" x14ac:dyDescent="0.2">
      <c r="H89" s="22"/>
      <c r="I89" s="22"/>
      <c r="J89" s="22"/>
      <c r="K89" s="22"/>
      <c r="L89" s="22"/>
      <c r="M89" s="22"/>
      <c r="N89" s="22"/>
      <c r="O89" s="22"/>
      <c r="P89" s="22"/>
    </row>
    <row r="90" spans="8:16" x14ac:dyDescent="0.2">
      <c r="H90" s="22"/>
      <c r="I90" s="22"/>
      <c r="J90" s="22"/>
      <c r="K90" s="22"/>
      <c r="L90" s="22"/>
      <c r="M90" s="22"/>
      <c r="N90" s="22"/>
      <c r="O90" s="22"/>
      <c r="P90" s="22"/>
    </row>
    <row r="91" spans="8:16" x14ac:dyDescent="0.2">
      <c r="H91" s="22"/>
      <c r="I91" s="22"/>
      <c r="J91" s="22"/>
      <c r="K91" s="22"/>
      <c r="L91" s="22"/>
      <c r="M91" s="22"/>
      <c r="N91" s="22"/>
      <c r="O91" s="22"/>
      <c r="P91" s="22"/>
    </row>
    <row r="92" spans="8:16" x14ac:dyDescent="0.2">
      <c r="H92" s="22"/>
      <c r="I92" s="22"/>
      <c r="J92" s="22"/>
      <c r="K92" s="22"/>
      <c r="L92" s="22"/>
      <c r="M92" s="22"/>
      <c r="N92" s="22"/>
      <c r="O92" s="22"/>
      <c r="P92" s="22"/>
    </row>
    <row r="93" spans="8:16" x14ac:dyDescent="0.2">
      <c r="H93" s="22"/>
      <c r="I93" s="22"/>
      <c r="J93" s="22"/>
      <c r="K93" s="22"/>
      <c r="L93" s="22"/>
      <c r="M93" s="22"/>
      <c r="N93" s="22"/>
      <c r="O93" s="22"/>
      <c r="P93" s="22"/>
    </row>
    <row r="94" spans="8:16" x14ac:dyDescent="0.2">
      <c r="H94" s="22"/>
      <c r="I94" s="22"/>
      <c r="J94" s="22"/>
      <c r="K94" s="22"/>
      <c r="L94" s="22"/>
      <c r="M94" s="22"/>
      <c r="N94" s="22"/>
      <c r="O94" s="22"/>
      <c r="P94" s="22"/>
    </row>
    <row r="95" spans="8:16" x14ac:dyDescent="0.2">
      <c r="H95" s="22"/>
      <c r="I95" s="22"/>
      <c r="J95" s="22"/>
      <c r="K95" s="22"/>
      <c r="L95" s="22"/>
      <c r="M95" s="22"/>
      <c r="N95" s="22"/>
      <c r="O95" s="22"/>
      <c r="P95" s="22"/>
    </row>
    <row r="96" spans="8:16" x14ac:dyDescent="0.2">
      <c r="H96" s="22"/>
      <c r="I96" s="22"/>
      <c r="J96" s="22"/>
      <c r="K96" s="22"/>
      <c r="L96" s="22"/>
      <c r="M96" s="22"/>
      <c r="N96" s="22"/>
      <c r="O96" s="22"/>
      <c r="P96" s="22"/>
    </row>
    <row r="97" spans="8:16" x14ac:dyDescent="0.2">
      <c r="H97" s="22"/>
      <c r="I97" s="22"/>
      <c r="J97" s="22"/>
      <c r="K97" s="22"/>
      <c r="L97" s="22"/>
      <c r="M97" s="22"/>
      <c r="N97" s="22"/>
      <c r="O97" s="22"/>
      <c r="P97" s="22"/>
    </row>
    <row r="98" spans="8:16" x14ac:dyDescent="0.2">
      <c r="H98" s="22"/>
      <c r="I98" s="22"/>
      <c r="J98" s="22"/>
      <c r="K98" s="22"/>
      <c r="L98" s="22"/>
      <c r="M98" s="22"/>
      <c r="N98" s="22"/>
      <c r="O98" s="22"/>
      <c r="P98" s="22"/>
    </row>
    <row r="99" spans="8:16" x14ac:dyDescent="0.2">
      <c r="H99" s="22"/>
      <c r="I99" s="22"/>
      <c r="J99" s="22"/>
      <c r="K99" s="22"/>
      <c r="L99" s="22"/>
      <c r="M99" s="22"/>
      <c r="N99" s="22"/>
      <c r="O99" s="22"/>
      <c r="P99" s="22"/>
    </row>
    <row r="100" spans="8:16" x14ac:dyDescent="0.2"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8:16" x14ac:dyDescent="0.2"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8:16" x14ac:dyDescent="0.2"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8:16" x14ac:dyDescent="0.2"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8:16" x14ac:dyDescent="0.2"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8:16" x14ac:dyDescent="0.2"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8:16" x14ac:dyDescent="0.2"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8:16" x14ac:dyDescent="0.2"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8:16" x14ac:dyDescent="0.2"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8:16" x14ac:dyDescent="0.2"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8:16" x14ac:dyDescent="0.2"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8:16" x14ac:dyDescent="0.2"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8:16" x14ac:dyDescent="0.2"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8:16" x14ac:dyDescent="0.2"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8:16" x14ac:dyDescent="0.2"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8:16" x14ac:dyDescent="0.2"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8:16" x14ac:dyDescent="0.2"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8:16" x14ac:dyDescent="0.2"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8:16" x14ac:dyDescent="0.2"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8:16" x14ac:dyDescent="0.2"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8:16" x14ac:dyDescent="0.2"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8:16" x14ac:dyDescent="0.2"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8:16" x14ac:dyDescent="0.2"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8:16" x14ac:dyDescent="0.2"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8:16" x14ac:dyDescent="0.2"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8:16" x14ac:dyDescent="0.2"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8:16" x14ac:dyDescent="0.2"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8:16" x14ac:dyDescent="0.2"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8:16" x14ac:dyDescent="0.2"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8:16" x14ac:dyDescent="0.2"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8:16" x14ac:dyDescent="0.2"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8:16" x14ac:dyDescent="0.2"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8:16" x14ac:dyDescent="0.2"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8:16" x14ac:dyDescent="0.2"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8:16" x14ac:dyDescent="0.2"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8:16" x14ac:dyDescent="0.2"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8:16" x14ac:dyDescent="0.2"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8:16" x14ac:dyDescent="0.2"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8:16" x14ac:dyDescent="0.2"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8:16" x14ac:dyDescent="0.2"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8:16" x14ac:dyDescent="0.2"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8:16" x14ac:dyDescent="0.2"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8:16" x14ac:dyDescent="0.2"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8:16" x14ac:dyDescent="0.2"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8:16" x14ac:dyDescent="0.2"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8:16" x14ac:dyDescent="0.2"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8:16" x14ac:dyDescent="0.2"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8:16" x14ac:dyDescent="0.2"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8:16" x14ac:dyDescent="0.2"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8:16" x14ac:dyDescent="0.2"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8:16" x14ac:dyDescent="0.2"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8:16" x14ac:dyDescent="0.2"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8:16" x14ac:dyDescent="0.2"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8:16" x14ac:dyDescent="0.2"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8:16" x14ac:dyDescent="0.2"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8:16" x14ac:dyDescent="0.2"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8:16" x14ac:dyDescent="0.2"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8:16" x14ac:dyDescent="0.2"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8:16" x14ac:dyDescent="0.2"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8:16" x14ac:dyDescent="0.2">
      <c r="H159" s="22"/>
      <c r="I159" s="22"/>
      <c r="J159" s="22"/>
      <c r="K159" s="22"/>
      <c r="L159" s="22"/>
      <c r="M159" s="22"/>
      <c r="N159" s="22"/>
      <c r="O159" s="22"/>
      <c r="P159" s="22"/>
    </row>
  </sheetData>
  <pageMargins left="0.7" right="0.7" top="0.75" bottom="0.75" header="0.3" footer="0.3"/>
  <pageSetup scale="80" orientation="portrait" r:id="rId1"/>
  <colBreaks count="1" manualBreakCount="1">
    <brk id="1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</vt:lpstr>
      <vt:lpstr>Cash Flow</vt:lpstr>
      <vt:lpstr>'Cash Flow'!Print_Area</vt:lpstr>
      <vt:lpstr>Historical!Print_Area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Harris Wirz</dc:creator>
  <cp:lastModifiedBy>laurieharris</cp:lastModifiedBy>
  <cp:lastPrinted>2017-03-02T19:52:23Z</cp:lastPrinted>
  <dcterms:created xsi:type="dcterms:W3CDTF">2005-09-19T14:11:29Z</dcterms:created>
  <dcterms:modified xsi:type="dcterms:W3CDTF">2017-03-03T15:19:33Z</dcterms:modified>
</cp:coreProperties>
</file>