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7docs\1703501\"/>
    </mc:Choice>
  </mc:AlternateContent>
  <bookViews>
    <workbookView xWindow="120" yWindow="345" windowWidth="15180" windowHeight="8850" tabRatio="826"/>
  </bookViews>
  <sheets>
    <sheet name="Exhibit-RMP(RMM-1) page 1" sheetId="10" r:id="rId1"/>
    <sheet name="Exhibit-RMP(RMM-1) page 2" sheetId="6" r:id="rId2"/>
    <sheet name="Exhibit-RMP(RMM-2)" sheetId="5" r:id="rId3"/>
    <sheet name="Sch1 Bill Impact" sheetId="9" r:id="rId4"/>
    <sheet name="Comparison" sheetId="17" r:id="rId5"/>
    <sheet name="(Exh.1) Comm Ord Methd" sheetId="22" r:id="rId6"/>
    <sheet name="Allocator-2014" sheetId="18" r:id="rId7"/>
    <sheet name="Note" sheetId="1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5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5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5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5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5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5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5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5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5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5" hidden="1">[1]Inputs!#REF!</definedName>
    <definedName name="__123Graph_A" localSheetId="0" hidden="1">[2]Inputs!#REF!</definedName>
    <definedName name="__123Graph_A" localSheetId="2" hidden="1">'Exhibit-RMP(RMM-2)'!#REF!</definedName>
    <definedName name="__123Graph_A" localSheetId="3" hidden="1">[2]Inputs!#REF!</definedName>
    <definedName name="__123Graph_A" hidden="1">[2]Inputs!#REF!</definedName>
    <definedName name="__123Graph_AGRAPH1" localSheetId="2" hidden="1">'Exhibit-RMP(RMM-2)'!#REF!</definedName>
    <definedName name="__123Graph_B" localSheetId="5" hidden="1">[1]Inputs!#REF!</definedName>
    <definedName name="__123Graph_B" localSheetId="0" hidden="1">[2]Inputs!#REF!</definedName>
    <definedName name="__123Graph_B" localSheetId="2" hidden="1">'Exhibit-RMP(RMM-2)'!#REF!</definedName>
    <definedName name="__123Graph_B" localSheetId="3" hidden="1">[2]Inputs!#REF!</definedName>
    <definedName name="__123Graph_B" hidden="1">[2]Inputs!#REF!</definedName>
    <definedName name="__123Graph_C" localSheetId="2" hidden="1">'Exhibit-RMP(RMM-2)'!#REF!</definedName>
    <definedName name="__123Graph_D" localSheetId="5" hidden="1">[1]Inputs!#REF!</definedName>
    <definedName name="__123Graph_D" localSheetId="0" hidden="1">[2]Inputs!#REF!</definedName>
    <definedName name="__123Graph_D" localSheetId="2" hidden="1">'Exhibit-RMP(RMM-2)'!#REF!</definedName>
    <definedName name="__123Graph_D" localSheetId="3" hidden="1">[2]Inputs!#REF!</definedName>
    <definedName name="__123Graph_D" hidden="1">[2]Inputs!#REF!</definedName>
    <definedName name="__123Graph_E" localSheetId="5" hidden="1">[3]Input!$E$22:$E$37</definedName>
    <definedName name="__123Graph_E" localSheetId="2" hidden="1">'Exhibit-RMP(RMM-2)'!#REF!</definedName>
    <definedName name="__123Graph_E" hidden="1">[4]Input!$E$22:$E$37</definedName>
    <definedName name="__123Graph_F" localSheetId="5" hidden="1">[3]Input!$D$22:$D$37</definedName>
    <definedName name="__123Graph_F" localSheetId="2" hidden="1">'Exhibit-RMP(RMM-2)'!#REF!</definedName>
    <definedName name="__123Graph_F" hidden="1">[4]Input!$D$22:$D$37</definedName>
    <definedName name="__j1" localSheetId="5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5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5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5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5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5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ist_Values" localSheetId="2" hidden="1">'Exhibit-RMP(RMM-2)'!#REF!</definedName>
    <definedName name="_Fill" localSheetId="5" hidden="1">#REF!</definedName>
    <definedName name="_Fill" localSheetId="0" hidden="1">#REF!</definedName>
    <definedName name="_Fill" localSheetId="1" hidden="1">#REF!</definedName>
    <definedName name="_Fill" localSheetId="2" hidden="1">'Exhibit-RMP(RMM-2)'!#REF!</definedName>
    <definedName name="_Fill" localSheetId="3" hidden="1">#REF!</definedName>
    <definedName name="_Fill" hidden="1">#REF!</definedName>
    <definedName name="_xlnm._FilterDatabase" localSheetId="5" hidden="1">#REF!</definedName>
    <definedName name="_xlnm._FilterDatabase" localSheetId="2" hidden="1">'Exhibit-RMP(RMM-2)'!#REF!</definedName>
    <definedName name="_xlnm._FilterDatabase" hidden="1">#REF!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5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5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hidden="1">#REF!</definedName>
    <definedName name="_OM1" localSheetId="5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5" hidden="1">255</definedName>
    <definedName name="_Order1" localSheetId="0" hidden="1">255</definedName>
    <definedName name="_Order1" localSheetId="1" hidden="1">255</definedName>
    <definedName name="_Order1" localSheetId="3" hidden="1">255</definedName>
    <definedName name="_Order1" hidden="1">0</definedName>
    <definedName name="_Order2" localSheetId="0" hidden="1">255</definedName>
    <definedName name="_Order2" localSheetId="1" hidden="1">255</definedName>
    <definedName name="_Order2" localSheetId="3" hidden="1">255</definedName>
    <definedName name="_Order2" hidden="1">0</definedName>
    <definedName name="_Regression_Out" localSheetId="1" hidden="1">#REF!</definedName>
    <definedName name="_Regression_Out" localSheetId="2" hidden="1">#REF!</definedName>
    <definedName name="_Regression_Out" hidden="1">#REF!</definedName>
    <definedName name="_Regression_X" localSheetId="1" hidden="1">#REF!</definedName>
    <definedName name="_Regression_X" localSheetId="2" hidden="1">#REF!</definedName>
    <definedName name="_Regression_X" hidden="1">#REF!</definedName>
    <definedName name="_Regression_Y" localSheetId="1" hidden="1">#REF!</definedName>
    <definedName name="_Regression_Y" localSheetId="2" hidden="1">#REF!</definedName>
    <definedName name="_Regression_Y" hidden="1">#REF!</definedName>
    <definedName name="_Sort" localSheetId="5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hidden="1">'[2]DSM Output'!$J$21:$J$23</definedName>
    <definedName name="Access_Button1" hidden="1">"Headcount_Workbook_Schedules_List"</definedName>
    <definedName name="AccessDatabase" hidden="1">"P:\HR\SharonPlummer\Headcount Workbook.mdb"</definedName>
    <definedName name="alkjslkj" hidden="1">{0,#N/A,TRUE,0;0,#N/A,TRUE,0;0,#N/A,TRUE,0;0,#N/A,TRUE,0;0,#N/A,TRUE,0;0,#N/A,TRUE,0;0,#N/A,TRUE,0;0,#N/A,TRUE,0}</definedName>
    <definedName name="anscount" hidden="1">1</definedName>
    <definedName name="asa" localSheetId="5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localSheetId="5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localSheetId="5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5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hidden="1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sd" hidden="1">[2]Inputs!#REF!</definedName>
    <definedName name="DUDE" localSheetId="5" hidden="1">#REF!</definedName>
    <definedName name="DUDE" localSheetId="0" hidden="1">#REF!</definedName>
    <definedName name="DUDE" localSheetId="3" hidden="1">#REF!</definedName>
    <definedName name="DUDE" hidden="1">#REF!</definedName>
    <definedName name="energy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5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5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5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5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hfjhke" hidden="1">{0,#N/A,TRUE,0;0,#N/A,TRUE,0;0,#N/A,TRUE,0;0,#N/A,TRUE,0;0,#N/A,TRUE,0;0,#N/A,TRUE,0;0,#N/A,TRUE,0;0,#N/A,TRUE,0}</definedName>
    <definedName name="fjljelj" hidden="1">{0,#N/A,TRUE,0;0,#N/A,TRUE,0;0,#N/A,TRUE,0;0,#N/A,TRUE,0;0,#N/A,TRUE,0;0,#N/A,TRUE,0;0,#N/A,TRUE,0;0,#N/A,TRUE,0}</definedName>
    <definedName name="foo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5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5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5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fkejflj" hidden="1">{0,#N/A,TRUE,0;0,#N/A,TRUE,0;0,#N/A,TRUE,0;0,#N/A,TRUE,0;0,#N/A,TRUE,0;0,#N/A,TRUE,0;0,#N/A,TRUE,0;0,#N/A,TRUE,0}</definedName>
    <definedName name="jfkjlllje" hidden="1">{0,#N/A,TRUE,0;0,#N/A,TRUE,0;0,#N/A,TRUE,0;0,#N/A,TRUE,0;0,#N/A,TRUE,0;0,#N/A,TRUE,0;0,#N/A,TRUE,0;0,#N/A,TRUE,0}</definedName>
    <definedName name="junk" localSheetId="5" hidden="1">{"PRINT",#N/A,TRUE,"APPA";"PRINT",#N/A,TRUE,"APS";"PRINT",#N/A,TRUE,"BHPL";"PRINT",#N/A,TRUE,"BHPL2";"PRINT",#N/A,TRUE,"CDWR";"PRINT",#N/A,TRUE,"EWEB";"PRINT",#N/A,TRUE,"LADWP";"PRINT",#N/A,TRUE,"NEVBASE"}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5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5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5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5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5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5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5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5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5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5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localSheetId="5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5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5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5" hidden="1">[5]Inputs!#REF!</definedName>
    <definedName name="PricingInfo" hidden="1">[6]Inputs!#REF!</definedName>
    <definedName name="_xlnm.Print_Area" localSheetId="0">'Exhibit-RMP(RMM-1) page 1'!$A$1:$AC$49</definedName>
    <definedName name="_xlnm.Print_Area" localSheetId="1">'Exhibit-RMP(RMM-1) page 2'!$A$1:$M$56</definedName>
    <definedName name="_xlnm.Print_Area" localSheetId="2">'Exhibit-RMP(RMM-2)'!$A$1:$O$512</definedName>
    <definedName name="retail" localSheetId="5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5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5" hidden="1">{"PRINT",#N/A,TRUE,"APPA";"PRINT",#N/A,TRUE,"APS";"PRINT",#N/A,TRUE,"BHPL";"PRINT",#N/A,TRUE,"BHPL2";"PRINT",#N/A,TRUE,"CDWR";"PRINT",#N/A,TRUE,"EWEB";"PRINT",#N/A,TRUE,"LADWP";"PRINT",#N/A,TRUE,"NEVBASE"}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olver_adj" localSheetId="2" hidden="1">'Exhibit-RMP(RMM-2)'!#REF!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'Exhibit-RMP(RMM-2)'!#REF!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  <definedName name="SpecMaint" localSheetId="5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5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5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5" hidden="1">[7]Inputs!#REF!</definedName>
    <definedName name="w" hidden="1">[8]Inputs!#REF!</definedName>
    <definedName name="wrn.1996._.Hydro._.5._.Year._.Forecast._.Budget." localSheetId="5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5" hidden="1">{"Page 3.4.1",#N/A,FALSE,"Totals";"Page 3.4.2",#N/A,FALSE,"Totals"}</definedName>
    <definedName name="wrn.Adj._.Back_Up." hidden="1">{"Page 3.4.1",#N/A,FALSE,"Totals";"Page 3.4.2",#N/A,FALSE,"Totals"}</definedName>
    <definedName name="wrn.ALL." localSheetId="5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5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ut._.Syn._.and._.JE." hidden="1">{#N/A,#N/A,FALSE,"June 01 Mapping";#N/A,#N/A,FALSE,"June 01 conv";#N/A,#N/A,FALSE,"reclass";#N/A,#N/A,FALSE,"US FV";#N/A,#N/A,FALSE,"UK FV";#N/A,#N/A,FALSE,"UK GAAP"}</definedName>
    <definedName name="wrn.All._.ISs._.and._.JEs." localSheetId="5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5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5" hidden="1">{#N/A,#N/A,FALSE,"cover";#N/A,#N/A,FALSE,"lead sheet";#N/A,#N/A,FALSE,"Adj backup";#N/A,#N/A,FALSE,"t Accounts"}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localSheetId="5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5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5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5" hidden="1">{#N/A,#N/A,TRUE,"Cover";#N/A,#N/A,TRUE,"Contents"}</definedName>
    <definedName name="wrn.Cover." hidden="1">{#N/A,#N/A,TRUE,"Cover";#N/A,#N/A,TRUE,"Contents"}</definedName>
    <definedName name="wrn.CoverContents." localSheetId="5" hidden="1">{#N/A,#N/A,FALSE,"Cover";#N/A,#N/A,FALSE,"Contents"}</definedName>
    <definedName name="wrn.CoverContents." hidden="1">{#N/A,#N/A,FALSE,"Cover";#N/A,#N/A,FALSE,"Contents"}</definedName>
    <definedName name="wrn.El._.Paso._.Offshore." localSheetId="5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5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5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5" hidden="1">{"FullView",#N/A,FALSE,"Consltd-For contngcy"}</definedName>
    <definedName name="wrn.Full._.View." hidden="1">{"FullView",#N/A,FALSE,"Consltd-For contngcy"}</definedName>
    <definedName name="wrn.GLReport." localSheetId="5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5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5" hidden="1">{"Open issues Only",#N/A,FALSE,"TIMELINE"}</definedName>
    <definedName name="wrn.Open._.Issues._.Only." hidden="1">{"Open issues Only",#N/A,FALSE,"TIMELINE"}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5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5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5" hidden="1">{"PFS recon view",#N/A,FALSE,"Hyperion Proof"}</definedName>
    <definedName name="wrn.PFSreconview." hidden="1">{"PFS recon view",#N/A,FALSE,"Hyperion Proof"}</definedName>
    <definedName name="wrn.PGHCreconview." localSheetId="5" hidden="1">{"PGHC recon view",#N/A,FALSE,"Hyperion Proof"}</definedName>
    <definedName name="wrn.PGHCreconview." hidden="1">{"PGHC recon view",#N/A,FALSE,"Hyperion Proof"}</definedName>
    <definedName name="wrn.PHI._.all._.other._.months." localSheetId="5" hidden="1">{#N/A,#N/A,FALSE,"PHI MTD";#N/A,#N/A,FALSE,"PHI YTD"}</definedName>
    <definedName name="wrn.PHI._.all._.other._.months." hidden="1">{#N/A,#N/A,FALSE,"PHI MTD";#N/A,#N/A,FALSE,"PHI YTD"}</definedName>
    <definedName name="wrn.PHI._.only." localSheetId="5" hidden="1">{#N/A,#N/A,FALSE,"PHI"}</definedName>
    <definedName name="wrn.PHI._.only." hidden="1">{#N/A,#N/A,FALSE,"PHI"}</definedName>
    <definedName name="wrn.PHI._.Sept._.Dec._.March." localSheetId="5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5" hidden="1">{"PPM Co Code View",#N/A,FALSE,"Comp Codes"}</definedName>
    <definedName name="wrn.PPMCoCodeView." hidden="1">{"PPM Co Code View",#N/A,FALSE,"Comp Codes"}</definedName>
    <definedName name="wrn.PPMreconview." localSheetId="5" hidden="1">{"PPM Recon View",#N/A,FALSE,"Hyperion Proof"}</definedName>
    <definedName name="wrn.PPMreconview." hidden="1">{"PPM Recon View",#N/A,FALSE,"Hyperion Proof"}</definedName>
    <definedName name="wrn.print._.reports.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5" hidden="1">{"DATA_SET",#N/A,FALSE,"HOURLY SPREAD"}</definedName>
    <definedName name="wrn.PRINT._.SOURCE._.DATA." hidden="1">{"DATA_SET",#N/A,FALSE,"HOURLY SPREAD"}</definedName>
    <definedName name="wrn.PrintHistory." localSheetId="5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5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5" hidden="1">{"Electric Only",#N/A,FALSE,"Hyperion Proof"}</definedName>
    <definedName name="wrn.ProofElectricOnly." hidden="1">{"Electric Only",#N/A,FALSE,"Hyperion Proof"}</definedName>
    <definedName name="wrn.ProofTotal." localSheetId="5" hidden="1">{"Proof Total",#N/A,FALSE,"Hyperion Proof"}</definedName>
    <definedName name="wrn.ProofTotal." hidden="1">{"Proof Total",#N/A,FALSE,"Hyperion Proof"}</definedName>
    <definedName name="wrn.Reformat._.only." localSheetId="5" hidden="1">{#N/A,#N/A,FALSE,"Dec 1999 mapping"}</definedName>
    <definedName name="wrn.Reformat._.only." hidden="1">{#N/A,#N/A,FALSE,"Dec 1999 mapping"}</definedName>
    <definedName name="wrn.SALES._.VAR._.95._.BUDGET." localSheetId="5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5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5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5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5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5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5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5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5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5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5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5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5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5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5" hidden="1">{"YTD-Total",#N/A,FALSE,"Provision"}</definedName>
    <definedName name="wrn.Standard." hidden="1">{"YTD-Total",#N/A,FALSE,"Provision"}</definedName>
    <definedName name="wrn.Standard._.NonUtility._.Only." localSheetId="5" hidden="1">{"YTD-NonUtility",#N/A,FALSE,"Prov NonUtility"}</definedName>
    <definedName name="wrn.Standard._.NonUtility._.Only." hidden="1">{"YTD-NonUtility",#N/A,FALSE,"Prov NonUtility"}</definedName>
    <definedName name="wrn.Standard._.Utility._.Only." localSheetId="5" hidden="1">{"YTD-Utility",#N/A,FALSE,"Prov Utility"}</definedName>
    <definedName name="wrn.Standard._.Utility._.Only." hidden="1">{"YTD-Utility",#N/A,FALSE,"Prov Utility"}</definedName>
    <definedName name="wrn.Summary." localSheetId="5" hidden="1">{#N/A,#N/A,FALSE,"Sum Qtr";#N/A,#N/A,FALSE,"Oper Sum";#N/A,#N/A,FALSE,"Land Sales";#N/A,#N/A,FALSE,"Finance";#N/A,#N/A,FALSE,"Oper Ass"}</definedName>
    <definedName name="wrn.Summary." hidden="1">{"Table A",#N/A,FALSE,"Summary";"Table D",#N/A,FALSE,"Summary";"Table E",#N/A,FALSE,"Summary"}</definedName>
    <definedName name="wrn.Summary._.View." localSheetId="5" hidden="1">{#N/A,#N/A,FALSE,"Consltd-For contngcy"}</definedName>
    <definedName name="wrn.Summary._.View." hidden="1">{#N/A,#N/A,FALSE,"Consltd-For contngcy"}</definedName>
    <definedName name="wrn.test." hidden="1">{#N/A,#N/A,TRUE,"10.1_Historical Cover Sheet";#N/A,#N/A,TRUE,"10.2-10.3_Historical"}</definedName>
    <definedName name="wrn.Total._.Summary." localSheetId="5" hidden="1">{"Total Summary",#N/A,FALSE,"Summary"}</definedName>
    <definedName name="wrn.Total._.Summary." hidden="1">{"Total Summary",#N/A,FALSE,"Summary"}</definedName>
    <definedName name="wrn.UK._.Conversion._.Only." localSheetId="5" hidden="1">{#N/A,#N/A,FALSE,"Dec 1999 UK Continuing Ops"}</definedName>
    <definedName name="wrn.UK._.Conversion._.Only." hidden="1">{#N/A,#N/A,FALSE,"Dec 1999 UK Continuing Ops"}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5" hidden="1">#REF!</definedName>
    <definedName name="y" hidden="1">'[2]DSM Output'!$B$21:$B$23</definedName>
    <definedName name="z" localSheetId="5" hidden="1">#REF!</definedName>
    <definedName name="z" hidden="1">'[2]DSM Output'!$G$21:$G$23</definedName>
    <definedName name="Z_01844156_6462_4A28_9785_1A86F4D0C834_.wvu.PrintTitles" localSheetId="5" hidden="1">#REF!</definedName>
    <definedName name="Z_01844156_6462_4A28_9785_1A86F4D0C834_.wvu.PrintTitles" hidden="1">#REF!</definedName>
  </definedNames>
  <calcPr calcId="152511"/>
</workbook>
</file>

<file path=xl/calcChain.xml><?xml version="1.0" encoding="utf-8"?>
<calcChain xmlns="http://schemas.openxmlformats.org/spreadsheetml/2006/main">
  <c r="S56" i="22" l="1"/>
  <c r="J55" i="22"/>
  <c r="K55" i="22" s="1"/>
  <c r="L55" i="22" s="1"/>
  <c r="M55" i="22" s="1"/>
  <c r="N55" i="22" s="1"/>
  <c r="O55" i="22" s="1"/>
  <c r="P55" i="22" s="1"/>
  <c r="Q55" i="22" s="1"/>
  <c r="G55" i="22"/>
  <c r="H55" i="22" s="1"/>
  <c r="I55" i="22" s="1"/>
  <c r="Q46" i="22"/>
  <c r="Q47" i="22" s="1"/>
  <c r="S43" i="22"/>
  <c r="S38" i="22"/>
  <c r="I26" i="22"/>
  <c r="H26" i="22"/>
  <c r="Q19" i="22"/>
  <c r="M26" i="22"/>
  <c r="J22" i="22"/>
  <c r="J26" i="22" s="1"/>
  <c r="I22" i="22"/>
  <c r="Q22" i="22"/>
  <c r="Q26" i="22" s="1"/>
  <c r="S21" i="22"/>
  <c r="P22" i="22"/>
  <c r="P26" i="22" s="1"/>
  <c r="O22" i="22"/>
  <c r="O26" i="22" s="1"/>
  <c r="N22" i="22"/>
  <c r="N26" i="22" s="1"/>
  <c r="M22" i="22"/>
  <c r="L22" i="22"/>
  <c r="L26" i="22" s="1"/>
  <c r="K22" i="22"/>
  <c r="K26" i="22" s="1"/>
  <c r="H22" i="22"/>
  <c r="G22" i="22"/>
  <c r="G26" i="22" s="1"/>
  <c r="F22" i="22"/>
  <c r="Q16" i="22"/>
  <c r="Q30" i="22" s="1"/>
  <c r="Q32" i="22" s="1"/>
  <c r="Q36" i="22" s="1"/>
  <c r="S14" i="22"/>
  <c r="M12" i="22"/>
  <c r="M16" i="22" s="1"/>
  <c r="M30" i="22" s="1"/>
  <c r="M32" i="22" s="1"/>
  <c r="M36" i="22" s="1"/>
  <c r="M51" i="22" s="1"/>
  <c r="M57" i="22" s="1"/>
  <c r="H12" i="22"/>
  <c r="H16" i="22" s="1"/>
  <c r="H30" i="22" s="1"/>
  <c r="H32" i="22" s="1"/>
  <c r="H34" i="22" s="1"/>
  <c r="H51" i="22" s="1"/>
  <c r="H57" i="22" s="1"/>
  <c r="P12" i="22"/>
  <c r="P16" i="22" s="1"/>
  <c r="O12" i="22"/>
  <c r="O16" i="22" s="1"/>
  <c r="O30" i="22" s="1"/>
  <c r="O32" i="22" s="1"/>
  <c r="O36" i="22" s="1"/>
  <c r="O51" i="22" s="1"/>
  <c r="O57" i="22" s="1"/>
  <c r="L12" i="22"/>
  <c r="L16" i="22" s="1"/>
  <c r="S11" i="22"/>
  <c r="Q12" i="22"/>
  <c r="I12" i="22"/>
  <c r="I16" i="22" s="1"/>
  <c r="I30" i="22" s="1"/>
  <c r="I32" i="22" s="1"/>
  <c r="I34" i="22" s="1"/>
  <c r="I51" i="22" s="1"/>
  <c r="I57" i="22" s="1"/>
  <c r="H6" i="22"/>
  <c r="I6" i="22" s="1"/>
  <c r="J6" i="22" s="1"/>
  <c r="K6" i="22" s="1"/>
  <c r="L6" i="22" s="1"/>
  <c r="M6" i="22" s="1"/>
  <c r="N6" i="22" s="1"/>
  <c r="O6" i="22" s="1"/>
  <c r="P6" i="22" s="1"/>
  <c r="Q6" i="22" s="1"/>
  <c r="G6" i="22"/>
  <c r="Q48" i="22" l="1"/>
  <c r="S48" i="22" s="1"/>
  <c r="Q49" i="22"/>
  <c r="S49" i="22" s="1"/>
  <c r="S47" i="22"/>
  <c r="S20" i="22"/>
  <c r="A10" i="22"/>
  <c r="A11" i="22"/>
  <c r="A12" i="22"/>
  <c r="F12" i="22"/>
  <c r="J12" i="22"/>
  <c r="J16" i="22" s="1"/>
  <c r="J30" i="22" s="1"/>
  <c r="J32" i="22" s="1"/>
  <c r="J34" i="22" s="1"/>
  <c r="J51" i="22" s="1"/>
  <c r="J57" i="22" s="1"/>
  <c r="N12" i="22"/>
  <c r="N16" i="22" s="1"/>
  <c r="N30" i="22" s="1"/>
  <c r="N32" i="22" s="1"/>
  <c r="N36" i="22" s="1"/>
  <c r="N51" i="22" s="1"/>
  <c r="N57" i="22" s="1"/>
  <c r="S10" i="22"/>
  <c r="L30" i="22"/>
  <c r="L32" i="22" s="1"/>
  <c r="L36" i="22" s="1"/>
  <c r="L51" i="22" s="1"/>
  <c r="L57" i="22" s="1"/>
  <c r="P30" i="22"/>
  <c r="P32" i="22" s="1"/>
  <c r="P36" i="22" s="1"/>
  <c r="P51" i="22" s="1"/>
  <c r="P57" i="22" s="1"/>
  <c r="S24" i="22"/>
  <c r="G12" i="22"/>
  <c r="G16" i="22" s="1"/>
  <c r="G30" i="22" s="1"/>
  <c r="G32" i="22" s="1"/>
  <c r="G34" i="22" s="1"/>
  <c r="G51" i="22" s="1"/>
  <c r="G57" i="22" s="1"/>
  <c r="K12" i="22"/>
  <c r="K16" i="22" s="1"/>
  <c r="K30" i="22" s="1"/>
  <c r="K32" i="22" s="1"/>
  <c r="K36" i="22" s="1"/>
  <c r="F26" i="22"/>
  <c r="S22" i="22"/>
  <c r="S26" i="22" s="1"/>
  <c r="S12" i="22" l="1"/>
  <c r="S16" i="22" s="1"/>
  <c r="S30" i="22" s="1"/>
  <c r="F16" i="22"/>
  <c r="F30" i="22" s="1"/>
  <c r="F32" i="22" s="1"/>
  <c r="A14" i="22"/>
  <c r="S36" i="22"/>
  <c r="K51" i="22"/>
  <c r="K57" i="22" s="1"/>
  <c r="D12" i="22"/>
  <c r="Q51" i="22"/>
  <c r="Q57" i="22" s="1"/>
  <c r="A16" i="22" l="1"/>
  <c r="F34" i="22"/>
  <c r="S32" i="22"/>
  <c r="D16" i="22"/>
  <c r="F51" i="22" l="1"/>
  <c r="S34" i="22"/>
  <c r="A20" i="22"/>
  <c r="A21" i="22" s="1"/>
  <c r="F57" i="22" l="1"/>
  <c r="S51" i="22"/>
  <c r="D22" i="22"/>
  <c r="A22" i="22"/>
  <c r="D26" i="22" l="1"/>
  <c r="A24" i="22"/>
  <c r="S57" i="22"/>
  <c r="F58" i="22"/>
  <c r="D45" i="22" l="1"/>
  <c r="F59" i="22"/>
  <c r="G56" i="22" s="1"/>
  <c r="A26" i="22"/>
  <c r="G58" i="22" l="1"/>
  <c r="D30" i="22"/>
  <c r="A30" i="22"/>
  <c r="D32" i="22" l="1"/>
  <c r="A32" i="22"/>
  <c r="G59" i="22"/>
  <c r="H56" i="22" s="1"/>
  <c r="H58" i="22" l="1"/>
  <c r="H59" i="22"/>
  <c r="I56" i="22" s="1"/>
  <c r="D36" i="22"/>
  <c r="D34" i="22"/>
  <c r="A34" i="22"/>
  <c r="I58" i="22" l="1"/>
  <c r="I59" i="22"/>
  <c r="J56" i="22" s="1"/>
  <c r="A36" i="22"/>
  <c r="A38" i="22" s="1"/>
  <c r="A39" i="22" s="1"/>
  <c r="A43" i="22" s="1"/>
  <c r="A44" i="22" s="1"/>
  <c r="A45" i="22" s="1"/>
  <c r="J58" i="22" l="1"/>
  <c r="J59" i="22" s="1"/>
  <c r="K56" i="22" s="1"/>
  <c r="D46" i="22"/>
  <c r="A46" i="22"/>
  <c r="K58" i="22" l="1"/>
  <c r="K59" i="22"/>
  <c r="L56" i="22" s="1"/>
  <c r="D47" i="22"/>
  <c r="A47" i="22"/>
  <c r="L58" i="22" l="1"/>
  <c r="L59" i="22"/>
  <c r="M56" i="22" s="1"/>
  <c r="A48" i="22"/>
  <c r="A49" i="22" s="1"/>
  <c r="M58" i="22" l="1"/>
  <c r="M59" i="22"/>
  <c r="N56" i="22" s="1"/>
  <c r="A51" i="22"/>
  <c r="D51" i="22"/>
  <c r="D49" i="22"/>
  <c r="N58" i="22" l="1"/>
  <c r="N59" i="22" s="1"/>
  <c r="O56" i="22" s="1"/>
  <c r="D57" i="22"/>
  <c r="A55" i="22"/>
  <c r="O58" i="22" l="1"/>
  <c r="O59" i="22"/>
  <c r="P56" i="22" s="1"/>
  <c r="A56" i="22"/>
  <c r="P58" i="22" l="1"/>
  <c r="P59" i="22"/>
  <c r="Q56" i="22" s="1"/>
  <c r="A57" i="22"/>
  <c r="A58" i="22" s="1"/>
  <c r="A59" i="22" s="1"/>
  <c r="D58" i="22"/>
  <c r="Q58" i="22" l="1"/>
  <c r="S58" i="22" s="1"/>
  <c r="S59" i="22" s="1"/>
  <c r="Q59" i="22"/>
  <c r="D56" i="22"/>
  <c r="A62" i="22"/>
  <c r="A64" i="22" s="1"/>
  <c r="A66" i="22" s="1"/>
  <c r="D59" i="22"/>
  <c r="S64" i="22" l="1"/>
  <c r="S66" i="22" s="1"/>
  <c r="D66" i="22"/>
  <c r="D64" i="22"/>
  <c r="F10" i="11" l="1"/>
  <c r="G461" i="5" l="1"/>
  <c r="S36" i="10"/>
  <c r="S46" i="10"/>
  <c r="U26" i="9" l="1"/>
  <c r="T26" i="9"/>
  <c r="U25" i="9"/>
  <c r="T25" i="9"/>
  <c r="U24" i="9"/>
  <c r="T24" i="9"/>
  <c r="U18" i="9"/>
  <c r="T18" i="9"/>
  <c r="K52" i="6" l="1"/>
  <c r="AD18" i="10" l="1"/>
  <c r="T23" i="9" l="1"/>
  <c r="T31" i="9" l="1"/>
  <c r="F9" i="11"/>
  <c r="K29" i="9" l="1"/>
  <c r="K25" i="9"/>
  <c r="K21" i="9"/>
  <c r="K16" i="9"/>
  <c r="K12" i="9"/>
  <c r="C31" i="9"/>
  <c r="C27" i="9"/>
  <c r="C23" i="9"/>
  <c r="C19" i="9"/>
  <c r="C14" i="9"/>
  <c r="C10" i="9"/>
  <c r="K28" i="9"/>
  <c r="K24" i="9"/>
  <c r="K20" i="9"/>
  <c r="K15" i="9"/>
  <c r="K11" i="9"/>
  <c r="C30" i="9"/>
  <c r="C26" i="9"/>
  <c r="C22" i="9"/>
  <c r="C18" i="9"/>
  <c r="C13" i="9"/>
  <c r="K31" i="9"/>
  <c r="K27" i="9"/>
  <c r="K23" i="9"/>
  <c r="K18" i="9"/>
  <c r="K14" i="9"/>
  <c r="K10" i="9"/>
  <c r="C29" i="9"/>
  <c r="C25" i="9"/>
  <c r="C21" i="9"/>
  <c r="C16" i="9"/>
  <c r="C12" i="9"/>
  <c r="K30" i="9"/>
  <c r="K26" i="9"/>
  <c r="K22" i="9"/>
  <c r="K17" i="9"/>
  <c r="K13" i="9"/>
  <c r="C28" i="9"/>
  <c r="C24" i="9"/>
  <c r="C20" i="9"/>
  <c r="C15" i="9"/>
  <c r="C11" i="9"/>
  <c r="G464" i="5" l="1"/>
  <c r="G463" i="5"/>
  <c r="G462" i="5"/>
  <c r="G460" i="5"/>
  <c r="F8" i="11" l="1"/>
  <c r="I44" i="6" l="1"/>
  <c r="I43" i="6"/>
  <c r="I35" i="6"/>
  <c r="I34" i="6"/>
  <c r="I32" i="6"/>
  <c r="I30" i="6"/>
  <c r="I27" i="6"/>
  <c r="I24" i="6"/>
  <c r="I23" i="6"/>
  <c r="I18" i="6"/>
  <c r="I38" i="6" l="1"/>
  <c r="T37" i="9" l="1"/>
  <c r="T36" i="9"/>
  <c r="T35" i="9"/>
  <c r="K54" i="6" l="1"/>
  <c r="K46" i="10"/>
  <c r="G47" i="6"/>
  <c r="G46" i="6"/>
  <c r="K55" i="6" l="1"/>
  <c r="K34" i="6" s="1"/>
  <c r="K18" i="6"/>
  <c r="G37" i="6"/>
  <c r="G36" i="6"/>
  <c r="G35" i="6"/>
  <c r="G34" i="6"/>
  <c r="G17" i="6"/>
  <c r="G434" i="5" l="1"/>
  <c r="G431" i="5"/>
  <c r="G427" i="5"/>
  <c r="G424" i="5"/>
  <c r="G420" i="5"/>
  <c r="G413" i="5"/>
  <c r="G293" i="5"/>
  <c r="K293" i="5" s="1"/>
  <c r="G299" i="5"/>
  <c r="K299" i="5" s="1"/>
  <c r="G93" i="5"/>
  <c r="G94" i="5"/>
  <c r="K94" i="5" s="1"/>
  <c r="S94" i="5" s="1"/>
  <c r="G95" i="5"/>
  <c r="K95" i="5" s="1"/>
  <c r="S95" i="5" s="1"/>
  <c r="G78" i="5"/>
  <c r="G79" i="5"/>
  <c r="K79" i="5" s="1"/>
  <c r="S79" i="5" s="1"/>
  <c r="G80" i="5"/>
  <c r="K80" i="5" s="1"/>
  <c r="S80" i="5" s="1"/>
  <c r="G433" i="5"/>
  <c r="G430" i="5"/>
  <c r="G426" i="5"/>
  <c r="G423" i="5"/>
  <c r="G421" i="5"/>
  <c r="G418" i="5"/>
  <c r="G13" i="5" l="1"/>
  <c r="G14" i="5"/>
  <c r="G16" i="5"/>
  <c r="G17" i="5"/>
  <c r="G18" i="5"/>
  <c r="G20" i="5"/>
  <c r="G21" i="5"/>
  <c r="G22" i="5"/>
  <c r="G23" i="5"/>
  <c r="G24" i="5"/>
  <c r="G33" i="5"/>
  <c r="G34" i="5"/>
  <c r="G36" i="5"/>
  <c r="G37" i="5"/>
  <c r="G38" i="5"/>
  <c r="G40" i="5"/>
  <c r="G41" i="5"/>
  <c r="G42" i="5"/>
  <c r="G43" i="5"/>
  <c r="G44" i="5"/>
  <c r="G53" i="5"/>
  <c r="G54" i="5"/>
  <c r="G56" i="5"/>
  <c r="G57" i="5"/>
  <c r="G58" i="5"/>
  <c r="G59" i="5"/>
  <c r="G60" i="5"/>
  <c r="G62" i="5"/>
  <c r="G63" i="5"/>
  <c r="G64" i="5"/>
  <c r="G65" i="5"/>
  <c r="G66" i="5"/>
  <c r="G49" i="5" l="1"/>
  <c r="G29" i="5"/>
  <c r="G15" i="6" s="1"/>
  <c r="G18" i="6" s="1"/>
  <c r="G71" i="5"/>
  <c r="G16" i="6" s="1"/>
  <c r="F7" i="11" l="1"/>
  <c r="K464" i="5" l="1"/>
  <c r="K463" i="5"/>
  <c r="S463" i="5" s="1"/>
  <c r="K462" i="5"/>
  <c r="S464" i="5" l="1"/>
  <c r="K465" i="5"/>
  <c r="S462" i="5"/>
  <c r="F6" i="11" l="1"/>
  <c r="F4" i="11"/>
  <c r="F5" i="11"/>
  <c r="M34" i="10"/>
  <c r="K47" i="10"/>
  <c r="K37" i="10"/>
  <c r="K17" i="10"/>
  <c r="K35" i="10"/>
  <c r="K34" i="10"/>
  <c r="Y47" i="10" l="1"/>
  <c r="Q47" i="10"/>
  <c r="U47" i="10" s="1"/>
  <c r="O47" i="10"/>
  <c r="Q37" i="10"/>
  <c r="O37" i="10"/>
  <c r="Q34" i="10"/>
  <c r="O34" i="10"/>
  <c r="Q17" i="10"/>
  <c r="O17" i="10"/>
  <c r="A16" i="10"/>
  <c r="E12" i="10"/>
  <c r="G12" i="10" l="1"/>
  <c r="I12" i="10" s="1"/>
  <c r="AA47" i="10"/>
  <c r="AC47" i="10" s="1"/>
  <c r="U17" i="10"/>
  <c r="AA17" i="10" s="1"/>
  <c r="AC17" i="10" s="1"/>
  <c r="W17" i="10"/>
  <c r="Y17" i="10" s="1"/>
  <c r="W34" i="10"/>
  <c r="Y34" i="10" s="1"/>
  <c r="A17" i="10"/>
  <c r="W37" i="10"/>
  <c r="Y37" i="10" s="1"/>
  <c r="U37" i="10"/>
  <c r="AA37" i="10" s="1"/>
  <c r="AC37" i="10" s="1"/>
  <c r="Q35" i="10"/>
  <c r="K12" i="10" l="1"/>
  <c r="M12" i="10"/>
  <c r="O12" i="10" s="1"/>
  <c r="Q12" i="10" s="1"/>
  <c r="S12" i="10" s="1"/>
  <c r="W35" i="10"/>
  <c r="Y35" i="10" s="1"/>
  <c r="A18" i="10"/>
  <c r="U12" i="10" l="1"/>
  <c r="A20" i="10"/>
  <c r="A21" i="10" l="1"/>
  <c r="W12" i="10"/>
  <c r="Y12" i="10" s="1"/>
  <c r="AA12" i="10" s="1"/>
  <c r="AC12" i="10" s="1"/>
  <c r="A22" i="10" l="1"/>
  <c r="A23" i="10" l="1"/>
  <c r="A24" i="10" s="1"/>
  <c r="A25" i="10" l="1"/>
  <c r="A26" i="10" l="1"/>
  <c r="A27" i="10" l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V26" i="9" l="1"/>
  <c r="V25" i="9"/>
  <c r="V23" i="9"/>
  <c r="V21" i="9"/>
  <c r="V18" i="9"/>
  <c r="V17" i="9"/>
  <c r="V16" i="9"/>
  <c r="V15" i="9"/>
  <c r="V14" i="9"/>
  <c r="V13" i="9" l="1"/>
  <c r="V24" i="9"/>
  <c r="V12" i="9"/>
  <c r="U35" i="9"/>
  <c r="V22" i="9"/>
  <c r="V30" i="9"/>
  <c r="U38" i="9" l="1"/>
  <c r="Y38" i="9" s="1"/>
  <c r="U37" i="9"/>
  <c r="Y37" i="9" s="1"/>
  <c r="Y35" i="9"/>
  <c r="V20" i="9"/>
  <c r="U36" i="9" l="1"/>
  <c r="Y36" i="9" s="1"/>
  <c r="T262" i="5" l="1"/>
  <c r="S262" i="5"/>
  <c r="T260" i="5"/>
  <c r="S260" i="5"/>
  <c r="O510" i="5" l="1"/>
  <c r="O501" i="5"/>
  <c r="O438" i="5"/>
  <c r="K501" i="5"/>
  <c r="M46" i="10" s="1"/>
  <c r="K510" i="5"/>
  <c r="K469" i="5"/>
  <c r="K438" i="5"/>
  <c r="K470" i="5" l="1"/>
  <c r="S469" i="5"/>
  <c r="A16" i="6"/>
  <c r="E12" i="6"/>
  <c r="G386" i="5"/>
  <c r="M35" i="10" l="1"/>
  <c r="O35" i="10" s="1"/>
  <c r="A17" i="6"/>
  <c r="G394" i="5"/>
  <c r="A18" i="6" l="1"/>
  <c r="A20" i="6" s="1"/>
  <c r="Q46" i="10" l="1"/>
  <c r="O46" i="10"/>
  <c r="A21" i="6"/>
  <c r="A22" i="6" s="1"/>
  <c r="A23" i="6" s="1"/>
  <c r="G363" i="5"/>
  <c r="U46" i="10" l="1"/>
  <c r="AA46" i="10" s="1"/>
  <c r="AC46" i="10" s="1"/>
  <c r="W46" i="10"/>
  <c r="Y46" i="10" s="1"/>
  <c r="A24" i="6"/>
  <c r="G74" i="5"/>
  <c r="A25" i="6" l="1"/>
  <c r="A26" i="6" s="1"/>
  <c r="G255" i="5"/>
  <c r="G84" i="5"/>
  <c r="G104" i="5"/>
  <c r="G259" i="5"/>
  <c r="G243" i="5"/>
  <c r="G232" i="5"/>
  <c r="G251" i="5"/>
  <c r="G263" i="5"/>
  <c r="G254" i="5"/>
  <c r="G241" i="5"/>
  <c r="G230" i="5"/>
  <c r="G220" i="5"/>
  <c r="G222" i="5"/>
  <c r="G224" i="5"/>
  <c r="G227" i="5"/>
  <c r="G231" i="5"/>
  <c r="G234" i="5"/>
  <c r="G238" i="5"/>
  <c r="G242" i="5"/>
  <c r="G246" i="5"/>
  <c r="G252" i="5"/>
  <c r="G258" i="5"/>
  <c r="G354" i="5"/>
  <c r="G357" i="5"/>
  <c r="G142" i="5"/>
  <c r="G137" i="5"/>
  <c r="G132" i="5"/>
  <c r="G128" i="5"/>
  <c r="G124" i="5"/>
  <c r="G119" i="5"/>
  <c r="G118" i="5"/>
  <c r="G123" i="5"/>
  <c r="G127" i="5"/>
  <c r="G131" i="5"/>
  <c r="G136" i="5"/>
  <c r="G141" i="5"/>
  <c r="G145" i="5"/>
  <c r="G147" i="5"/>
  <c r="G168" i="5"/>
  <c r="G392" i="5"/>
  <c r="G388" i="5"/>
  <c r="G389" i="5"/>
  <c r="G250" i="5"/>
  <c r="G239" i="5"/>
  <c r="G228" i="5"/>
  <c r="G248" i="5"/>
  <c r="G257" i="5"/>
  <c r="G245" i="5"/>
  <c r="G237" i="5"/>
  <c r="G226" i="5"/>
  <c r="G221" i="5"/>
  <c r="G223" i="5"/>
  <c r="G225" i="5"/>
  <c r="G229" i="5"/>
  <c r="G233" i="5"/>
  <c r="G236" i="5"/>
  <c r="G240" i="5"/>
  <c r="G244" i="5"/>
  <c r="G249" i="5"/>
  <c r="G256" i="5"/>
  <c r="G261" i="5"/>
  <c r="G364" i="5"/>
  <c r="G355" i="5"/>
  <c r="G144" i="5"/>
  <c r="G139" i="5"/>
  <c r="G135" i="5"/>
  <c r="G130" i="5"/>
  <c r="G126" i="5"/>
  <c r="G122" i="5"/>
  <c r="G117" i="5"/>
  <c r="G120" i="5"/>
  <c r="G125" i="5"/>
  <c r="G129" i="5"/>
  <c r="G134" i="5"/>
  <c r="G138" i="5"/>
  <c r="G143" i="5"/>
  <c r="G146" i="5"/>
  <c r="G148" i="5"/>
  <c r="G390" i="5"/>
  <c r="G387" i="5"/>
  <c r="G391" i="5"/>
  <c r="G156" i="5"/>
  <c r="K390" i="5" l="1"/>
  <c r="S390" i="5" s="1"/>
  <c r="K138" i="5"/>
  <c r="S138" i="5" s="1"/>
  <c r="K120" i="5"/>
  <c r="S120" i="5" s="1"/>
  <c r="K387" i="5"/>
  <c r="S387" i="5" s="1"/>
  <c r="K148" i="5"/>
  <c r="S148" i="5" s="1"/>
  <c r="K143" i="5"/>
  <c r="S143" i="5" s="1"/>
  <c r="K134" i="5"/>
  <c r="S134" i="5" s="1"/>
  <c r="K125" i="5"/>
  <c r="S125" i="5" s="1"/>
  <c r="K117" i="5"/>
  <c r="S117" i="5" s="1"/>
  <c r="K126" i="5"/>
  <c r="S126" i="5" s="1"/>
  <c r="K135" i="5"/>
  <c r="S135" i="5" s="1"/>
  <c r="K144" i="5"/>
  <c r="S144" i="5" s="1"/>
  <c r="K256" i="5"/>
  <c r="S256" i="5" s="1"/>
  <c r="K244" i="5"/>
  <c r="S244" i="5" s="1"/>
  <c r="K236" i="5"/>
  <c r="S236" i="5" s="1"/>
  <c r="K229" i="5"/>
  <c r="S229" i="5" s="1"/>
  <c r="K223" i="5"/>
  <c r="S223" i="5" s="1"/>
  <c r="K226" i="5"/>
  <c r="S226" i="5" s="1"/>
  <c r="K245" i="5"/>
  <c r="S245" i="5" s="1"/>
  <c r="K248" i="5"/>
  <c r="S248" i="5" s="1"/>
  <c r="K239" i="5"/>
  <c r="S239" i="5" s="1"/>
  <c r="K392" i="5"/>
  <c r="S392" i="5" s="1"/>
  <c r="K145" i="5"/>
  <c r="S145" i="5" s="1"/>
  <c r="K136" i="5"/>
  <c r="S136" i="5" s="1"/>
  <c r="K127" i="5"/>
  <c r="S127" i="5" s="1"/>
  <c r="K118" i="5"/>
  <c r="K124" i="5"/>
  <c r="S124" i="5" s="1"/>
  <c r="K132" i="5"/>
  <c r="S132" i="5" s="1"/>
  <c r="K142" i="5"/>
  <c r="S142" i="5" s="1"/>
  <c r="K252" i="5"/>
  <c r="S252" i="5" s="1"/>
  <c r="K242" i="5"/>
  <c r="S242" i="5" s="1"/>
  <c r="K234" i="5"/>
  <c r="S234" i="5" s="1"/>
  <c r="K227" i="5"/>
  <c r="S227" i="5" s="1"/>
  <c r="K222" i="5"/>
  <c r="S222" i="5" s="1"/>
  <c r="K230" i="5"/>
  <c r="S230" i="5" s="1"/>
  <c r="K254" i="5"/>
  <c r="S254" i="5" s="1"/>
  <c r="K251" i="5"/>
  <c r="S251" i="5" s="1"/>
  <c r="K243" i="5"/>
  <c r="S243" i="5" s="1"/>
  <c r="K255" i="5"/>
  <c r="S255" i="5" s="1"/>
  <c r="K391" i="5"/>
  <c r="S391" i="5" s="1"/>
  <c r="K146" i="5"/>
  <c r="S146" i="5" s="1"/>
  <c r="K129" i="5"/>
  <c r="S129" i="5" s="1"/>
  <c r="K122" i="5"/>
  <c r="S122" i="5" s="1"/>
  <c r="K130" i="5"/>
  <c r="S130" i="5" s="1"/>
  <c r="K139" i="5"/>
  <c r="S139" i="5" s="1"/>
  <c r="K261" i="5"/>
  <c r="S261" i="5" s="1"/>
  <c r="K249" i="5"/>
  <c r="S249" i="5" s="1"/>
  <c r="K240" i="5"/>
  <c r="S240" i="5" s="1"/>
  <c r="K233" i="5"/>
  <c r="S233" i="5" s="1"/>
  <c r="K225" i="5"/>
  <c r="S225" i="5" s="1"/>
  <c r="K221" i="5"/>
  <c r="S221" i="5" s="1"/>
  <c r="K237" i="5"/>
  <c r="S237" i="5" s="1"/>
  <c r="K257" i="5"/>
  <c r="S257" i="5" s="1"/>
  <c r="K228" i="5"/>
  <c r="S228" i="5" s="1"/>
  <c r="K250" i="5"/>
  <c r="S250" i="5" s="1"/>
  <c r="K388" i="5"/>
  <c r="S388" i="5" s="1"/>
  <c r="K147" i="5"/>
  <c r="S147" i="5" s="1"/>
  <c r="K141" i="5"/>
  <c r="S141" i="5" s="1"/>
  <c r="K131" i="5"/>
  <c r="S131" i="5" s="1"/>
  <c r="K123" i="5"/>
  <c r="S123" i="5" s="1"/>
  <c r="K119" i="5"/>
  <c r="S119" i="5" s="1"/>
  <c r="K128" i="5"/>
  <c r="S128" i="5" s="1"/>
  <c r="K137" i="5"/>
  <c r="S137" i="5" s="1"/>
  <c r="K258" i="5"/>
  <c r="S258" i="5" s="1"/>
  <c r="K246" i="5"/>
  <c r="S246" i="5" s="1"/>
  <c r="K238" i="5"/>
  <c r="S238" i="5" s="1"/>
  <c r="K231" i="5"/>
  <c r="S231" i="5" s="1"/>
  <c r="K224" i="5"/>
  <c r="S224" i="5" s="1"/>
  <c r="K220" i="5"/>
  <c r="S220" i="5" s="1"/>
  <c r="K241" i="5"/>
  <c r="S241" i="5" s="1"/>
  <c r="K263" i="5"/>
  <c r="S263" i="5" s="1"/>
  <c r="K232" i="5"/>
  <c r="S232" i="5" s="1"/>
  <c r="K259" i="5"/>
  <c r="S259" i="5" s="1"/>
  <c r="G366" i="5"/>
  <c r="K364" i="5"/>
  <c r="K366" i="5" s="1"/>
  <c r="M44" i="10" s="1"/>
  <c r="G149" i="5"/>
  <c r="A27" i="6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G179" i="5"/>
  <c r="G264" i="5"/>
  <c r="G268" i="5" s="1"/>
  <c r="G356" i="5"/>
  <c r="G89" i="5"/>
  <c r="G370" i="5"/>
  <c r="K41" i="10" l="1"/>
  <c r="G41" i="6"/>
  <c r="K44" i="10"/>
  <c r="Q44" i="10" s="1"/>
  <c r="G44" i="6"/>
  <c r="Q41" i="10"/>
  <c r="O44" i="10"/>
  <c r="K149" i="5"/>
  <c r="K153" i="5" s="1"/>
  <c r="M40" i="10" s="1"/>
  <c r="S118" i="5"/>
  <c r="G153" i="5"/>
  <c r="K264" i="5"/>
  <c r="K268" i="5" s="1"/>
  <c r="M41" i="10" s="1"/>
  <c r="O41" i="10" s="1"/>
  <c r="S364" i="5"/>
  <c r="K17" i="5"/>
  <c r="S17" i="5" s="1"/>
  <c r="K16" i="5"/>
  <c r="S16" i="5" s="1"/>
  <c r="K18" i="5"/>
  <c r="S18" i="5" s="1"/>
  <c r="G358" i="5"/>
  <c r="G360" i="5" s="1"/>
  <c r="G340" i="5"/>
  <c r="G328" i="5"/>
  <c r="G294" i="5"/>
  <c r="G273" i="5"/>
  <c r="G311" i="5"/>
  <c r="G305" i="5"/>
  <c r="G291" i="5"/>
  <c r="G275" i="5"/>
  <c r="G325" i="5"/>
  <c r="G336" i="5"/>
  <c r="G309" i="5"/>
  <c r="G304" i="5"/>
  <c r="G282" i="5"/>
  <c r="G274" i="5"/>
  <c r="G341" i="5"/>
  <c r="G281" i="5"/>
  <c r="G290" i="5"/>
  <c r="G295" i="5"/>
  <c r="G303" i="5"/>
  <c r="G310" i="5"/>
  <c r="G315" i="5"/>
  <c r="G326" i="5"/>
  <c r="G330" i="5"/>
  <c r="G334" i="5"/>
  <c r="G377" i="5"/>
  <c r="G99" i="5"/>
  <c r="G393" i="5"/>
  <c r="G337" i="5"/>
  <c r="G314" i="5"/>
  <c r="G276" i="5"/>
  <c r="G335" i="5"/>
  <c r="G300" i="5"/>
  <c r="G280" i="5"/>
  <c r="G342" i="5"/>
  <c r="G332" i="5"/>
  <c r="G302" i="5"/>
  <c r="G317" i="5"/>
  <c r="G312" i="5"/>
  <c r="G307" i="5"/>
  <c r="G298" i="5"/>
  <c r="G277" i="5"/>
  <c r="G339" i="5"/>
  <c r="G279" i="5"/>
  <c r="G283" i="5"/>
  <c r="G296" i="5"/>
  <c r="G301" i="5"/>
  <c r="G306" i="5"/>
  <c r="G313" i="5"/>
  <c r="G318" i="5"/>
  <c r="G329" i="5"/>
  <c r="G333" i="5"/>
  <c r="K43" i="10" l="1"/>
  <c r="G43" i="6"/>
  <c r="K40" i="10"/>
  <c r="Q40" i="10" s="1"/>
  <c r="G40" i="6"/>
  <c r="O40" i="10"/>
  <c r="W44" i="10"/>
  <c r="Y44" i="10" s="1"/>
  <c r="W41" i="10"/>
  <c r="Y41" i="10" s="1"/>
  <c r="Q43" i="10"/>
  <c r="K318" i="5"/>
  <c r="S318" i="5" s="1"/>
  <c r="K306" i="5"/>
  <c r="S306" i="5" s="1"/>
  <c r="K283" i="5"/>
  <c r="S283" i="5" s="1"/>
  <c r="K339" i="5"/>
  <c r="S339" i="5" s="1"/>
  <c r="K307" i="5"/>
  <c r="S307" i="5" s="1"/>
  <c r="K332" i="5"/>
  <c r="S332" i="5" s="1"/>
  <c r="K280" i="5"/>
  <c r="S280" i="5" s="1"/>
  <c r="K329" i="5"/>
  <c r="S329" i="5" s="1"/>
  <c r="K313" i="5"/>
  <c r="S313" i="5" s="1"/>
  <c r="K301" i="5"/>
  <c r="S301" i="5" s="1"/>
  <c r="S292" i="5"/>
  <c r="K279" i="5"/>
  <c r="S279" i="5" s="1"/>
  <c r="K298" i="5"/>
  <c r="S298" i="5" s="1"/>
  <c r="K312" i="5"/>
  <c r="S312" i="5" s="1"/>
  <c r="K302" i="5"/>
  <c r="S302" i="5" s="1"/>
  <c r="K342" i="5"/>
  <c r="S342" i="5" s="1"/>
  <c r="K300" i="5"/>
  <c r="S300" i="5" s="1"/>
  <c r="K276" i="5"/>
  <c r="S276" i="5" s="1"/>
  <c r="K337" i="5"/>
  <c r="S337" i="5" s="1"/>
  <c r="K36" i="5"/>
  <c r="S36" i="5" s="1"/>
  <c r="K334" i="5"/>
  <c r="S334" i="5" s="1"/>
  <c r="K326" i="5"/>
  <c r="S326" i="5" s="1"/>
  <c r="K310" i="5"/>
  <c r="S310" i="5" s="1"/>
  <c r="S297" i="5"/>
  <c r="K290" i="5"/>
  <c r="S290" i="5" s="1"/>
  <c r="K341" i="5"/>
  <c r="S341" i="5" s="1"/>
  <c r="K274" i="5"/>
  <c r="S274" i="5" s="1"/>
  <c r="K304" i="5"/>
  <c r="S304" i="5" s="1"/>
  <c r="K325" i="5"/>
  <c r="S325" i="5" s="1"/>
  <c r="K275" i="5"/>
  <c r="S275" i="5" s="1"/>
  <c r="K305" i="5"/>
  <c r="S305" i="5" s="1"/>
  <c r="K294" i="5"/>
  <c r="S294" i="5" s="1"/>
  <c r="K340" i="5"/>
  <c r="S340" i="5" s="1"/>
  <c r="K20" i="5"/>
  <c r="S20" i="5" s="1"/>
  <c r="K358" i="5"/>
  <c r="K360" i="5" s="1"/>
  <c r="M43" i="10" s="1"/>
  <c r="O43" i="10" s="1"/>
  <c r="K333" i="5"/>
  <c r="S333" i="5" s="1"/>
  <c r="K296" i="5"/>
  <c r="S296" i="5" s="1"/>
  <c r="K277" i="5"/>
  <c r="S277" i="5" s="1"/>
  <c r="K317" i="5"/>
  <c r="S317" i="5" s="1"/>
  <c r="S308" i="5"/>
  <c r="K335" i="5"/>
  <c r="S335" i="5" s="1"/>
  <c r="K314" i="5"/>
  <c r="S314" i="5" s="1"/>
  <c r="K59" i="5"/>
  <c r="S59" i="5" s="1"/>
  <c r="K60" i="5"/>
  <c r="S60" i="5" s="1"/>
  <c r="K330" i="5"/>
  <c r="S330" i="5" s="1"/>
  <c r="K315" i="5"/>
  <c r="S315" i="5" s="1"/>
  <c r="K303" i="5"/>
  <c r="S303" i="5" s="1"/>
  <c r="K295" i="5"/>
  <c r="S295" i="5" s="1"/>
  <c r="K281" i="5"/>
  <c r="S281" i="5" s="1"/>
  <c r="K282" i="5"/>
  <c r="S282" i="5" s="1"/>
  <c r="K309" i="5"/>
  <c r="S309" i="5" s="1"/>
  <c r="K336" i="5"/>
  <c r="S336" i="5" s="1"/>
  <c r="K291" i="5"/>
  <c r="S291" i="5" s="1"/>
  <c r="K311" i="5"/>
  <c r="S311" i="5" s="1"/>
  <c r="K273" i="5"/>
  <c r="S273" i="5" s="1"/>
  <c r="K328" i="5"/>
  <c r="S328" i="5" s="1"/>
  <c r="K58" i="5"/>
  <c r="S58" i="5" s="1"/>
  <c r="K37" i="5"/>
  <c r="S37" i="5" s="1"/>
  <c r="K38" i="5"/>
  <c r="S38" i="5" s="1"/>
  <c r="G396" i="5"/>
  <c r="K393" i="5"/>
  <c r="K396" i="5" s="1"/>
  <c r="M32" i="10" s="1"/>
  <c r="G170" i="5"/>
  <c r="G173" i="5"/>
  <c r="G169" i="5"/>
  <c r="G172" i="5"/>
  <c r="G159" i="5"/>
  <c r="G158" i="5"/>
  <c r="G162" i="5"/>
  <c r="G105" i="5"/>
  <c r="G106" i="5"/>
  <c r="G110" i="5"/>
  <c r="G171" i="5"/>
  <c r="G161" i="5"/>
  <c r="G157" i="5"/>
  <c r="G160" i="5"/>
  <c r="G109" i="5"/>
  <c r="G107" i="5"/>
  <c r="G108" i="5"/>
  <c r="G319" i="5"/>
  <c r="G321" i="5" s="1"/>
  <c r="G343" i="5"/>
  <c r="G345" i="5" s="1"/>
  <c r="G284" i="5"/>
  <c r="K32" i="10" l="1"/>
  <c r="O32" i="10" s="1"/>
  <c r="G32" i="6"/>
  <c r="K284" i="5"/>
  <c r="S393" i="5"/>
  <c r="K319" i="5"/>
  <c r="K321" i="5" s="1"/>
  <c r="W43" i="10"/>
  <c r="Y43" i="10" s="1"/>
  <c r="W40" i="10"/>
  <c r="S358" i="5"/>
  <c r="K343" i="5"/>
  <c r="K345" i="5" s="1"/>
  <c r="K40" i="5"/>
  <c r="S40" i="5" s="1"/>
  <c r="K171" i="5"/>
  <c r="S171" i="5" s="1"/>
  <c r="K110" i="5"/>
  <c r="S110" i="5" s="1"/>
  <c r="K158" i="5"/>
  <c r="S158" i="5" s="1"/>
  <c r="K172" i="5"/>
  <c r="S172" i="5" s="1"/>
  <c r="K108" i="5"/>
  <c r="S108" i="5" s="1"/>
  <c r="K109" i="5"/>
  <c r="S109" i="5" s="1"/>
  <c r="K161" i="5"/>
  <c r="S161" i="5" s="1"/>
  <c r="K62" i="5"/>
  <c r="S62" i="5" s="1"/>
  <c r="K162" i="5"/>
  <c r="S162" i="5" s="1"/>
  <c r="K159" i="5"/>
  <c r="S159" i="5" s="1"/>
  <c r="K170" i="5"/>
  <c r="S170" i="5" s="1"/>
  <c r="K173" i="5"/>
  <c r="S173" i="5" s="1"/>
  <c r="G348" i="5"/>
  <c r="G286" i="5"/>
  <c r="G444" i="5"/>
  <c r="G441" i="5"/>
  <c r="G77" i="5"/>
  <c r="G446" i="5"/>
  <c r="G442" i="5"/>
  <c r="G443" i="5"/>
  <c r="G452" i="5"/>
  <c r="G449" i="5"/>
  <c r="G453" i="5"/>
  <c r="G371" i="5"/>
  <c r="G373" i="5"/>
  <c r="G445" i="5"/>
  <c r="G451" i="5"/>
  <c r="G82" i="5"/>
  <c r="G180" i="5"/>
  <c r="G450" i="5"/>
  <c r="G379" i="5"/>
  <c r="G372" i="5"/>
  <c r="Q32" i="10" l="1"/>
  <c r="K348" i="5"/>
  <c r="K351" i="5" s="1"/>
  <c r="M42" i="10" s="1"/>
  <c r="M45" i="10" s="1"/>
  <c r="M48" i="10" s="1"/>
  <c r="K286" i="5"/>
  <c r="Y40" i="10"/>
  <c r="W32" i="10"/>
  <c r="Y32" i="10" s="1"/>
  <c r="G351" i="5"/>
  <c r="K486" i="5"/>
  <c r="S486" i="5" s="1"/>
  <c r="K451" i="5"/>
  <c r="S451" i="5" s="1"/>
  <c r="K373" i="5"/>
  <c r="S373" i="5" s="1"/>
  <c r="K490" i="5"/>
  <c r="S490" i="5" s="1"/>
  <c r="K452" i="5"/>
  <c r="S452" i="5" s="1"/>
  <c r="K442" i="5"/>
  <c r="S442" i="5" s="1"/>
  <c r="K372" i="5"/>
  <c r="K379" i="5"/>
  <c r="S379" i="5" s="1"/>
  <c r="K450" i="5"/>
  <c r="S450" i="5" s="1"/>
  <c r="K82" i="5"/>
  <c r="S82" i="5" s="1"/>
  <c r="K487" i="5"/>
  <c r="S487" i="5" s="1"/>
  <c r="K445" i="5"/>
  <c r="S445" i="5" s="1"/>
  <c r="K453" i="5"/>
  <c r="S453" i="5" s="1"/>
  <c r="K489" i="5"/>
  <c r="S489" i="5" s="1"/>
  <c r="K443" i="5"/>
  <c r="S443" i="5" s="1"/>
  <c r="K446" i="5"/>
  <c r="S446" i="5" s="1"/>
  <c r="K21" i="5"/>
  <c r="K29" i="5" s="1"/>
  <c r="G174" i="5"/>
  <c r="G189" i="5"/>
  <c r="G187" i="5"/>
  <c r="G111" i="5"/>
  <c r="G163" i="5"/>
  <c r="G378" i="5"/>
  <c r="G188" i="5"/>
  <c r="G375" i="5"/>
  <c r="K42" i="10" l="1"/>
  <c r="K45" i="10" s="1"/>
  <c r="K48" i="10" s="1"/>
  <c r="G42" i="6"/>
  <c r="K375" i="5"/>
  <c r="Q42" i="10"/>
  <c r="O42" i="10"/>
  <c r="O45" i="10" s="1"/>
  <c r="O48" i="10" s="1"/>
  <c r="T292" i="5"/>
  <c r="T308" i="5"/>
  <c r="T297" i="5"/>
  <c r="S372" i="5"/>
  <c r="K15" i="10"/>
  <c r="K41" i="5"/>
  <c r="K49" i="5" s="1"/>
  <c r="M15" i="10" s="1"/>
  <c r="G165" i="5"/>
  <c r="K163" i="5"/>
  <c r="K165" i="5" s="1"/>
  <c r="M24" i="10" s="1"/>
  <c r="G113" i="5"/>
  <c r="K111" i="5"/>
  <c r="K113" i="5" s="1"/>
  <c r="M21" i="10" s="1"/>
  <c r="K16" i="10"/>
  <c r="K63" i="5"/>
  <c r="K71" i="5" s="1"/>
  <c r="M16" i="10" s="1"/>
  <c r="G176" i="5"/>
  <c r="K174" i="5"/>
  <c r="K176" i="5" s="1"/>
  <c r="M25" i="10" s="1"/>
  <c r="G204" i="5"/>
  <c r="G181" i="5"/>
  <c r="G196" i="5"/>
  <c r="G380" i="5"/>
  <c r="G447" i="5"/>
  <c r="G92" i="5"/>
  <c r="G203" i="5"/>
  <c r="G205" i="5"/>
  <c r="G97" i="5"/>
  <c r="G454" i="5"/>
  <c r="K25" i="10" l="1"/>
  <c r="G25" i="6"/>
  <c r="K21" i="10"/>
  <c r="O21" i="10" s="1"/>
  <c r="G21" i="6"/>
  <c r="K24" i="10"/>
  <c r="G24" i="6"/>
  <c r="I42" i="6"/>
  <c r="I41" i="6"/>
  <c r="I40" i="6"/>
  <c r="G45" i="6"/>
  <c r="G48" i="6" s="1"/>
  <c r="M18" i="10"/>
  <c r="O15" i="10"/>
  <c r="Q15" i="10"/>
  <c r="K18" i="10"/>
  <c r="Q16" i="10"/>
  <c r="W16" i="10" s="1"/>
  <c r="Y16" i="10" s="1"/>
  <c r="O16" i="10"/>
  <c r="Q24" i="10"/>
  <c r="O24" i="10"/>
  <c r="W42" i="10"/>
  <c r="Q45" i="10"/>
  <c r="Q48" i="10" s="1"/>
  <c r="Q25" i="10"/>
  <c r="O25" i="10"/>
  <c r="S111" i="5"/>
  <c r="S63" i="5"/>
  <c r="S163" i="5"/>
  <c r="S174" i="5"/>
  <c r="S41" i="5"/>
  <c r="K97" i="5"/>
  <c r="S97" i="5" s="1"/>
  <c r="K454" i="5"/>
  <c r="S454" i="5" s="1"/>
  <c r="K491" i="5"/>
  <c r="K492" i="5" s="1"/>
  <c r="M36" i="10" s="1"/>
  <c r="K447" i="5"/>
  <c r="S447" i="5" s="1"/>
  <c r="K181" i="5"/>
  <c r="S181" i="5" s="1"/>
  <c r="G382" i="5"/>
  <c r="G383" i="5" s="1"/>
  <c r="K380" i="5"/>
  <c r="K382" i="5" s="1"/>
  <c r="K383" i="5" s="1"/>
  <c r="M31" i="10" s="1"/>
  <c r="G455" i="5"/>
  <c r="G83" i="5"/>
  <c r="G212" i="5"/>
  <c r="K31" i="10" l="1"/>
  <c r="G31" i="6"/>
  <c r="Q21" i="10"/>
  <c r="W21" i="10" s="1"/>
  <c r="Y21" i="10" s="1"/>
  <c r="I45" i="6"/>
  <c r="K455" i="5"/>
  <c r="K457" i="5" s="1"/>
  <c r="M33" i="10" s="1"/>
  <c r="Q31" i="10"/>
  <c r="O31" i="10"/>
  <c r="W25" i="10"/>
  <c r="W24" i="10"/>
  <c r="Y24" i="10" s="1"/>
  <c r="W15" i="10"/>
  <c r="Q18" i="10"/>
  <c r="Y42" i="10"/>
  <c r="W45" i="10"/>
  <c r="W48" i="10" s="1"/>
  <c r="O18" i="10"/>
  <c r="S380" i="5"/>
  <c r="S491" i="5"/>
  <c r="G86" i="5"/>
  <c r="G20" i="6" s="1"/>
  <c r="K83" i="5"/>
  <c r="K86" i="5" s="1"/>
  <c r="G182" i="5"/>
  <c r="I48" i="6" l="1"/>
  <c r="K20" i="10"/>
  <c r="Q20" i="10" s="1"/>
  <c r="M20" i="10"/>
  <c r="Y45" i="10"/>
  <c r="W18" i="10"/>
  <c r="Y18" i="10" s="1"/>
  <c r="Y15" i="10"/>
  <c r="Y25" i="10"/>
  <c r="W31" i="10"/>
  <c r="Y31" i="10" s="1"/>
  <c r="S83" i="5"/>
  <c r="G184" i="5"/>
  <c r="K182" i="5"/>
  <c r="K184" i="5" s="1"/>
  <c r="M26" i="10" s="1"/>
  <c r="M27" i="10" s="1"/>
  <c r="G98" i="5"/>
  <c r="K26" i="10" l="1"/>
  <c r="G26" i="6"/>
  <c r="G27" i="6" s="1"/>
  <c r="O20" i="10"/>
  <c r="I49" i="6"/>
  <c r="Q26" i="10"/>
  <c r="O26" i="10"/>
  <c r="O27" i="10" s="1"/>
  <c r="K27" i="10"/>
  <c r="Y48" i="10"/>
  <c r="W20" i="10"/>
  <c r="S182" i="5"/>
  <c r="G101" i="5"/>
  <c r="G22" i="6" s="1"/>
  <c r="K98" i="5"/>
  <c r="G437" i="5"/>
  <c r="G417" i="5"/>
  <c r="G414" i="5"/>
  <c r="G408" i="5"/>
  <c r="G401" i="5"/>
  <c r="G405" i="5"/>
  <c r="G193" i="5"/>
  <c r="G191" i="5"/>
  <c r="G197" i="5"/>
  <c r="G400" i="5"/>
  <c r="G407" i="5"/>
  <c r="G208" i="5"/>
  <c r="G192" i="5"/>
  <c r="G190" i="5"/>
  <c r="O18" i="6" l="1"/>
  <c r="O24" i="6"/>
  <c r="O35" i="6"/>
  <c r="O38" i="6"/>
  <c r="O49" i="6"/>
  <c r="O39" i="6"/>
  <c r="O30" i="6"/>
  <c r="O32" i="6"/>
  <c r="O43" i="6"/>
  <c r="O27" i="6"/>
  <c r="O34" i="6"/>
  <c r="O23" i="6"/>
  <c r="O44" i="6"/>
  <c r="O42" i="6"/>
  <c r="O40" i="6"/>
  <c r="O41" i="6"/>
  <c r="O45" i="6"/>
  <c r="G23" i="6"/>
  <c r="O48" i="6"/>
  <c r="K101" i="5"/>
  <c r="M22" i="10" s="1"/>
  <c r="S98" i="5"/>
  <c r="K22" i="10"/>
  <c r="K23" i="10" s="1"/>
  <c r="Y20" i="10"/>
  <c r="W26" i="10"/>
  <c r="Q27" i="10"/>
  <c r="T191" i="5"/>
  <c r="S191" i="5"/>
  <c r="K193" i="5"/>
  <c r="K192" i="5"/>
  <c r="K190" i="5"/>
  <c r="S190" i="5" s="1"/>
  <c r="K208" i="5"/>
  <c r="S208" i="5" s="1"/>
  <c r="G198" i="5"/>
  <c r="K197" i="5"/>
  <c r="K198" i="5" s="1"/>
  <c r="G207" i="5"/>
  <c r="G436" i="5"/>
  <c r="G206" i="5"/>
  <c r="G404" i="5"/>
  <c r="G213" i="5"/>
  <c r="G194" i="5"/>
  <c r="O22" i="10" l="1"/>
  <c r="Q22" i="10"/>
  <c r="M23" i="10"/>
  <c r="K194" i="5"/>
  <c r="K200" i="5" s="1"/>
  <c r="Y26" i="10"/>
  <c r="W27" i="10"/>
  <c r="Y27" i="10" s="1"/>
  <c r="O23" i="10"/>
  <c r="S197" i="5"/>
  <c r="W22" i="10"/>
  <c r="Q23" i="10"/>
  <c r="K206" i="5"/>
  <c r="S206" i="5" s="1"/>
  <c r="G200" i="5"/>
  <c r="G214" i="5"/>
  <c r="K213" i="5"/>
  <c r="K214" i="5" s="1"/>
  <c r="K28" i="10" l="1"/>
  <c r="Q28" i="10" s="1"/>
  <c r="G28" i="6"/>
  <c r="M28" i="10"/>
  <c r="O28" i="10" s="1"/>
  <c r="Y22" i="10"/>
  <c r="W23" i="10"/>
  <c r="Y23" i="10" s="1"/>
  <c r="S213" i="5"/>
  <c r="G410" i="5"/>
  <c r="G209" i="5"/>
  <c r="K36" i="10"/>
  <c r="W28" i="10" l="1"/>
  <c r="O36" i="10"/>
  <c r="Q36" i="10"/>
  <c r="G210" i="5"/>
  <c r="G216" i="5" s="1"/>
  <c r="K209" i="5"/>
  <c r="K210" i="5" s="1"/>
  <c r="K216" i="5" s="1"/>
  <c r="K512" i="5" s="1"/>
  <c r="G411" i="5"/>
  <c r="G438" i="5" s="1"/>
  <c r="K29" i="10" l="1"/>
  <c r="G29" i="6"/>
  <c r="Q29" i="10"/>
  <c r="K30" i="10"/>
  <c r="W36" i="10"/>
  <c r="Y36" i="10" s="1"/>
  <c r="M29" i="10"/>
  <c r="Y28" i="10"/>
  <c r="S209" i="5"/>
  <c r="G457" i="5"/>
  <c r="G30" i="6" l="1"/>
  <c r="G38" i="6"/>
  <c r="G49" i="6" s="1"/>
  <c r="G512" i="5"/>
  <c r="G33" i="6"/>
  <c r="M30" i="10"/>
  <c r="M38" i="10"/>
  <c r="O29" i="10"/>
  <c r="K33" i="10"/>
  <c r="K38" i="10" s="1"/>
  <c r="W29" i="10"/>
  <c r="Q30" i="10"/>
  <c r="K30" i="6" l="1"/>
  <c r="K44" i="6"/>
  <c r="K40" i="6"/>
  <c r="K32" i="6"/>
  <c r="K23" i="6"/>
  <c r="K41" i="6"/>
  <c r="M41" i="6" s="1"/>
  <c r="K27" i="6"/>
  <c r="K24" i="6"/>
  <c r="M24" i="6" s="1"/>
  <c r="K43" i="6"/>
  <c r="K35" i="6"/>
  <c r="K42" i="6"/>
  <c r="M42" i="6" s="1"/>
  <c r="O30" i="10"/>
  <c r="M49" i="10"/>
  <c r="Y29" i="10"/>
  <c r="W30" i="10"/>
  <c r="Y30" i="10" s="1"/>
  <c r="Q33" i="10"/>
  <c r="O33" i="10"/>
  <c r="O38" i="10" s="1"/>
  <c r="R355" i="5" l="1"/>
  <c r="R357" i="5" s="1"/>
  <c r="M358" i="5" s="1"/>
  <c r="M43" i="6"/>
  <c r="K20" i="6"/>
  <c r="K21" i="6"/>
  <c r="M23" i="6"/>
  <c r="R363" i="5"/>
  <c r="M44" i="6"/>
  <c r="R188" i="5"/>
  <c r="K28" i="6"/>
  <c r="M30" i="6"/>
  <c r="M27" i="6"/>
  <c r="K25" i="6"/>
  <c r="R462" i="5"/>
  <c r="R464" i="5" s="1"/>
  <c r="M34" i="6"/>
  <c r="R387" i="5"/>
  <c r="M32" i="6"/>
  <c r="R468" i="5"/>
  <c r="R470" i="5" s="1"/>
  <c r="M469" i="5" s="1"/>
  <c r="M35" i="6"/>
  <c r="M40" i="6"/>
  <c r="K45" i="6"/>
  <c r="R119" i="5"/>
  <c r="R121" i="5" s="1"/>
  <c r="W33" i="10"/>
  <c r="Q38" i="10"/>
  <c r="K49" i="10"/>
  <c r="O49" i="10"/>
  <c r="M293" i="5" l="1"/>
  <c r="O293" i="5" s="1"/>
  <c r="M313" i="5"/>
  <c r="O313" i="5" s="1"/>
  <c r="T313" i="5" s="1"/>
  <c r="M280" i="5"/>
  <c r="O280" i="5" s="1"/>
  <c r="T280" i="5" s="1"/>
  <c r="M233" i="5"/>
  <c r="O233" i="5" s="1"/>
  <c r="T233" i="5" s="1"/>
  <c r="M128" i="5"/>
  <c r="O128" i="5" s="1"/>
  <c r="T128" i="5" s="1"/>
  <c r="M305" i="5"/>
  <c r="O305" i="5" s="1"/>
  <c r="T305" i="5" s="1"/>
  <c r="M252" i="5"/>
  <c r="O252" i="5" s="1"/>
  <c r="T252" i="5" s="1"/>
  <c r="M147" i="5"/>
  <c r="O147" i="5" s="1"/>
  <c r="T147" i="5" s="1"/>
  <c r="M315" i="5"/>
  <c r="O315" i="5" s="1"/>
  <c r="T315" i="5" s="1"/>
  <c r="M130" i="5"/>
  <c r="O130" i="5" s="1"/>
  <c r="T130" i="5" s="1"/>
  <c r="M237" i="5"/>
  <c r="O237" i="5" s="1"/>
  <c r="T237" i="5" s="1"/>
  <c r="M326" i="5"/>
  <c r="O326" i="5" s="1"/>
  <c r="T326" i="5" s="1"/>
  <c r="M277" i="5"/>
  <c r="O277" i="5" s="1"/>
  <c r="T277" i="5" s="1"/>
  <c r="M231" i="5"/>
  <c r="O231" i="5" s="1"/>
  <c r="T231" i="5" s="1"/>
  <c r="M126" i="5"/>
  <c r="O126" i="5" s="1"/>
  <c r="T126" i="5" s="1"/>
  <c r="M303" i="5"/>
  <c r="O303" i="5" s="1"/>
  <c r="T303" i="5" s="1"/>
  <c r="M250" i="5"/>
  <c r="O250" i="5" s="1"/>
  <c r="T250" i="5" s="1"/>
  <c r="M145" i="5"/>
  <c r="O145" i="5" s="1"/>
  <c r="T145" i="5" s="1"/>
  <c r="M273" i="5"/>
  <c r="M228" i="5"/>
  <c r="O228" i="5" s="1"/>
  <c r="T228" i="5" s="1"/>
  <c r="M318" i="5"/>
  <c r="O318" i="5" s="1"/>
  <c r="T318" i="5" s="1"/>
  <c r="M275" i="5"/>
  <c r="O275" i="5" s="1"/>
  <c r="T275" i="5" s="1"/>
  <c r="M229" i="5"/>
  <c r="O229" i="5" s="1"/>
  <c r="T229" i="5" s="1"/>
  <c r="M124" i="5"/>
  <c r="O124" i="5" s="1"/>
  <c r="T124" i="5" s="1"/>
  <c r="M309" i="5"/>
  <c r="O309" i="5" s="1"/>
  <c r="T309" i="5" s="1"/>
  <c r="M257" i="5"/>
  <c r="O257" i="5" s="1"/>
  <c r="T257" i="5" s="1"/>
  <c r="M222" i="5"/>
  <c r="O222" i="5" s="1"/>
  <c r="T222" i="5" s="1"/>
  <c r="M337" i="5"/>
  <c r="O337" i="5" s="1"/>
  <c r="T337" i="5" s="1"/>
  <c r="M254" i="5"/>
  <c r="O254" i="5" s="1"/>
  <c r="T254" i="5" s="1"/>
  <c r="M317" i="5"/>
  <c r="O317" i="5" s="1"/>
  <c r="T317" i="5" s="1"/>
  <c r="M220" i="5"/>
  <c r="M304" i="5"/>
  <c r="O304" i="5" s="1"/>
  <c r="T304" i="5" s="1"/>
  <c r="M129" i="5"/>
  <c r="O129" i="5" s="1"/>
  <c r="T129" i="5" s="1"/>
  <c r="M298" i="5"/>
  <c r="O298" i="5" s="1"/>
  <c r="T298" i="5" s="1"/>
  <c r="M249" i="5"/>
  <c r="O249" i="5" s="1"/>
  <c r="T249" i="5" s="1"/>
  <c r="M279" i="5"/>
  <c r="O279" i="5" s="1"/>
  <c r="T279" i="5" s="1"/>
  <c r="M339" i="5"/>
  <c r="O339" i="5" s="1"/>
  <c r="T339" i="5" s="1"/>
  <c r="M246" i="5"/>
  <c r="O246" i="5" s="1"/>
  <c r="T246" i="5" s="1"/>
  <c r="M239" i="5"/>
  <c r="O239" i="5" s="1"/>
  <c r="T239" i="5" s="1"/>
  <c r="M139" i="5"/>
  <c r="O139" i="5" s="1"/>
  <c r="T139" i="5" s="1"/>
  <c r="M312" i="5"/>
  <c r="O312" i="5" s="1"/>
  <c r="T312" i="5" s="1"/>
  <c r="M261" i="5"/>
  <c r="O261" i="5" s="1"/>
  <c r="T261" i="5" s="1"/>
  <c r="M225" i="5"/>
  <c r="O225" i="5" s="1"/>
  <c r="T225" i="5" s="1"/>
  <c r="M119" i="5"/>
  <c r="O119" i="5" s="1"/>
  <c r="T119" i="5" s="1"/>
  <c r="M296" i="5"/>
  <c r="O296" i="5" s="1"/>
  <c r="T296" i="5" s="1"/>
  <c r="M243" i="5"/>
  <c r="O243" i="5" s="1"/>
  <c r="T243" i="5" s="1"/>
  <c r="M138" i="5"/>
  <c r="O138" i="5" s="1"/>
  <c r="T138" i="5" s="1"/>
  <c r="M282" i="5"/>
  <c r="O282" i="5" s="1"/>
  <c r="T282" i="5" s="1"/>
  <c r="M333" i="5"/>
  <c r="O333" i="5" s="1"/>
  <c r="T333" i="5" s="1"/>
  <c r="M141" i="5"/>
  <c r="O141" i="5" s="1"/>
  <c r="T141" i="5" s="1"/>
  <c r="M310" i="5"/>
  <c r="O310" i="5" s="1"/>
  <c r="T310" i="5" s="1"/>
  <c r="M258" i="5"/>
  <c r="O258" i="5" s="1"/>
  <c r="T258" i="5" s="1"/>
  <c r="M223" i="5"/>
  <c r="O223" i="5" s="1"/>
  <c r="T223" i="5" s="1"/>
  <c r="M117" i="5"/>
  <c r="M294" i="5"/>
  <c r="O294" i="5" s="1"/>
  <c r="T294" i="5" s="1"/>
  <c r="M241" i="5"/>
  <c r="O241" i="5" s="1"/>
  <c r="T241" i="5" s="1"/>
  <c r="M136" i="5"/>
  <c r="O136" i="5" s="1"/>
  <c r="T136" i="5" s="1"/>
  <c r="M227" i="5"/>
  <c r="O227" i="5" s="1"/>
  <c r="T227" i="5" s="1"/>
  <c r="M123" i="5"/>
  <c r="O123" i="5" s="1"/>
  <c r="T123" i="5" s="1"/>
  <c r="M256" i="5"/>
  <c r="O256" i="5" s="1"/>
  <c r="T256" i="5" s="1"/>
  <c r="M221" i="5"/>
  <c r="O221" i="5" s="1"/>
  <c r="T221" i="5" s="1"/>
  <c r="M341" i="5"/>
  <c r="O341" i="5" s="1"/>
  <c r="T341" i="5" s="1"/>
  <c r="M301" i="5"/>
  <c r="O301" i="5" s="1"/>
  <c r="T301" i="5" s="1"/>
  <c r="M248" i="5"/>
  <c r="O248" i="5" s="1"/>
  <c r="T248" i="5" s="1"/>
  <c r="M143" i="5"/>
  <c r="O143" i="5" s="1"/>
  <c r="T143" i="5" s="1"/>
  <c r="M332" i="5"/>
  <c r="O332" i="5" s="1"/>
  <c r="T332" i="5" s="1"/>
  <c r="M236" i="5"/>
  <c r="O236" i="5" s="1"/>
  <c r="T236" i="5" s="1"/>
  <c r="M307" i="5"/>
  <c r="O307" i="5" s="1"/>
  <c r="T307" i="5" s="1"/>
  <c r="M131" i="5"/>
  <c r="O131" i="5" s="1"/>
  <c r="T131" i="5" s="1"/>
  <c r="M299" i="5"/>
  <c r="O299" i="5" s="1"/>
  <c r="M146" i="5"/>
  <c r="O146" i="5" s="1"/>
  <c r="T146" i="5" s="1"/>
  <c r="M330" i="5"/>
  <c r="O330" i="5" s="1"/>
  <c r="T330" i="5" s="1"/>
  <c r="M281" i="5"/>
  <c r="O281" i="5" s="1"/>
  <c r="T281" i="5" s="1"/>
  <c r="M302" i="5"/>
  <c r="O302" i="5" s="1"/>
  <c r="T302" i="5" s="1"/>
  <c r="M328" i="5"/>
  <c r="O328" i="5" s="1"/>
  <c r="T328" i="5" s="1"/>
  <c r="M232" i="5"/>
  <c r="O232" i="5" s="1"/>
  <c r="T232" i="5" s="1"/>
  <c r="M340" i="5"/>
  <c r="O340" i="5" s="1"/>
  <c r="T340" i="5" s="1"/>
  <c r="M142" i="5"/>
  <c r="O142" i="5" s="1"/>
  <c r="T142" i="5" s="1"/>
  <c r="M291" i="5"/>
  <c r="O291" i="5" s="1"/>
  <c r="T291" i="5" s="1"/>
  <c r="M306" i="5"/>
  <c r="O306" i="5" s="1"/>
  <c r="T306" i="5" s="1"/>
  <c r="M329" i="5"/>
  <c r="O329" i="5" s="1"/>
  <c r="T329" i="5" s="1"/>
  <c r="M295" i="5"/>
  <c r="O295" i="5" s="1"/>
  <c r="T295" i="5" s="1"/>
  <c r="M242" i="5"/>
  <c r="O242" i="5" s="1"/>
  <c r="T242" i="5" s="1"/>
  <c r="M137" i="5"/>
  <c r="O137" i="5" s="1"/>
  <c r="T137" i="5" s="1"/>
  <c r="M314" i="5"/>
  <c r="O314" i="5" s="1"/>
  <c r="T314" i="5" s="1"/>
  <c r="M263" i="5"/>
  <c r="O263" i="5" s="1"/>
  <c r="T263" i="5" s="1"/>
  <c r="M226" i="5"/>
  <c r="O226" i="5" s="1"/>
  <c r="T226" i="5" s="1"/>
  <c r="M120" i="5"/>
  <c r="O120" i="5" s="1"/>
  <c r="T120" i="5" s="1"/>
  <c r="M148" i="5"/>
  <c r="O148" i="5" s="1"/>
  <c r="T148" i="5" s="1"/>
  <c r="M255" i="5"/>
  <c r="O255" i="5" s="1"/>
  <c r="T255" i="5" s="1"/>
  <c r="M336" i="5"/>
  <c r="O336" i="5" s="1"/>
  <c r="T336" i="5" s="1"/>
  <c r="M240" i="5"/>
  <c r="O240" i="5" s="1"/>
  <c r="T240" i="5" s="1"/>
  <c r="M135" i="5"/>
  <c r="O135" i="5" s="1"/>
  <c r="T135" i="5" s="1"/>
  <c r="M311" i="5"/>
  <c r="O311" i="5" s="1"/>
  <c r="T311" i="5" s="1"/>
  <c r="M259" i="5"/>
  <c r="O259" i="5" s="1"/>
  <c r="T259" i="5" s="1"/>
  <c r="M224" i="5"/>
  <c r="O224" i="5" s="1"/>
  <c r="T224" i="5" s="1"/>
  <c r="M118" i="5"/>
  <c r="O118" i="5" s="1"/>
  <c r="T118" i="5" s="1"/>
  <c r="M274" i="5"/>
  <c r="O274" i="5" s="1"/>
  <c r="T274" i="5" s="1"/>
  <c r="M334" i="5"/>
  <c r="O334" i="5" s="1"/>
  <c r="T334" i="5" s="1"/>
  <c r="M290" i="5"/>
  <c r="M238" i="5"/>
  <c r="O238" i="5" s="1"/>
  <c r="T238" i="5" s="1"/>
  <c r="M132" i="5"/>
  <c r="O132" i="5" s="1"/>
  <c r="T132" i="5" s="1"/>
  <c r="M325" i="5"/>
  <c r="M276" i="5"/>
  <c r="O276" i="5" s="1"/>
  <c r="T276" i="5" s="1"/>
  <c r="M230" i="5"/>
  <c r="O230" i="5" s="1"/>
  <c r="T230" i="5" s="1"/>
  <c r="M125" i="5"/>
  <c r="O125" i="5" s="1"/>
  <c r="T125" i="5" s="1"/>
  <c r="M122" i="5"/>
  <c r="O122" i="5" s="1"/>
  <c r="T122" i="5" s="1"/>
  <c r="M245" i="5"/>
  <c r="O245" i="5" s="1"/>
  <c r="T245" i="5" s="1"/>
  <c r="M251" i="5"/>
  <c r="O251" i="5" s="1"/>
  <c r="T251" i="5" s="1"/>
  <c r="M234" i="5"/>
  <c r="O234" i="5" s="1"/>
  <c r="T234" i="5" s="1"/>
  <c r="M244" i="5"/>
  <c r="O244" i="5" s="1"/>
  <c r="T244" i="5" s="1"/>
  <c r="M342" i="5"/>
  <c r="O342" i="5" s="1"/>
  <c r="T342" i="5" s="1"/>
  <c r="M144" i="5"/>
  <c r="O144" i="5" s="1"/>
  <c r="T144" i="5" s="1"/>
  <c r="M127" i="5"/>
  <c r="O127" i="5" s="1"/>
  <c r="T127" i="5" s="1"/>
  <c r="M300" i="5"/>
  <c r="O300" i="5" s="1"/>
  <c r="T300" i="5" s="1"/>
  <c r="M335" i="5"/>
  <c r="O335" i="5" s="1"/>
  <c r="T335" i="5" s="1"/>
  <c r="M134" i="5"/>
  <c r="O134" i="5" s="1"/>
  <c r="T134" i="5" s="1"/>
  <c r="M283" i="5"/>
  <c r="O283" i="5" s="1"/>
  <c r="T283" i="5" s="1"/>
  <c r="M25" i="6"/>
  <c r="R105" i="5"/>
  <c r="M21" i="6"/>
  <c r="M464" i="5"/>
  <c r="O464" i="5" s="1"/>
  <c r="T464" i="5" s="1"/>
  <c r="M462" i="5"/>
  <c r="O462" i="5" s="1"/>
  <c r="M463" i="5"/>
  <c r="M20" i="6"/>
  <c r="K48" i="6"/>
  <c r="M48" i="6" s="1"/>
  <c r="M45" i="6"/>
  <c r="K26" i="6"/>
  <c r="K29" i="6"/>
  <c r="M29" i="6" s="1"/>
  <c r="M28" i="6"/>
  <c r="K22" i="6"/>
  <c r="O469" i="5"/>
  <c r="O470" i="5" s="1"/>
  <c r="S35" i="10" s="1"/>
  <c r="O358" i="5"/>
  <c r="E18" i="17"/>
  <c r="G18" i="17" s="1"/>
  <c r="Q49" i="10"/>
  <c r="Y33" i="10"/>
  <c r="W38" i="10"/>
  <c r="R389" i="5"/>
  <c r="R365" i="5"/>
  <c r="M364" i="5" s="1"/>
  <c r="T469" i="5" l="1"/>
  <c r="O273" i="5"/>
  <c r="O284" i="5" s="1"/>
  <c r="T358" i="5"/>
  <c r="O360" i="5"/>
  <c r="S43" i="10" s="1"/>
  <c r="T462" i="5"/>
  <c r="O290" i="5"/>
  <c r="O319" i="5" s="1"/>
  <c r="O321" i="5" s="1"/>
  <c r="K31" i="6"/>
  <c r="K33" i="6"/>
  <c r="R170" i="5" s="1"/>
  <c r="R172" i="5" s="1"/>
  <c r="O325" i="5"/>
  <c r="O343" i="5" s="1"/>
  <c r="O345" i="5" s="1"/>
  <c r="O220" i="5"/>
  <c r="O264" i="5" s="1"/>
  <c r="O268" i="5" s="1"/>
  <c r="R467" i="5"/>
  <c r="R469" i="5" s="1"/>
  <c r="U35" i="10"/>
  <c r="AA35" i="10" s="1"/>
  <c r="AC35" i="10" s="1"/>
  <c r="R180" i="5"/>
  <c r="R182" i="5" s="1"/>
  <c r="M182" i="5" s="1"/>
  <c r="O182" i="5" s="1"/>
  <c r="T182" i="5" s="1"/>
  <c r="M26" i="6"/>
  <c r="O117" i="5"/>
  <c r="E11" i="17"/>
  <c r="G11" i="17" s="1"/>
  <c r="R76" i="5"/>
  <c r="R78" i="5" s="1"/>
  <c r="M22" i="6"/>
  <c r="O463" i="5"/>
  <c r="O465" i="5" s="1"/>
  <c r="S34" i="10" s="1"/>
  <c r="O364" i="5"/>
  <c r="O366" i="5" s="1"/>
  <c r="S44" i="10" s="1"/>
  <c r="E19" i="17"/>
  <c r="G19" i="17" s="1"/>
  <c r="Y38" i="10"/>
  <c r="W49" i="10"/>
  <c r="Y49" i="10" s="1"/>
  <c r="R190" i="5"/>
  <c r="R107" i="5"/>
  <c r="M387" i="5"/>
  <c r="M391" i="5"/>
  <c r="O391" i="5" s="1"/>
  <c r="T391" i="5" s="1"/>
  <c r="M392" i="5"/>
  <c r="O392" i="5" s="1"/>
  <c r="T392" i="5" s="1"/>
  <c r="M388" i="5"/>
  <c r="O388" i="5" s="1"/>
  <c r="T388" i="5" s="1"/>
  <c r="M390" i="5"/>
  <c r="O390" i="5" s="1"/>
  <c r="T390" i="5" s="1"/>
  <c r="M393" i="5"/>
  <c r="O393" i="5" s="1"/>
  <c r="T393" i="5" s="1"/>
  <c r="S41" i="10" l="1"/>
  <c r="U41" i="10" s="1"/>
  <c r="AA41" i="10" s="1"/>
  <c r="AC41" i="10" s="1"/>
  <c r="M181" i="5"/>
  <c r="O181" i="5" s="1"/>
  <c r="O184" i="5" s="1"/>
  <c r="S26" i="10" s="1"/>
  <c r="T463" i="5"/>
  <c r="T325" i="5"/>
  <c r="T220" i="5"/>
  <c r="R461" i="5"/>
  <c r="R463" i="5" s="1"/>
  <c r="U34" i="10"/>
  <c r="AA34" i="10" s="1"/>
  <c r="AC34" i="10" s="1"/>
  <c r="T117" i="5"/>
  <c r="O149" i="5"/>
  <c r="O153" i="5" s="1"/>
  <c r="S40" i="10" s="1"/>
  <c r="T290" i="5"/>
  <c r="U43" i="10"/>
  <c r="AA43" i="10" s="1"/>
  <c r="AC43" i="10" s="1"/>
  <c r="R354" i="5"/>
  <c r="R356" i="5" s="1"/>
  <c r="M36" i="6"/>
  <c r="T273" i="5"/>
  <c r="R158" i="5"/>
  <c r="R160" i="5" s="1"/>
  <c r="M33" i="6"/>
  <c r="E17" i="17"/>
  <c r="G17" i="17" s="1"/>
  <c r="E16" i="17"/>
  <c r="G16" i="17" s="1"/>
  <c r="R373" i="5"/>
  <c r="R375" i="5" s="1"/>
  <c r="M31" i="6"/>
  <c r="K38" i="6"/>
  <c r="M38" i="6" s="1"/>
  <c r="O348" i="5"/>
  <c r="O351" i="5" s="1"/>
  <c r="O286" i="5"/>
  <c r="M80" i="5"/>
  <c r="M79" i="5"/>
  <c r="M95" i="5"/>
  <c r="M94" i="5"/>
  <c r="T364" i="5"/>
  <c r="O387" i="5"/>
  <c r="T387" i="5" s="1"/>
  <c r="E21" i="17"/>
  <c r="G21" i="17" s="1"/>
  <c r="R362" i="5"/>
  <c r="R364" i="5" s="1"/>
  <c r="M98" i="5"/>
  <c r="M83" i="5"/>
  <c r="O83" i="5" s="1"/>
  <c r="T83" i="5" s="1"/>
  <c r="M82" i="5"/>
  <c r="O82" i="5" s="1"/>
  <c r="T82" i="5" s="1"/>
  <c r="M97" i="5"/>
  <c r="M206" i="5"/>
  <c r="O206" i="5" s="1"/>
  <c r="M197" i="5"/>
  <c r="M193" i="5"/>
  <c r="O193" i="5" s="1"/>
  <c r="M208" i="5"/>
  <c r="O208" i="5" s="1"/>
  <c r="T208" i="5" s="1"/>
  <c r="M213" i="5"/>
  <c r="M190" i="5"/>
  <c r="M192" i="5"/>
  <c r="O192" i="5" s="1"/>
  <c r="M209" i="5"/>
  <c r="M110" i="5"/>
  <c r="O110" i="5" s="1"/>
  <c r="T110" i="5" s="1"/>
  <c r="M109" i="5"/>
  <c r="O109" i="5" s="1"/>
  <c r="T109" i="5" s="1"/>
  <c r="M108" i="5"/>
  <c r="M111" i="5"/>
  <c r="E14" i="17" l="1"/>
  <c r="G14" i="17" s="1"/>
  <c r="S42" i="10"/>
  <c r="U42" i="10" s="1"/>
  <c r="AA42" i="10" s="1"/>
  <c r="AC42" i="10" s="1"/>
  <c r="M442" i="5"/>
  <c r="M163" i="5"/>
  <c r="O163" i="5" s="1"/>
  <c r="T163" i="5" s="1"/>
  <c r="M446" i="5"/>
  <c r="O446" i="5" s="1"/>
  <c r="T446" i="5" s="1"/>
  <c r="M447" i="5"/>
  <c r="O447" i="5" s="1"/>
  <c r="T447" i="5" s="1"/>
  <c r="M158" i="5"/>
  <c r="M445" i="5"/>
  <c r="O445" i="5" s="1"/>
  <c r="T445" i="5" s="1"/>
  <c r="M161" i="5"/>
  <c r="O161" i="5" s="1"/>
  <c r="T161" i="5" s="1"/>
  <c r="M159" i="5"/>
  <c r="O159" i="5" s="1"/>
  <c r="T159" i="5" s="1"/>
  <c r="M443" i="5"/>
  <c r="O443" i="5" s="1"/>
  <c r="T443" i="5" s="1"/>
  <c r="M162" i="5"/>
  <c r="O162" i="5" s="1"/>
  <c r="T162" i="5" s="1"/>
  <c r="U40" i="10"/>
  <c r="AA40" i="10" s="1"/>
  <c r="AC40" i="10" s="1"/>
  <c r="R118" i="5"/>
  <c r="R120" i="5" s="1"/>
  <c r="M372" i="5"/>
  <c r="M380" i="5"/>
  <c r="O380" i="5" s="1"/>
  <c r="T380" i="5" s="1"/>
  <c r="M373" i="5"/>
  <c r="O373" i="5" s="1"/>
  <c r="T373" i="5" s="1"/>
  <c r="M379" i="5"/>
  <c r="M452" i="5"/>
  <c r="O452" i="5" s="1"/>
  <c r="T452" i="5" s="1"/>
  <c r="M454" i="5"/>
  <c r="O454" i="5" s="1"/>
  <c r="T454" i="5" s="1"/>
  <c r="M171" i="5"/>
  <c r="O171" i="5" s="1"/>
  <c r="T171" i="5" s="1"/>
  <c r="O490" i="5"/>
  <c r="T490" i="5" s="1"/>
  <c r="M450" i="5"/>
  <c r="O450" i="5" s="1"/>
  <c r="T450" i="5" s="1"/>
  <c r="M170" i="5"/>
  <c r="M174" i="5"/>
  <c r="O174" i="5" s="1"/>
  <c r="T174" i="5" s="1"/>
  <c r="M173" i="5"/>
  <c r="O173" i="5" s="1"/>
  <c r="T173" i="5" s="1"/>
  <c r="M453" i="5"/>
  <c r="O453" i="5" s="1"/>
  <c r="T453" i="5" s="1"/>
  <c r="O487" i="5"/>
  <c r="T487" i="5" s="1"/>
  <c r="M172" i="5"/>
  <c r="O172" i="5" s="1"/>
  <c r="T172" i="5" s="1"/>
  <c r="O491" i="5"/>
  <c r="T491" i="5" s="1"/>
  <c r="M451" i="5"/>
  <c r="O451" i="5" s="1"/>
  <c r="T451" i="5" s="1"/>
  <c r="O489" i="5"/>
  <c r="T489" i="5" s="1"/>
  <c r="O97" i="5"/>
  <c r="T97" i="5" s="1"/>
  <c r="O95" i="5"/>
  <c r="T95" i="5" s="1"/>
  <c r="O80" i="5"/>
  <c r="T80" i="5" s="1"/>
  <c r="O98" i="5"/>
  <c r="T98" i="5" s="1"/>
  <c r="O94" i="5"/>
  <c r="T94" i="5" s="1"/>
  <c r="O79" i="5"/>
  <c r="E8" i="17"/>
  <c r="G8" i="17" s="1"/>
  <c r="T181" i="5"/>
  <c r="O190" i="5"/>
  <c r="T190" i="5" s="1"/>
  <c r="E15" i="17"/>
  <c r="G15" i="17" s="1"/>
  <c r="O396" i="5"/>
  <c r="O108" i="5"/>
  <c r="T108" i="5" s="1"/>
  <c r="E9" i="17"/>
  <c r="G9" i="17" s="1"/>
  <c r="R179" i="5"/>
  <c r="R181" i="5" s="1"/>
  <c r="U26" i="10"/>
  <c r="AA26" i="10" s="1"/>
  <c r="AC26" i="10" s="1"/>
  <c r="U44" i="10"/>
  <c r="O111" i="5"/>
  <c r="T111" i="5" s="1"/>
  <c r="O197" i="5"/>
  <c r="O198" i="5" s="1"/>
  <c r="O209" i="5"/>
  <c r="T209" i="5" s="1"/>
  <c r="O213" i="5"/>
  <c r="O214" i="5" s="1"/>
  <c r="T206" i="5"/>
  <c r="R386" i="5" l="1"/>
  <c r="R388" i="5" s="1"/>
  <c r="S32" i="10"/>
  <c r="O486" i="5"/>
  <c r="O492" i="5" s="1"/>
  <c r="U36" i="10" s="1"/>
  <c r="AA36" i="10" s="1"/>
  <c r="AC36" i="10" s="1"/>
  <c r="O372" i="5"/>
  <c r="E20" i="17"/>
  <c r="G20" i="17" s="1"/>
  <c r="E12" i="17"/>
  <c r="G12" i="17" s="1"/>
  <c r="O158" i="5"/>
  <c r="O442" i="5"/>
  <c r="O455" i="5" s="1"/>
  <c r="O457" i="5" s="1"/>
  <c r="S45" i="10"/>
  <c r="S48" i="10" s="1"/>
  <c r="O379" i="5"/>
  <c r="O382" i="5" s="1"/>
  <c r="O170" i="5"/>
  <c r="E13" i="17"/>
  <c r="G13" i="17" s="1"/>
  <c r="O86" i="5"/>
  <c r="S20" i="10" s="1"/>
  <c r="O101" i="5"/>
  <c r="T79" i="5"/>
  <c r="O194" i="5"/>
  <c r="O200" i="5" s="1"/>
  <c r="S28" i="10" s="1"/>
  <c r="O113" i="5"/>
  <c r="E10" i="17"/>
  <c r="G10" i="17" s="1"/>
  <c r="T213" i="5"/>
  <c r="AA44" i="10"/>
  <c r="U45" i="10"/>
  <c r="U48" i="10" s="1"/>
  <c r="O210" i="5"/>
  <c r="O216" i="5" s="1"/>
  <c r="S29" i="10" s="1"/>
  <c r="T197" i="5"/>
  <c r="S22" i="10" l="1"/>
  <c r="U22" i="10" s="1"/>
  <c r="AA22" i="10" s="1"/>
  <c r="AC22" i="10" s="1"/>
  <c r="S21" i="10"/>
  <c r="U21" i="10" s="1"/>
  <c r="AA21" i="10" s="1"/>
  <c r="AC21" i="10" s="1"/>
  <c r="S33" i="10"/>
  <c r="U33" i="10" s="1"/>
  <c r="AA33" i="10" s="1"/>
  <c r="AC33" i="10" s="1"/>
  <c r="T379" i="5"/>
  <c r="T170" i="5"/>
  <c r="O176" i="5"/>
  <c r="T442" i="5"/>
  <c r="T372" i="5"/>
  <c r="O375" i="5"/>
  <c r="O383" i="5" s="1"/>
  <c r="S31" i="10" s="1"/>
  <c r="T158" i="5"/>
  <c r="O165" i="5"/>
  <c r="S24" i="10" s="1"/>
  <c r="T486" i="5"/>
  <c r="R75" i="5"/>
  <c r="R77" i="5" s="1"/>
  <c r="U32" i="10"/>
  <c r="AA32" i="10" s="1"/>
  <c r="AC32" i="10" s="1"/>
  <c r="R104" i="5"/>
  <c r="R106" i="5" s="1"/>
  <c r="U20" i="10"/>
  <c r="U28" i="10"/>
  <c r="R187" i="5"/>
  <c r="R189" i="5" s="1"/>
  <c r="U29" i="10"/>
  <c r="AA29" i="10" s="1"/>
  <c r="AC29" i="10" s="1"/>
  <c r="AC44" i="10"/>
  <c r="AA45" i="10"/>
  <c r="AA48" i="10" s="1"/>
  <c r="R169" i="5" l="1"/>
  <c r="R171" i="5" s="1"/>
  <c r="S25" i="10"/>
  <c r="S23" i="10"/>
  <c r="U31" i="10"/>
  <c r="AA31" i="10" s="1"/>
  <c r="AC31" i="10" s="1"/>
  <c r="R372" i="5"/>
  <c r="R374" i="5" s="1"/>
  <c r="U24" i="10"/>
  <c r="AA24" i="10" s="1"/>
  <c r="AC24" i="10" s="1"/>
  <c r="R157" i="5"/>
  <c r="R159" i="5" s="1"/>
  <c r="S30" i="10"/>
  <c r="U23" i="10"/>
  <c r="AA20" i="10"/>
  <c r="AA28" i="10"/>
  <c r="U30" i="10"/>
  <c r="AC48" i="10"/>
  <c r="AC45" i="10"/>
  <c r="S38" i="10" l="1"/>
  <c r="S27" i="10"/>
  <c r="U25" i="10"/>
  <c r="AA23" i="10"/>
  <c r="AC23" i="10" s="1"/>
  <c r="AC20" i="10"/>
  <c r="AC28" i="10"/>
  <c r="AA30" i="10"/>
  <c r="AC30" i="10" s="1"/>
  <c r="AA25" i="10" l="1"/>
  <c r="U27" i="10"/>
  <c r="U38" i="10"/>
  <c r="M18" i="6"/>
  <c r="K49" i="6"/>
  <c r="K15" i="6"/>
  <c r="M15" i="6" s="1"/>
  <c r="R17" i="5"/>
  <c r="R20" i="5" s="1"/>
  <c r="M36" i="5" s="1"/>
  <c r="AA27" i="10" l="1"/>
  <c r="AC27" i="10" s="1"/>
  <c r="AC25" i="10"/>
  <c r="AA38" i="10"/>
  <c r="AC38" i="10" s="1"/>
  <c r="R391" i="5"/>
  <c r="M56" i="6"/>
  <c r="M49" i="6"/>
  <c r="M16" i="5"/>
  <c r="U29" i="9" s="1"/>
  <c r="M37" i="5"/>
  <c r="O37" i="5" s="1"/>
  <c r="T37" i="5" s="1"/>
  <c r="R174" i="5"/>
  <c r="O36" i="5"/>
  <c r="T36" i="5" s="1"/>
  <c r="M63" i="5"/>
  <c r="M41" i="5"/>
  <c r="M59" i="5"/>
  <c r="M40" i="5"/>
  <c r="M38" i="5"/>
  <c r="M21" i="5"/>
  <c r="O21" i="5" s="1"/>
  <c r="M20" i="5"/>
  <c r="M17" i="5"/>
  <c r="M18" i="5"/>
  <c r="M58" i="5"/>
  <c r="M62" i="5"/>
  <c r="M60" i="5"/>
  <c r="K16" i="6"/>
  <c r="M16" i="6" s="1"/>
  <c r="R80" i="5"/>
  <c r="E5" i="17" l="1"/>
  <c r="U31" i="9"/>
  <c r="O16" i="5"/>
  <c r="T16" i="5" s="1"/>
  <c r="O20" i="5"/>
  <c r="T20" i="5" s="1"/>
  <c r="O41" i="5"/>
  <c r="T41" i="5" s="1"/>
  <c r="O18" i="5"/>
  <c r="T18" i="5" s="1"/>
  <c r="O38" i="5"/>
  <c r="T38" i="5" s="1"/>
  <c r="O63" i="5"/>
  <c r="T63" i="5" s="1"/>
  <c r="O62" i="5"/>
  <c r="T62" i="5" s="1"/>
  <c r="O59" i="5"/>
  <c r="T59" i="5" s="1"/>
  <c r="O58" i="5"/>
  <c r="O60" i="5"/>
  <c r="T60" i="5" s="1"/>
  <c r="O17" i="5"/>
  <c r="T17" i="5" s="1"/>
  <c r="O40" i="5"/>
  <c r="T40" i="5" s="1"/>
  <c r="E6" i="17" l="1"/>
  <c r="G6" i="17" s="1"/>
  <c r="G5" i="17"/>
  <c r="M31" i="9"/>
  <c r="M27" i="9"/>
  <c r="M23" i="9"/>
  <c r="M18" i="9"/>
  <c r="M14" i="9"/>
  <c r="M10" i="9"/>
  <c r="E28" i="9"/>
  <c r="E24" i="9"/>
  <c r="E20" i="9"/>
  <c r="E15" i="9"/>
  <c r="E11" i="9"/>
  <c r="M29" i="9"/>
  <c r="M21" i="9"/>
  <c r="M12" i="9"/>
  <c r="E26" i="9"/>
  <c r="E18" i="9"/>
  <c r="M28" i="9"/>
  <c r="M20" i="9"/>
  <c r="M11" i="9"/>
  <c r="E25" i="9"/>
  <c r="E16" i="9"/>
  <c r="M30" i="9"/>
  <c r="M26" i="9"/>
  <c r="M22" i="9"/>
  <c r="M17" i="9"/>
  <c r="M13" i="9"/>
  <c r="E31" i="9"/>
  <c r="E27" i="9"/>
  <c r="E23" i="9"/>
  <c r="E19" i="9"/>
  <c r="E14" i="9"/>
  <c r="E10" i="9"/>
  <c r="M25" i="9"/>
  <c r="M16" i="9"/>
  <c r="E30" i="9"/>
  <c r="E22" i="9"/>
  <c r="E13" i="9"/>
  <c r="M24" i="9"/>
  <c r="M15" i="9"/>
  <c r="E29" i="9"/>
  <c r="E21" i="9"/>
  <c r="E12" i="9"/>
  <c r="E7" i="17"/>
  <c r="G7" i="17" s="1"/>
  <c r="V29" i="9"/>
  <c r="O49" i="5"/>
  <c r="O71" i="5"/>
  <c r="O29" i="5"/>
  <c r="T58" i="5"/>
  <c r="V31" i="9"/>
  <c r="S15" i="10" l="1"/>
  <c r="S16" i="10"/>
  <c r="U16" i="10" s="1"/>
  <c r="AA16" i="10" s="1"/>
  <c r="AC16" i="10" s="1"/>
  <c r="O12" i="9"/>
  <c r="Q12" i="9"/>
  <c r="Q30" i="9"/>
  <c r="O30" i="9"/>
  <c r="O14" i="9"/>
  <c r="Q14" i="9"/>
  <c r="I31" i="9"/>
  <c r="G31" i="9"/>
  <c r="Q13" i="9"/>
  <c r="O13" i="9"/>
  <c r="Q28" i="9"/>
  <c r="O28" i="9"/>
  <c r="O21" i="9"/>
  <c r="Q21" i="9"/>
  <c r="Q26" i="9"/>
  <c r="O26" i="9"/>
  <c r="O25" i="9"/>
  <c r="Q25" i="9"/>
  <c r="O18" i="9"/>
  <c r="Q18" i="9"/>
  <c r="Q22" i="9"/>
  <c r="O22" i="9"/>
  <c r="I18" i="9"/>
  <c r="G18" i="9"/>
  <c r="V37" i="9"/>
  <c r="G29" i="9"/>
  <c r="I29" i="9"/>
  <c r="Q17" i="9"/>
  <c r="V36" i="9"/>
  <c r="O17" i="9"/>
  <c r="G14" i="9"/>
  <c r="I14" i="9"/>
  <c r="I10" i="9"/>
  <c r="G10" i="9"/>
  <c r="I22" i="9"/>
  <c r="G22" i="9"/>
  <c r="O31" i="9"/>
  <c r="Q31" i="9"/>
  <c r="O29" i="9"/>
  <c r="Q29" i="9"/>
  <c r="I21" i="9"/>
  <c r="G21" i="9"/>
  <c r="Q16" i="9"/>
  <c r="O16" i="9"/>
  <c r="O23" i="9"/>
  <c r="Q23" i="9"/>
  <c r="I13" i="9"/>
  <c r="G13" i="9"/>
  <c r="I25" i="9"/>
  <c r="G25" i="9"/>
  <c r="G28" i="9"/>
  <c r="I28" i="9"/>
  <c r="O11" i="9"/>
  <c r="Q11" i="9"/>
  <c r="G19" i="9"/>
  <c r="V35" i="9"/>
  <c r="I19" i="9"/>
  <c r="O15" i="9"/>
  <c r="Q15" i="9"/>
  <c r="I15" i="9"/>
  <c r="G15" i="9"/>
  <c r="G27" i="9"/>
  <c r="I27" i="9"/>
  <c r="I11" i="9"/>
  <c r="G11" i="9"/>
  <c r="I23" i="9"/>
  <c r="G23" i="9"/>
  <c r="I16" i="9"/>
  <c r="G16" i="9"/>
  <c r="V38" i="9"/>
  <c r="Q24" i="9"/>
  <c r="O24" i="9"/>
  <c r="G12" i="9"/>
  <c r="I12" i="9"/>
  <c r="Q27" i="9"/>
  <c r="O27" i="9"/>
  <c r="I24" i="9"/>
  <c r="G24" i="9"/>
  <c r="Q20" i="9"/>
  <c r="O20" i="9"/>
  <c r="G30" i="9"/>
  <c r="I30" i="9"/>
  <c r="G20" i="9"/>
  <c r="I20" i="9"/>
  <c r="O10" i="9"/>
  <c r="Q10" i="9"/>
  <c r="G26" i="9"/>
  <c r="I26" i="9"/>
  <c r="R16" i="5"/>
  <c r="R18" i="5" s="1"/>
  <c r="O512" i="5"/>
  <c r="Q512" i="5" s="1"/>
  <c r="X37" i="9" l="1"/>
  <c r="Z37" i="9"/>
  <c r="W37" i="9"/>
  <c r="W35" i="9"/>
  <c r="X35" i="9"/>
  <c r="Z35" i="9"/>
  <c r="X38" i="9"/>
  <c r="Z38" i="9"/>
  <c r="W38" i="9"/>
  <c r="Z36" i="9"/>
  <c r="W36" i="9"/>
  <c r="X36" i="9"/>
  <c r="S18" i="10"/>
  <c r="S49" i="10" s="1"/>
  <c r="AD49" i="10" s="1"/>
  <c r="AE49" i="10" s="1"/>
  <c r="U15" i="10"/>
  <c r="R79" i="5" l="1"/>
  <c r="R390" i="5"/>
  <c r="R173" i="5"/>
  <c r="AA15" i="10"/>
  <c r="U18" i="10"/>
  <c r="U49" i="10" s="1"/>
  <c r="AC15" i="10" l="1"/>
  <c r="AA18" i="10"/>
  <c r="AE18" i="10" s="1"/>
  <c r="AC18" i="10" l="1"/>
  <c r="AA49" i="10"/>
  <c r="AC49" i="10" s="1"/>
</calcChain>
</file>

<file path=xl/sharedStrings.xml><?xml version="1.0" encoding="utf-8"?>
<sst xmlns="http://schemas.openxmlformats.org/spreadsheetml/2006/main" count="1048" uniqueCount="530">
  <si>
    <t>Rocky Mountain Power - State of Utah</t>
  </si>
  <si>
    <t>Forecasted</t>
  </si>
  <si>
    <t>Revenue</t>
  </si>
  <si>
    <t>Units</t>
  </si>
  <si>
    <t>Price</t>
  </si>
  <si>
    <t>Dollars</t>
  </si>
  <si>
    <t>Schedule No. 1- Residential Service</t>
  </si>
  <si>
    <t xml:space="preserve">  Customer Charge</t>
  </si>
  <si>
    <t xml:space="preserve">  Customer Charge - 1 Phase</t>
  </si>
  <si>
    <t xml:space="preserve">  Customer Charge - 3 Phase</t>
  </si>
  <si>
    <t xml:space="preserve">  First 400 kWh (May-Sept)</t>
  </si>
  <si>
    <t>¢</t>
  </si>
  <si>
    <t>Res 1, 2, 3</t>
  </si>
  <si>
    <t xml:space="preserve">  Next 600 kWh (May-Sept)</t>
  </si>
  <si>
    <t>In Rate</t>
  </si>
  <si>
    <t xml:space="preserve">  All add'l kWh (May-Sept)</t>
  </si>
  <si>
    <t>Target</t>
  </si>
  <si>
    <t xml:space="preserve">  All kWh (Oct-Apr)</t>
  </si>
  <si>
    <t>D</t>
  </si>
  <si>
    <t xml:space="preserve">  Minimum 1 Phase</t>
  </si>
  <si>
    <t xml:space="preserve">  Minimum 3 Phase</t>
  </si>
  <si>
    <t>Target Change</t>
  </si>
  <si>
    <t xml:space="preserve">  Minimum Seasonal</t>
  </si>
  <si>
    <t xml:space="preserve">  kWh in Minimum</t>
  </si>
  <si>
    <t xml:space="preserve">  Unbilled</t>
  </si>
  <si>
    <t xml:space="preserve">  Total</t>
  </si>
  <si>
    <t>Adj</t>
  </si>
  <si>
    <t xml:space="preserve">  On-Peak kWh (May - Sept)</t>
  </si>
  <si>
    <t xml:space="preserve">  Off-Peak kWh (May - Sept)</t>
  </si>
  <si>
    <t xml:space="preserve">  All kWh</t>
  </si>
  <si>
    <t xml:space="preserve">  kW over 15 (May - Sept)</t>
  </si>
  <si>
    <t xml:space="preserve">  kW over 15 (Oct - Apr)</t>
  </si>
  <si>
    <t xml:space="preserve">  Voltage Discount</t>
  </si>
  <si>
    <t xml:space="preserve">  First 1,500 kWh (May - Sept)</t>
  </si>
  <si>
    <t xml:space="preserve">  All Add'l kWh (May - Sept)</t>
  </si>
  <si>
    <t xml:space="preserve">  First 1,500 kWh (Oct - Apr)</t>
  </si>
  <si>
    <t xml:space="preserve">  All Add'l kWh (Oct - Apr)</t>
  </si>
  <si>
    <t xml:space="preserve">  Seasonal Service</t>
  </si>
  <si>
    <t xml:space="preserve">  All kW (May - Sept)</t>
  </si>
  <si>
    <t xml:space="preserve">  All kW (Oct - Apr)</t>
  </si>
  <si>
    <t xml:space="preserve">      kWh (May-Sept)</t>
  </si>
  <si>
    <t xml:space="preserve">      kWh (Oct-Apr)</t>
  </si>
  <si>
    <t>Schedule No. 6 - Composite</t>
  </si>
  <si>
    <t xml:space="preserve">      kWh (May - Sept)</t>
  </si>
  <si>
    <t xml:space="preserve">      kWh (Oct - Apr)</t>
  </si>
  <si>
    <t>Table A Actual</t>
  </si>
  <si>
    <t>Table A RR</t>
  </si>
  <si>
    <t xml:space="preserve">  All On-peak kW (May - Sept)</t>
  </si>
  <si>
    <t xml:space="preserve">  All On-peak kW (Oct - Apr)</t>
  </si>
  <si>
    <t>Schedule No. 6A - Energy Time-of-Day Option - Composite</t>
  </si>
  <si>
    <t xml:space="preserve">  Facilities kW (May - Sept)</t>
  </si>
  <si>
    <t xml:space="preserve">  Facilities kW (Oct - Apr)</t>
  </si>
  <si>
    <t xml:space="preserve">  On-Peak kWh (Oct - Apr)</t>
  </si>
  <si>
    <t xml:space="preserve">  Off-Peak kWh (Oct - Apr)</t>
  </si>
  <si>
    <t xml:space="preserve">  MERCURY VAPOR LAMPS</t>
  </si>
  <si>
    <t xml:space="preserve">   4,000 Lumen Energy Only</t>
  </si>
  <si>
    <t xml:space="preserve">   7,000 Lumen</t>
  </si>
  <si>
    <t xml:space="preserve">   7,000 Lumen Energy Only</t>
  </si>
  <si>
    <t xml:space="preserve">   20,000 Lumen</t>
  </si>
  <si>
    <t xml:space="preserve">  SODIUM VAPOR LAMPS</t>
  </si>
  <si>
    <t xml:space="preserve">   5,600 Lumen New Pole</t>
  </si>
  <si>
    <t xml:space="preserve">   5,600 Lumen No New Pole</t>
  </si>
  <si>
    <t xml:space="preserve">   9,500 Lumen New Pole</t>
  </si>
  <si>
    <t xml:space="preserve">   9,500 Lumen No New Pole</t>
  </si>
  <si>
    <t xml:space="preserve">   16,000 Lumen New Pole</t>
  </si>
  <si>
    <t xml:space="preserve">   16,000 Lumen No New Pole</t>
  </si>
  <si>
    <t xml:space="preserve">   22,000 Lumen</t>
  </si>
  <si>
    <t xml:space="preserve">   27,500 Lumen New Pole</t>
  </si>
  <si>
    <t xml:space="preserve">   27,500 Lumen No New Pole</t>
  </si>
  <si>
    <t xml:space="preserve">   50,000 Lumen New Pole</t>
  </si>
  <si>
    <t xml:space="preserve">   50,000 Lumen No New Pole</t>
  </si>
  <si>
    <t xml:space="preserve">  SODIUM VAPOR FLOOD LAMPS </t>
  </si>
  <si>
    <t xml:space="preserve">  METAL HALIDE LAMPS</t>
  </si>
  <si>
    <t xml:space="preserve">   12,000 Lumen New Pole</t>
  </si>
  <si>
    <t xml:space="preserve">   12,000 Lumen No New Pole</t>
  </si>
  <si>
    <t xml:space="preserve">   19,500 Lumen New Pole</t>
  </si>
  <si>
    <t xml:space="preserve">   19,500 Lumen No New Pole</t>
  </si>
  <si>
    <t xml:space="preserve">   32,000 Lumen New Pole</t>
  </si>
  <si>
    <t xml:space="preserve">   32,000 Lumen No New Pole</t>
  </si>
  <si>
    <t xml:space="preserve">  107,000 Lumen New Pole</t>
  </si>
  <si>
    <t xml:space="preserve">  107,000 Lumen No New Pole</t>
  </si>
  <si>
    <t>Subtotal</t>
  </si>
  <si>
    <t xml:space="preserve">  kWh Included</t>
  </si>
  <si>
    <t>Unbilled</t>
  </si>
  <si>
    <t>Customers</t>
  </si>
  <si>
    <t>Total (kWh)</t>
  </si>
  <si>
    <t>Schedule No. 8 - Composite</t>
  </si>
  <si>
    <t xml:space="preserve">  Facilities kW</t>
  </si>
  <si>
    <t xml:space="preserve">  On-Peak kW (May - Sept)</t>
  </si>
  <si>
    <t xml:space="preserve">  On-Peak kW (Oct - Apr)</t>
  </si>
  <si>
    <t xml:space="preserve">  Off-Peak kWh</t>
  </si>
  <si>
    <t>Schedule No. 9 - Composite</t>
  </si>
  <si>
    <t xml:space="preserve">  On-Peak kWh (May-Sept)</t>
  </si>
  <si>
    <t xml:space="preserve">  On-Peak kWh (Oct-Apr)</t>
  </si>
  <si>
    <t xml:space="preserve">  Facilities Charge per kW</t>
  </si>
  <si>
    <t xml:space="preserve">  On-Peak kWh</t>
  </si>
  <si>
    <t>Schedule No. 10 - Irrigation</t>
  </si>
  <si>
    <t xml:space="preserve">  Annual Cust. Serv. Chg. - Primary</t>
  </si>
  <si>
    <t xml:space="preserve">  Annual Cust. Serv. Chg. - Secondary</t>
  </si>
  <si>
    <t xml:space="preserve">  Monthly Cust. Serv. Chg.</t>
  </si>
  <si>
    <t xml:space="preserve">  All On-Season kW</t>
  </si>
  <si>
    <t xml:space="preserve">  First 30,000 kWh</t>
  </si>
  <si>
    <t xml:space="preserve">  All add'l kWh</t>
  </si>
  <si>
    <t>Total On Season</t>
  </si>
  <si>
    <t xml:space="preserve">  Post Season</t>
  </si>
  <si>
    <t xml:space="preserve">   kWh</t>
  </si>
  <si>
    <t>Total Post Season</t>
  </si>
  <si>
    <t>TOTAL RATE 10</t>
  </si>
  <si>
    <t>Schedule No. 10-TOD</t>
  </si>
  <si>
    <t xml:space="preserve">   Monthly Cust. Serv. Chg.</t>
  </si>
  <si>
    <t xml:space="preserve">  Voltage Discount kW</t>
  </si>
  <si>
    <t>TOTAL RATE 10-TOD</t>
  </si>
  <si>
    <t>Schedule No. 11 - Street Lighting - Company-Owned System</t>
  </si>
  <si>
    <t xml:space="preserve">  Sodium Vapor Lamps</t>
  </si>
  <si>
    <t xml:space="preserve">   5,600 Lumen - Functional</t>
  </si>
  <si>
    <t xml:space="preserve">   9,500 Lumen - Functional</t>
  </si>
  <si>
    <t xml:space="preserve">   9,500 Lumen - Functional @ 90%</t>
  </si>
  <si>
    <t xml:space="preserve">   9,500 Lumen - S1</t>
  </si>
  <si>
    <t xml:space="preserve">   9,500 Lumen - S2</t>
  </si>
  <si>
    <t xml:space="preserve">   16,000 Lumen - Functional</t>
  </si>
  <si>
    <t xml:space="preserve">   16,000 Lumen - Functional @ 90%</t>
  </si>
  <si>
    <t xml:space="preserve">   16,000 Lumen - S1</t>
  </si>
  <si>
    <t xml:space="preserve">   16,000 Lumen - S2</t>
  </si>
  <si>
    <t xml:space="preserve">   27,500 Lumen - Functional</t>
  </si>
  <si>
    <t xml:space="preserve">   27,500 Lumen - Functional @ 90%</t>
  </si>
  <si>
    <t xml:space="preserve">   27,500 Lumen - S1</t>
  </si>
  <si>
    <t xml:space="preserve">   27,500 Lumen - S2</t>
  </si>
  <si>
    <t xml:space="preserve">   50,000 Lumen - Functional</t>
  </si>
  <si>
    <t xml:space="preserve">   125,000 Lumen</t>
  </si>
  <si>
    <t xml:space="preserve">  Metal Halide Lamps</t>
  </si>
  <si>
    <t xml:space="preserve">   9,000 Lumen - S1</t>
  </si>
  <si>
    <t xml:space="preserve">   9,000 Lumen - S2</t>
  </si>
  <si>
    <t xml:space="preserve">   12,000 Lumen - Functional</t>
  </si>
  <si>
    <t xml:space="preserve">   12,000 Lumen - S1</t>
  </si>
  <si>
    <t xml:space="preserve">   12,000 Lumen - S2</t>
  </si>
  <si>
    <t xml:space="preserve">   19,500 Lumen - Functional</t>
  </si>
  <si>
    <t xml:space="preserve">   19,500 Lumen - S1</t>
  </si>
  <si>
    <t xml:space="preserve">   19,500 Lumen - S2</t>
  </si>
  <si>
    <t xml:space="preserve">   32,000 Lumen - Functional</t>
  </si>
  <si>
    <t xml:space="preserve">   32,000 Lumen - S1</t>
  </si>
  <si>
    <t xml:space="preserve">   32,000 Lumen - S2</t>
  </si>
  <si>
    <t xml:space="preserve">   4,000 Lumen</t>
  </si>
  <si>
    <t xml:space="preserve">   10,000 Lumen</t>
  </si>
  <si>
    <t xml:space="preserve">   10,000 Lumen @ 90%</t>
  </si>
  <si>
    <t xml:space="preserve">   500 Lumen</t>
  </si>
  <si>
    <t xml:space="preserve">   600 Lumen</t>
  </si>
  <si>
    <t xml:space="preserve">   2,500 Lumen</t>
  </si>
  <si>
    <t xml:space="preserve">   6,000 Lumen</t>
  </si>
  <si>
    <t xml:space="preserve">   21,000 Lumen</t>
  </si>
  <si>
    <t xml:space="preserve">  Special Service (No New Service)</t>
  </si>
  <si>
    <t xml:space="preserve">   50,000 Lumen - Flood</t>
  </si>
  <si>
    <t xml:space="preserve">  Subtotal </t>
  </si>
  <si>
    <t>Total</t>
  </si>
  <si>
    <t>Schedule No. 12 - Street Lighting - Customer-Owned System</t>
  </si>
  <si>
    <t xml:space="preserve">  1. Energy Only, No Maintenance</t>
  </si>
  <si>
    <t xml:space="preserve">  High Pressures Sodium Vapor Lamps</t>
  </si>
  <si>
    <t xml:space="preserve">   5,600 Lumen</t>
  </si>
  <si>
    <t xml:space="preserve">   9,500 Lumen</t>
  </si>
  <si>
    <t xml:space="preserve">   16,000 Lumen</t>
  </si>
  <si>
    <t xml:space="preserve">   27,500 Lumen</t>
  </si>
  <si>
    <t xml:space="preserve">   50,000 Lumen</t>
  </si>
  <si>
    <t xml:space="preserve">   9,000 Lumen</t>
  </si>
  <si>
    <t xml:space="preserve">   12,000 Lumen</t>
  </si>
  <si>
    <t xml:space="preserve">   19,500 Lumen</t>
  </si>
  <si>
    <t xml:space="preserve">   32,000 Lumen</t>
  </si>
  <si>
    <t xml:space="preserve">  Non-listed Luminaries kWh</t>
  </si>
  <si>
    <t>Subtotal kWh</t>
  </si>
  <si>
    <t>2a - Partial Maintenance (No New Service)</t>
  </si>
  <si>
    <t xml:space="preserve">  Incandescent Lamps</t>
  </si>
  <si>
    <t xml:space="preserve">   2,500 Lumen or Less</t>
  </si>
  <si>
    <t xml:space="preserve">  Mercury Vapor Lamps</t>
  </si>
  <si>
    <t xml:space="preserve">   54,000 Lumen</t>
  </si>
  <si>
    <t xml:space="preserve">  High Pressure Sodium Vapor Lamps</t>
  </si>
  <si>
    <t xml:space="preserve">   9,500 Lumen - Decorative</t>
  </si>
  <si>
    <t xml:space="preserve">   16,000 Lumen - Decorative</t>
  </si>
  <si>
    <t xml:space="preserve">   22,000 Lumen </t>
  </si>
  <si>
    <t xml:space="preserve">   27,500 Lumen - Decorative</t>
  </si>
  <si>
    <t xml:space="preserve">   50,000 Lumen - Decorative</t>
  </si>
  <si>
    <t xml:space="preserve">   9,000 Lumen - Decorative</t>
  </si>
  <si>
    <t xml:space="preserve">   12,000 Lumen - Decorative</t>
  </si>
  <si>
    <t xml:space="preserve">   19,500 Lumen - Decorative</t>
  </si>
  <si>
    <t xml:space="preserve">   32,000 Lumen - Decorative</t>
  </si>
  <si>
    <t xml:space="preserve">  Fluorescent Lamps</t>
  </si>
  <si>
    <t xml:space="preserve">   1,000 Lumen</t>
  </si>
  <si>
    <t xml:space="preserve">   21,800 Lumen</t>
  </si>
  <si>
    <t>2b - Full Maintenance (No New Service)</t>
  </si>
  <si>
    <t xml:space="preserve">   107,000 Lumen </t>
  </si>
  <si>
    <t>kWh Street Lighting</t>
  </si>
  <si>
    <t xml:space="preserve"> Annual Facility Charge</t>
  </si>
  <si>
    <t xml:space="preserve"> Annual Customer Charge</t>
  </si>
  <si>
    <t xml:space="preserve"> Annual Minimum Charge</t>
  </si>
  <si>
    <t xml:space="preserve"> Monthly Customer Charge</t>
  </si>
  <si>
    <t xml:space="preserve"> All kWh</t>
  </si>
  <si>
    <t xml:space="preserve"> Unbilled</t>
  </si>
  <si>
    <t xml:space="preserve"> Customer Charge</t>
  </si>
  <si>
    <t>Schedule No. 21 - Electric Furnace Operations - Limited Service - Industrial</t>
  </si>
  <si>
    <t xml:space="preserve"> Primary Voltage</t>
  </si>
  <si>
    <t xml:space="preserve">  Charge per kW (Facilities)</t>
  </si>
  <si>
    <t xml:space="preserve">  First 100,000 kWh</t>
  </si>
  <si>
    <t xml:space="preserve">  Subtotal</t>
  </si>
  <si>
    <t xml:space="preserve"> 44KV or Higher</t>
  </si>
  <si>
    <t>Secondary Voltage</t>
  </si>
  <si>
    <t xml:space="preserve">     Customer Charge per month</t>
  </si>
  <si>
    <t xml:space="preserve">     Facilities Charge, per kW month</t>
  </si>
  <si>
    <t xml:space="preserve">     Back-up Power Charge</t>
  </si>
  <si>
    <t xml:space="preserve">         Regular, per On-Peak kW day</t>
  </si>
  <si>
    <t xml:space="preserve">         Maintenance, per On-Peak kW day</t>
  </si>
  <si>
    <t xml:space="preserve">     Excess Power, per kW month</t>
  </si>
  <si>
    <t>Primary Voltage</t>
  </si>
  <si>
    <t>Transmission Voltage</t>
  </si>
  <si>
    <t>Supplemental billed at Schedule 6/8/9 rate</t>
  </si>
  <si>
    <t xml:space="preserve">  Schedule 8</t>
  </si>
  <si>
    <t xml:space="preserve">  Schedule 9</t>
  </si>
  <si>
    <t xml:space="preserve">  Total (Aggregated)</t>
  </si>
  <si>
    <t xml:space="preserve">  kW High Load Hours</t>
  </si>
  <si>
    <t xml:space="preserve">  kWh High Load Hours</t>
  </si>
  <si>
    <t xml:space="preserve">  kWh Low Load Hours</t>
  </si>
  <si>
    <t xml:space="preserve">  kW Back-Up</t>
  </si>
  <si>
    <t xml:space="preserve">  Excess Power, per kW month</t>
  </si>
  <si>
    <t xml:space="preserve">  kW Supplemental</t>
  </si>
  <si>
    <t xml:space="preserve">      On-Peak kW (May - Sept)</t>
  </si>
  <si>
    <t xml:space="preserve">      On-Peak kW (Oct - Apr)</t>
  </si>
  <si>
    <t xml:space="preserve">  kWh Supplemental</t>
  </si>
  <si>
    <t xml:space="preserve">      On-Peak kWh (May-Sept)</t>
  </si>
  <si>
    <t xml:space="preserve">      On-Peak kWh (Oct-Apr)</t>
  </si>
  <si>
    <t xml:space="preserve">      Off-Peak kWh</t>
  </si>
  <si>
    <t xml:space="preserve">  Total </t>
  </si>
  <si>
    <t>Energy Only Res</t>
  </si>
  <si>
    <t>Energy Only Non-Res</t>
  </si>
  <si>
    <t xml:space="preserve">  KWH Included</t>
  </si>
  <si>
    <t>Annual Guarantee Adjustment</t>
  </si>
  <si>
    <t xml:space="preserve"> Residential</t>
  </si>
  <si>
    <t xml:space="preserve"> Commercial</t>
  </si>
  <si>
    <t xml:space="preserve"> Industrial</t>
  </si>
  <si>
    <t xml:space="preserve"> Irrigation</t>
  </si>
  <si>
    <t xml:space="preserve"> Public Street &amp; Highway Lighting</t>
  </si>
  <si>
    <t xml:space="preserve"> Other Sales Public Authorities</t>
  </si>
  <si>
    <t xml:space="preserve">  Total AGA</t>
  </si>
  <si>
    <t>TOTAL - ALL CLASSES</t>
  </si>
  <si>
    <t>Rocky Mountain Power</t>
  </si>
  <si>
    <t>on Revenues from Electric Sales to Ultimate Consumers in Utah</t>
  </si>
  <si>
    <t>Line</t>
  </si>
  <si>
    <t>Sch</t>
  </si>
  <si>
    <t>Change</t>
  </si>
  <si>
    <t>No.</t>
  </si>
  <si>
    <t>Description</t>
  </si>
  <si>
    <t>Forecast</t>
  </si>
  <si>
    <t>($000)</t>
  </si>
  <si>
    <t>Residential</t>
  </si>
  <si>
    <t>1,3</t>
  </si>
  <si>
    <t>Residential-Optional TOD</t>
  </si>
  <si>
    <t>AGA/Revenue Credit</t>
  </si>
  <si>
    <t>--</t>
  </si>
  <si>
    <t>Total Residential</t>
  </si>
  <si>
    <t>Commercial &amp; Industrial &amp; OSPA</t>
  </si>
  <si>
    <t>General Service-Distribution</t>
  </si>
  <si>
    <t>General Service-Distribution-Energy TOD</t>
  </si>
  <si>
    <t>6A</t>
  </si>
  <si>
    <t>General Service-Distribution-Demand TOD</t>
  </si>
  <si>
    <t>6B</t>
  </si>
  <si>
    <t>Subtotal Schedule 6</t>
  </si>
  <si>
    <t>General Service-Distribution &gt; 1,000 kW</t>
  </si>
  <si>
    <t>General Service-High Voltage</t>
  </si>
  <si>
    <t>General Service-High Voltage-Energy TOD</t>
  </si>
  <si>
    <t>9A</t>
  </si>
  <si>
    <t>Subtotal Schedule 9</t>
  </si>
  <si>
    <t>Irrigation</t>
  </si>
  <si>
    <t>Irrigation-Time of Day</t>
  </si>
  <si>
    <t>10TOD</t>
  </si>
  <si>
    <t>Subtotal Irrigation</t>
  </si>
  <si>
    <t>Electric Furnace</t>
  </si>
  <si>
    <t>General Service-Distribution-Small</t>
  </si>
  <si>
    <t>Back-up, Maintenance, &amp; Supplementary</t>
  </si>
  <si>
    <t>Contract 1</t>
  </si>
  <si>
    <t>Contract 2</t>
  </si>
  <si>
    <t>Contract 3</t>
  </si>
  <si>
    <t>Total Commercial &amp; Industrial &amp; OSPA</t>
  </si>
  <si>
    <t>Public Street Lighting</t>
  </si>
  <si>
    <t>Security Area Lighting</t>
  </si>
  <si>
    <t>Street Lighting - Company Owned</t>
  </si>
  <si>
    <t>Street Lighting - Customer Owned</t>
  </si>
  <si>
    <t>Metered Outdoor Lighting</t>
  </si>
  <si>
    <t>Traffic Signal Systems</t>
  </si>
  <si>
    <t>Subtotal Public Street Lighting</t>
  </si>
  <si>
    <t>Security Area Lighting-Contracts (PTL)</t>
  </si>
  <si>
    <t>Total Public Street Lighting</t>
  </si>
  <si>
    <t>Total Sales to Ultimate Customers</t>
  </si>
  <si>
    <t>%</t>
  </si>
  <si>
    <t>Rounding</t>
  </si>
  <si>
    <t>Sch 7, 11, 12,</t>
  </si>
  <si>
    <t>SCH 8/31</t>
  </si>
  <si>
    <t>Proposed EBA</t>
  </si>
  <si>
    <t>Checking</t>
  </si>
  <si>
    <t>Present EBA</t>
  </si>
  <si>
    <t>Estimated Effect of Proposed Changes</t>
  </si>
  <si>
    <t>Revenues</t>
  </si>
  <si>
    <t xml:space="preserve">  Total Customer</t>
  </si>
  <si>
    <t xml:space="preserve">      First 400 kWh (Oct-Apr)</t>
  </si>
  <si>
    <t xml:space="preserve">      All add'l kWh (Oct-Apr)</t>
  </si>
  <si>
    <t xml:space="preserve">      kWh in Minimum - Summer</t>
  </si>
  <si>
    <t xml:space="preserve">      kWh in Minimum - Winter</t>
  </si>
  <si>
    <t>Schedule No. 6B - Demand Time-of-Day Option - Composite</t>
  </si>
  <si>
    <t>Schedule No. 9A - Energy TOD - Composite</t>
  </si>
  <si>
    <t xml:space="preserve">  Sodium Vapor Lamps (HPS)</t>
  </si>
  <si>
    <t xml:space="preserve">  Metal Halide Lamps (MH)</t>
  </si>
  <si>
    <t xml:space="preserve">  Mercury Vapor Lamps (No New Service) (MV)</t>
  </si>
  <si>
    <t xml:space="preserve">  Incandescent Lamps (No New Service) (INC)</t>
  </si>
  <si>
    <t xml:space="preserve">  Fluorescent Lamps (No New Service) (FLOUR)</t>
  </si>
  <si>
    <t>Customer</t>
  </si>
  <si>
    <t xml:space="preserve">  Interruptible kWh</t>
  </si>
  <si>
    <t xml:space="preserve">  Facilities Charge per kW - Back-Up</t>
  </si>
  <si>
    <t xml:space="preserve">Present </t>
  </si>
  <si>
    <t>Sch 6, 6B</t>
  </si>
  <si>
    <t>Sch9/31/Contract3</t>
  </si>
  <si>
    <t>Rate Spread</t>
  </si>
  <si>
    <t>State of Utah</t>
  </si>
  <si>
    <t>2010 Protocol (Non Wgt)</t>
  </si>
  <si>
    <t>Utah</t>
  </si>
  <si>
    <t>General</t>
  </si>
  <si>
    <t>Street &amp; Area</t>
  </si>
  <si>
    <t>Traffic</t>
  </si>
  <si>
    <t>Outdoor</t>
  </si>
  <si>
    <t>FERC</t>
  </si>
  <si>
    <t>COS</t>
  </si>
  <si>
    <t>Jurisdiction</t>
  </si>
  <si>
    <t>Large Dist.</t>
  </si>
  <si>
    <t>+1 MW</t>
  </si>
  <si>
    <t>Lighting</t>
  </si>
  <si>
    <t>Trans</t>
  </si>
  <si>
    <t>Signals</t>
  </si>
  <si>
    <t>Small Dist.</t>
  </si>
  <si>
    <t>Industrial</t>
  </si>
  <si>
    <t>ACCT</t>
  </si>
  <si>
    <t xml:space="preserve">DESCRIPTION </t>
  </si>
  <si>
    <t>Factor</t>
  </si>
  <si>
    <t>Normalized</t>
  </si>
  <si>
    <t>Sch 1</t>
  </si>
  <si>
    <t>Sch 6</t>
  </si>
  <si>
    <t>Sch 8</t>
  </si>
  <si>
    <t>Sch. 7,11,12</t>
  </si>
  <si>
    <t>Sch 9</t>
  </si>
  <si>
    <t>Sch 10</t>
  </si>
  <si>
    <t>Sch 15</t>
  </si>
  <si>
    <t>Sch 23</t>
  </si>
  <si>
    <t>Cust 1</t>
  </si>
  <si>
    <t>Cust 2</t>
  </si>
  <si>
    <t>447</t>
  </si>
  <si>
    <t>Sales for Resale</t>
  </si>
  <si>
    <t>Demand</t>
  </si>
  <si>
    <t>F10</t>
  </si>
  <si>
    <t>456</t>
  </si>
  <si>
    <t>Other Electric Revenue</t>
  </si>
  <si>
    <t>Energy</t>
  </si>
  <si>
    <t>F30</t>
  </si>
  <si>
    <t>501</t>
  </si>
  <si>
    <t>Fuel Related</t>
  </si>
  <si>
    <t>Cholla</t>
  </si>
  <si>
    <t>503</t>
  </si>
  <si>
    <t>Steam From Other Sources</t>
  </si>
  <si>
    <t>547</t>
  </si>
  <si>
    <t>Fuel</t>
  </si>
  <si>
    <t>Simple Cycle Combustion Turbine</t>
  </si>
  <si>
    <t>555</t>
  </si>
  <si>
    <t>Purchased Power</t>
  </si>
  <si>
    <t>565</t>
  </si>
  <si>
    <t>Transm of Electricity by Others</t>
  </si>
  <si>
    <t xml:space="preserve">     Class % of NPC</t>
  </si>
  <si>
    <t xml:space="preserve">     Demand Related</t>
  </si>
  <si>
    <t xml:space="preserve">     Energy Related</t>
  </si>
  <si>
    <t>Coin Peak, Sys</t>
  </si>
  <si>
    <t>MWH @ Input</t>
  </si>
  <si>
    <t>Monthly Billing Comparison</t>
  </si>
  <si>
    <t>Schedule 1 - State of Utah</t>
  </si>
  <si>
    <t>Residential Service</t>
  </si>
  <si>
    <t>Summer</t>
  </si>
  <si>
    <t>Winter</t>
  </si>
  <si>
    <r>
      <t>Monthly Billing</t>
    </r>
    <r>
      <rPr>
        <vertAlign val="superscript"/>
        <sz val="10"/>
        <rFont val="Times New Roman"/>
        <family val="1"/>
      </rPr>
      <t>1</t>
    </r>
  </si>
  <si>
    <t>kWh</t>
  </si>
  <si>
    <t>Present</t>
  </si>
  <si>
    <t>Proposed</t>
  </si>
  <si>
    <t>$</t>
  </si>
  <si>
    <t>Basic</t>
  </si>
  <si>
    <t>kWh1</t>
  </si>
  <si>
    <t>kWh2</t>
  </si>
  <si>
    <t>kWh3</t>
  </si>
  <si>
    <t>Minimum</t>
  </si>
  <si>
    <t>w</t>
  </si>
  <si>
    <t>HELP</t>
  </si>
  <si>
    <t>a</t>
  </si>
  <si>
    <t>s</t>
  </si>
  <si>
    <t>Sch 94 EBA</t>
  </si>
  <si>
    <t>w: Winter average usage; a:  Annual average usage; s: Summer average usage.</t>
  </si>
  <si>
    <t>Monthly Average</t>
  </si>
  <si>
    <t xml:space="preserve">Proposed </t>
  </si>
  <si>
    <t>¢/kWh</t>
  </si>
  <si>
    <t>Annual</t>
  </si>
  <si>
    <t>Table  A</t>
  </si>
  <si>
    <t>No. of</t>
  </si>
  <si>
    <t>MWh</t>
  </si>
  <si>
    <t>Present Revenue ($000)</t>
  </si>
  <si>
    <t>Proposed Revenue ($000)</t>
  </si>
  <si>
    <t>Base</t>
  </si>
  <si>
    <t>Net</t>
  </si>
  <si>
    <t>EBA</t>
  </si>
  <si>
    <t>(%)</t>
  </si>
  <si>
    <t>EBA History</t>
  </si>
  <si>
    <t>Effective Date</t>
  </si>
  <si>
    <t>Docket No</t>
  </si>
  <si>
    <t>Recover Years</t>
  </si>
  <si>
    <t>12-035-67</t>
  </si>
  <si>
    <t>October through December 2011</t>
  </si>
  <si>
    <t>prior to October 2011</t>
  </si>
  <si>
    <t>10-035-124</t>
  </si>
  <si>
    <t>Total Deferral ($m)</t>
  </si>
  <si>
    <t>Amount/Year ($m)</t>
  </si>
  <si>
    <t>13-035-32, 13-035-T14</t>
  </si>
  <si>
    <t>January 2012 through December 2012</t>
  </si>
  <si>
    <t>Deferral Period</t>
  </si>
  <si>
    <t>Ending Date</t>
  </si>
  <si>
    <t>GRC Actual</t>
  </si>
  <si>
    <t>Requested EBA Recovery</t>
  </si>
  <si>
    <t>January 2013 through December 2013</t>
  </si>
  <si>
    <t>EBA Price</t>
  </si>
  <si>
    <t>EBA Price Comparison</t>
  </si>
  <si>
    <t>Schedule</t>
  </si>
  <si>
    <t>15M</t>
  </si>
  <si>
    <t>15T</t>
  </si>
  <si>
    <t>Blocking Based on Adjusted Actuals and Forecasted Loads</t>
  </si>
  <si>
    <t>Base Period 12 Months Ending June 2013</t>
  </si>
  <si>
    <t>Forecast Test Period 12 Months Ending June 2015</t>
  </si>
  <si>
    <t>Rate Design</t>
  </si>
  <si>
    <t>Step 2 - 9/1/2015</t>
  </si>
  <si>
    <t>Schedule No. 3- Residential Service - Low Income Lifeline Program</t>
  </si>
  <si>
    <t>Schedule No. 2 - Residential Service - Optional Time-of-Day</t>
  </si>
  <si>
    <t xml:space="preserve">  Net Metering Facilities Charge</t>
  </si>
  <si>
    <t>Schedule No. 7 - Security Area Lighting - Composite</t>
  </si>
  <si>
    <t xml:space="preserve">   Customer Charge</t>
  </si>
  <si>
    <t>Schedule 15.1 - Metered Outdoor Nighttime Lighting - Composite</t>
  </si>
  <si>
    <t>Schedule 15.2 - Traffic Signal Systems - Composite</t>
  </si>
  <si>
    <t>Schedule No. 23 - Composite</t>
  </si>
  <si>
    <t>Schedule No.31 - Composite</t>
  </si>
  <si>
    <t xml:space="preserve">              May - Sept</t>
  </si>
  <si>
    <t xml:space="preserve">              Oct - Apr</t>
  </si>
  <si>
    <t>Lighting Contract - Post Top Lighting - Composite</t>
  </si>
  <si>
    <t>Reference</t>
  </si>
  <si>
    <t>Total Deferrable</t>
  </si>
  <si>
    <t>Exhibit A</t>
  </si>
  <si>
    <t>Step 1 EBA Base Composite Allocator By Rate Schedule</t>
  </si>
  <si>
    <t>Page 4 of 4</t>
  </si>
  <si>
    <t>12 Months Ended June 2015</t>
  </si>
  <si>
    <t>TOTAL NET POWER COSTS</t>
  </si>
  <si>
    <t>Step 1</t>
  </si>
  <si>
    <t>GRC NPC Allocator</t>
  </si>
  <si>
    <t>EBA Deferral</t>
  </si>
  <si>
    <t>Target EBA Rev</t>
  </si>
  <si>
    <t>Note:</t>
  </si>
  <si>
    <t>January 2014 through December 2014</t>
  </si>
  <si>
    <t xml:space="preserve">  Fixed Customer Charge</t>
  </si>
  <si>
    <r>
      <t>2014</t>
    </r>
    <r>
      <rPr>
        <b/>
        <vertAlign val="superscript"/>
        <sz val="12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</si>
  <si>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Net Power Cost allocator from 2014 GRC, Docket No. 13-035-184.</t>
    </r>
  </si>
  <si>
    <t>Avg %</t>
  </si>
  <si>
    <t>January 2015 through December 2015</t>
  </si>
  <si>
    <t>Res AVG</t>
  </si>
  <si>
    <t>EBA-1</t>
  </si>
  <si>
    <t>EBA-2</t>
  </si>
  <si>
    <t>EBA-3</t>
  </si>
  <si>
    <t>EBA-4</t>
  </si>
  <si>
    <t>EBA-5</t>
  </si>
  <si>
    <t>EBA-6</t>
  </si>
  <si>
    <t>Utah Energy Balancing Account Mechanism</t>
  </si>
  <si>
    <t>Line No.</t>
  </si>
  <si>
    <t>Actual: Utah Allocated</t>
  </si>
  <si>
    <t>NPC</t>
  </si>
  <si>
    <t>(2.1)</t>
  </si>
  <si>
    <t>Wheeling Revenue</t>
  </si>
  <si>
    <t>(4.1)</t>
  </si>
  <si>
    <t>Jurisdictional Sales</t>
  </si>
  <si>
    <t>(5.2)</t>
  </si>
  <si>
    <t>Actual Utah $/MWh</t>
  </si>
  <si>
    <t>Base:  Utah Allocated</t>
  </si>
  <si>
    <t>(3.1)</t>
  </si>
  <si>
    <t>Base Utah $/MWh</t>
  </si>
  <si>
    <t>Deferral:</t>
  </si>
  <si>
    <t>$/ MWH Differential</t>
  </si>
  <si>
    <t>Incremental EBA Deferral at 70% Sharing</t>
  </si>
  <si>
    <t>Coal Fuel Savings from Deer Creek Mine Closure not Subject to Sharing</t>
  </si>
  <si>
    <t>Workpaper (6.1)</t>
  </si>
  <si>
    <t>Incremental Non-Fuel FAS 106 Savings</t>
  </si>
  <si>
    <t>Total Incremental EBA Deferral</t>
  </si>
  <si>
    <t>Energy Balancing Account:</t>
  </si>
  <si>
    <t>Monthly Interest Rate (6% Annual)</t>
  </si>
  <si>
    <t>Note 1</t>
  </si>
  <si>
    <t>Beginning Balance</t>
  </si>
  <si>
    <t>Incremental Deferral</t>
  </si>
  <si>
    <t>Interest</t>
  </si>
  <si>
    <t>Ending Balance</t>
  </si>
  <si>
    <t>Deer Creek Mine Amortization</t>
  </si>
  <si>
    <t xml:space="preserve">Note: </t>
  </si>
  <si>
    <t>Docket No. 09-035-15, March 2, 2011 Report and Order, Page 79 and</t>
  </si>
  <si>
    <r>
      <t>2017</t>
    </r>
    <r>
      <rPr>
        <b/>
        <vertAlign val="superscript"/>
        <sz val="12"/>
        <rFont val="Times New Roman"/>
        <family val="1"/>
      </rPr>
      <t>2</t>
    </r>
  </si>
  <si>
    <t>2017 EBA Deferral</t>
  </si>
  <si>
    <t>Balance of 2016 EBA</t>
  </si>
  <si>
    <t>DSM/STEP</t>
  </si>
  <si>
    <r>
      <t>1</t>
    </r>
    <r>
      <rPr>
        <sz val="10"/>
        <rFont val="Times New Roman"/>
        <family val="1"/>
      </rPr>
      <t xml:space="preserve">  Including HELP, DSM, EBA, RBA and STEP adjustments.</t>
    </r>
  </si>
  <si>
    <t>Sch 98 RBA</t>
  </si>
  <si>
    <t>Incremental EBA Deferral Beginning June 1, 2016</t>
  </si>
  <si>
    <t>Workpaper (7.1)</t>
  </si>
  <si>
    <t>Base NPC in Rates ($/MWh)</t>
  </si>
  <si>
    <t>Symmetrical Deadband</t>
  </si>
  <si>
    <t>Docket 16-035-33</t>
  </si>
  <si>
    <t>Accrued Interest through April 30, 2017</t>
  </si>
  <si>
    <t>January 1, 2016 - December 31, 2016</t>
  </si>
  <si>
    <t>Exhibit 1 - Commission Order Calculation Method (Dynamic Annual Allocation Factor)</t>
  </si>
  <si>
    <t>EBA-7</t>
  </si>
  <si>
    <t>January 2016 through December 2016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</si>
  <si>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Including 2017 EBA deferral only.</t>
    </r>
  </si>
  <si>
    <t>Net (EBA+RBA)</t>
  </si>
  <si>
    <t>% of Deferral</t>
  </si>
  <si>
    <t>16-035-01</t>
  </si>
  <si>
    <t>15-035-03</t>
  </si>
  <si>
    <t>14-035-31</t>
  </si>
  <si>
    <t>17-035-01</t>
  </si>
  <si>
    <t>Adjustment for Sales to Special Contract Customer</t>
  </si>
  <si>
    <t>Special Contract Sales (MWh)</t>
  </si>
  <si>
    <t>Average Monthly Contract Price ($/MWh)</t>
  </si>
  <si>
    <t>Special Contract Differential</t>
  </si>
  <si>
    <t>Special Contract Customer Adjustment Subject to Deadband</t>
  </si>
  <si>
    <t>Total Special Contract Adjustment</t>
  </si>
  <si>
    <t>Docket No. 15-035-69, January 20, 2016 Order, Page 16 and</t>
  </si>
  <si>
    <t>Docket No. 09-035-15, February 16, 2017 Order, Page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</si>
</sst>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0.0%"/>
    <numFmt numFmtId="167" formatCode="0.0000_);[Red]\(0.0000\)"/>
    <numFmt numFmtId="168" formatCode="0.0000_)"/>
    <numFmt numFmtId="169" formatCode="#,##0.0000"/>
    <numFmt numFmtId="170" formatCode="#,##0.00000_);\(#,##0.00000\)"/>
    <numFmt numFmtId="171" formatCode="#,##0.0000_);\(#,##0.0000\)"/>
    <numFmt numFmtId="172" formatCode="_(* #,##0.0000_);_(* \(#,##0.0000\);_(* &quot;-&quot;??_);_(@_)"/>
    <numFmt numFmtId="173" formatCode="_(* #,##0_);_(* \(#,##0\);_(* &quot;-&quot;??_);_(@_)"/>
    <numFmt numFmtId="174" formatCode="0.000%"/>
    <numFmt numFmtId="175" formatCode="0.0"/>
    <numFmt numFmtId="176" formatCode="&quot;$&quot;#,##0.0000_);\(&quot;$&quot;#,##0.0000\)"/>
    <numFmt numFmtId="177" formatCode="_(&quot;$&quot;* #,##0_);_(&quot;$&quot;* \(#,##0\);_(&quot;$&quot;* &quot;-&quot;??_);_(@_)"/>
    <numFmt numFmtId="178" formatCode="&quot;$&quot;#,##0.00"/>
    <numFmt numFmtId="179" formatCode="&quot;$&quot;###0;[Red]\(&quot;$&quot;###0\)"/>
    <numFmt numFmtId="180" formatCode="dd\-mmm\-yy_)"/>
    <numFmt numFmtId="181" formatCode="_(* #,##0.00000_);_(* \(#,##0.00000\);_(* &quot;-&quot;??_);_(@_)"/>
    <numFmt numFmtId="182" formatCode="_-* #,##0\ &quot;F&quot;_-;\-* #,##0\ &quot;F&quot;_-;_-* &quot;-&quot;\ &quot;F&quot;_-;_-@_-"/>
    <numFmt numFmtId="183" formatCode="#,##0.000;[Red]\-#,##0.000"/>
    <numFmt numFmtId="184" formatCode="_(* #,##0_);[Red]_(* \(#,##0\);_(* &quot;-&quot;_);_(@_)"/>
    <numFmt numFmtId="185" formatCode="0.0000"/>
    <numFmt numFmtId="186" formatCode="&quot;$&quot;#,##0.000_);\(&quot;$&quot;#,##0.000\)"/>
    <numFmt numFmtId="187" formatCode="&quot;$&quot;#,##0.0_);[Red]\(&quot;$&quot;#,##0.0\)"/>
    <numFmt numFmtId="188" formatCode="[$-409]mmmm\ d\,\ yyyy;@"/>
    <numFmt numFmtId="189" formatCode="[$-409]mmm\-yy;@"/>
    <numFmt numFmtId="190" formatCode="#,##0;\-#,##0;&quot;-&quot;"/>
    <numFmt numFmtId="191" formatCode="mmmm\ d\,\ yyyy"/>
    <numFmt numFmtId="192" formatCode="########\-###\-###"/>
    <numFmt numFmtId="193" formatCode="#,##0.0_);\(#,##0.0\);\-\ ;"/>
    <numFmt numFmtId="194" formatCode="0.000000"/>
    <numFmt numFmtId="195" formatCode="mmm\ dd\,\ yyyy"/>
    <numFmt numFmtId="196" formatCode="_-* #,##0_-;\-* #,##0_-;_-* &quot;-&quot;_-;_-@_-"/>
    <numFmt numFmtId="197" formatCode="_-* #,##0.00_-;\-* #,##0.00_-;_-* &quot;-&quot;??_-;_-@_-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#,##0.000_);\(#,##0.000\)"/>
    <numFmt numFmtId="201" formatCode="#,##0.0_);\(#,##0.0\)"/>
    <numFmt numFmtId="202" formatCode="&quot;$&quot;#,##0.0"/>
    <numFmt numFmtId="203" formatCode="_(&quot;$&quot;\ #,##0.00_);_(&quot;$&quot;* \(#,##0.00\);_(&quot;$&quot;* &quot;-&quot;??_);_(@_)"/>
    <numFmt numFmtId="204" formatCode="_(&quot;$&quot;\ #,##0.00_);_(&quot;$&quot;\ \(#,##0.00\);_(&quot;$&quot;\ &quot;-&quot;??_);_(@_)"/>
    <numFmt numFmtId="205" formatCode="_(&quot;$&quot;* #,##0.00_);_(&quot;$&quot;* \(#,##0.00\);_(&quot;$&quot;* &quot;-&quot;_);_(@_)"/>
  </numFmts>
  <fonts count="107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rgb="FF0000FF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7"/>
      <name val="Arial"/>
      <family val="2"/>
    </font>
    <font>
      <sz val="10"/>
      <name val="Swiss"/>
      <family val="2"/>
    </font>
    <font>
      <sz val="12"/>
      <name val="TimesNewRomanPS"/>
    </font>
    <font>
      <sz val="11"/>
      <color indexed="8"/>
      <name val="Century Schoolbook"/>
      <family val="2"/>
    </font>
    <font>
      <sz val="10"/>
      <color theme="1"/>
      <name val="Times New Roman"/>
      <family val="2"/>
    </font>
    <font>
      <sz val="10"/>
      <name val="LinePrinter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12"/>
      <name val="Arial MT"/>
    </font>
    <font>
      <sz val="8"/>
      <color theme="1"/>
      <name val="Courier New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2"/>
      <color theme="1"/>
      <name val="Symbol"/>
      <family val="1"/>
      <charset val="2"/>
    </font>
    <font>
      <i/>
      <sz val="12"/>
      <color theme="1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0"/>
      <color rgb="FF3333FF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/>
      <sz val="10"/>
      <name val="Times New Roman"/>
      <family val="1"/>
    </font>
    <font>
      <b/>
      <i/>
      <u/>
      <sz val="10"/>
      <name val="Times New Roman"/>
      <family val="1"/>
    </font>
    <font>
      <sz val="10"/>
      <color indexed="12"/>
      <name val="Times New Roman"/>
      <family val="1"/>
    </font>
    <font>
      <sz val="10"/>
      <color rgb="FF0000FF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Tms Rmn"/>
    </font>
    <font>
      <b/>
      <sz val="11"/>
      <color indexed="9"/>
      <name val="Calibri"/>
      <family val="2"/>
    </font>
    <font>
      <sz val="10"/>
      <color indexed="8"/>
      <name val="Helv"/>
    </font>
    <font>
      <sz val="10"/>
      <name val="Arial Narrow"/>
      <family val="2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0"/>
      <name val="Helv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i/>
      <sz val="8"/>
      <color indexed="18"/>
      <name val="Helv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11"/>
      <color indexed="52"/>
      <name val="Calibri"/>
      <family val="2"/>
    </font>
    <font>
      <sz val="8"/>
      <name val="Times New Roman"/>
      <family val="1"/>
    </font>
    <font>
      <sz val="11"/>
      <color indexed="60"/>
      <name val="Calibri"/>
      <family val="2"/>
    </font>
    <font>
      <sz val="11"/>
      <color indexed="8"/>
      <name val="TimesNewRomanPS"/>
    </font>
    <font>
      <sz val="10"/>
      <name val="Verdana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name val="Geneva"/>
      <family val="2"/>
    </font>
    <font>
      <sz val="10"/>
      <color indexed="11"/>
      <name val="Geneva"/>
      <family val="2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b/>
      <sz val="10"/>
      <color indexed="63"/>
      <name val="Arial"/>
      <family val="2"/>
    </font>
    <font>
      <sz val="24"/>
      <color indexed="13"/>
      <name val="Helv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i/>
      <u/>
      <sz val="12"/>
      <color indexed="8"/>
      <name val="Times New Roman"/>
      <family val="1"/>
    </font>
    <font>
      <b/>
      <sz val="24"/>
      <name val="Arial"/>
      <family val="2"/>
    </font>
    <font>
      <b/>
      <vertAlign val="superscript"/>
      <sz val="12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26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08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5" fillId="0" borderId="0"/>
    <xf numFmtId="164" fontId="5" fillId="0" borderId="0"/>
    <xf numFmtId="0" fontId="4" fillId="0" borderId="0"/>
    <xf numFmtId="0" fontId="5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6" fillId="0" borderId="0" applyFont="0" applyFill="0" applyBorder="0" applyAlignment="0" applyProtection="0">
      <alignment horizontal="left"/>
    </xf>
    <xf numFmtId="173" fontId="12" fillId="0" borderId="0" applyFont="0" applyAlignment="0" applyProtection="0"/>
    <xf numFmtId="0" fontId="11" fillId="0" borderId="0">
      <alignment wrapText="1"/>
    </xf>
    <xf numFmtId="41" fontId="17" fillId="0" borderId="0" applyFont="0" applyFill="0" applyBorder="0" applyAlignment="0" applyProtection="0"/>
    <xf numFmtId="178" fontId="18" fillId="0" borderId="0"/>
    <xf numFmtId="0" fontId="19" fillId="0" borderId="0"/>
    <xf numFmtId="0" fontId="4" fillId="0" borderId="0"/>
    <xf numFmtId="0" fontId="5" fillId="0" borderId="0"/>
    <xf numFmtId="0" fontId="11" fillId="0" borderId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4" fontId="21" fillId="0" borderId="0">
      <alignment horizontal="lef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9" fontId="22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75" fontId="23" fillId="0" borderId="0" applyNumberFormat="0" applyFill="0" applyBorder="0" applyAlignment="0" applyProtection="0"/>
    <xf numFmtId="0" fontId="24" fillId="0" borderId="16" applyNumberFormat="0" applyBorder="0" applyAlignme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2" fontId="27" fillId="2" borderId="17">
      <alignment horizontal="left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28" fillId="3" borderId="18" applyNumberFormat="0" applyProtection="0">
      <alignment vertical="center"/>
    </xf>
    <xf numFmtId="4" fontId="29" fillId="4" borderId="18" applyNumberFormat="0" applyProtection="0">
      <alignment vertical="center"/>
    </xf>
    <xf numFmtId="4" fontId="28" fillId="4" borderId="18" applyNumberFormat="0" applyProtection="0">
      <alignment vertical="center"/>
    </xf>
    <xf numFmtId="0" fontId="28" fillId="4" borderId="18" applyNumberFormat="0" applyProtection="0">
      <alignment horizontal="left" vertical="top" indent="1"/>
    </xf>
    <xf numFmtId="4" fontId="28" fillId="5" borderId="0" applyNumberFormat="0" applyProtection="0">
      <alignment horizontal="left" vertical="center" indent="1"/>
    </xf>
    <xf numFmtId="4" fontId="30" fillId="6" borderId="18" applyNumberFormat="0" applyProtection="0">
      <alignment horizontal="right" vertical="center"/>
    </xf>
    <xf numFmtId="4" fontId="30" fillId="7" borderId="18" applyNumberFormat="0" applyProtection="0">
      <alignment horizontal="right" vertical="center"/>
    </xf>
    <xf numFmtId="4" fontId="30" fillId="8" borderId="18" applyNumberFormat="0" applyProtection="0">
      <alignment horizontal="right" vertical="center"/>
    </xf>
    <xf numFmtId="4" fontId="30" fillId="9" borderId="18" applyNumberFormat="0" applyProtection="0">
      <alignment horizontal="right" vertical="center"/>
    </xf>
    <xf numFmtId="4" fontId="30" fillId="10" borderId="18" applyNumberFormat="0" applyProtection="0">
      <alignment horizontal="right" vertical="center"/>
    </xf>
    <xf numFmtId="4" fontId="30" fillId="11" borderId="18" applyNumberFormat="0" applyProtection="0">
      <alignment horizontal="right" vertical="center"/>
    </xf>
    <xf numFmtId="4" fontId="30" fillId="12" borderId="18" applyNumberFormat="0" applyProtection="0">
      <alignment horizontal="right" vertical="center"/>
    </xf>
    <xf numFmtId="4" fontId="30" fillId="13" borderId="18" applyNumberFormat="0" applyProtection="0">
      <alignment horizontal="right" vertical="center"/>
    </xf>
    <xf numFmtId="4" fontId="30" fillId="14" borderId="18" applyNumberFormat="0" applyProtection="0">
      <alignment horizontal="right" vertical="center"/>
    </xf>
    <xf numFmtId="4" fontId="28" fillId="15" borderId="19" applyNumberFormat="0" applyProtection="0">
      <alignment horizontal="left" vertical="center" indent="1"/>
    </xf>
    <xf numFmtId="4" fontId="30" fillId="16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30" fillId="18" borderId="18" applyNumberFormat="0" applyProtection="0">
      <alignment horizontal="right" vertical="center"/>
    </xf>
    <xf numFmtId="4" fontId="32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0" fontId="11" fillId="17" borderId="18" applyNumberFormat="0" applyProtection="0">
      <alignment horizontal="left" vertical="center" indent="1"/>
    </xf>
    <xf numFmtId="0" fontId="11" fillId="17" borderId="18" applyNumberFormat="0" applyProtection="0">
      <alignment horizontal="left" vertical="top" indent="1"/>
    </xf>
    <xf numFmtId="0" fontId="11" fillId="5" borderId="18" applyNumberFormat="0" applyProtection="0">
      <alignment horizontal="left" vertical="center" indent="1"/>
    </xf>
    <xf numFmtId="0" fontId="11" fillId="5" borderId="18" applyNumberFormat="0" applyProtection="0">
      <alignment horizontal="left" vertical="top" indent="1"/>
    </xf>
    <xf numFmtId="0" fontId="11" fillId="19" borderId="18" applyNumberFormat="0" applyProtection="0">
      <alignment horizontal="left" vertical="center" indent="1"/>
    </xf>
    <xf numFmtId="0" fontId="11" fillId="19" borderId="18" applyNumberFormat="0" applyProtection="0">
      <alignment horizontal="left" vertical="top" indent="1"/>
    </xf>
    <xf numFmtId="0" fontId="11" fillId="20" borderId="18" applyNumberFormat="0" applyProtection="0">
      <alignment horizontal="left" vertical="center" indent="1"/>
    </xf>
    <xf numFmtId="0" fontId="11" fillId="20" borderId="18" applyNumberFormat="0" applyProtection="0">
      <alignment horizontal="left" vertical="top" indent="1"/>
    </xf>
    <xf numFmtId="4" fontId="30" fillId="21" borderId="18" applyNumberFormat="0" applyProtection="0">
      <alignment vertical="center"/>
    </xf>
    <xf numFmtId="4" fontId="34" fillId="21" borderId="18" applyNumberFormat="0" applyProtection="0">
      <alignment vertical="center"/>
    </xf>
    <xf numFmtId="4" fontId="30" fillId="21" borderId="18" applyNumberFormat="0" applyProtection="0">
      <alignment horizontal="left" vertical="center" indent="1"/>
    </xf>
    <xf numFmtId="0" fontId="30" fillId="21" borderId="18" applyNumberFormat="0" applyProtection="0">
      <alignment horizontal="left" vertical="top" indent="1"/>
    </xf>
    <xf numFmtId="4" fontId="30" fillId="22" borderId="20" applyNumberFormat="0" applyProtection="0">
      <alignment horizontal="right" vertical="center"/>
    </xf>
    <xf numFmtId="4" fontId="34" fillId="16" borderId="18" applyNumberFormat="0" applyProtection="0">
      <alignment horizontal="right" vertical="center"/>
    </xf>
    <xf numFmtId="4" fontId="30" fillId="18" borderId="18" applyNumberFormat="0" applyProtection="0">
      <alignment horizontal="left" vertical="center" indent="1"/>
    </xf>
    <xf numFmtId="0" fontId="30" fillId="5" borderId="18" applyNumberFormat="0" applyProtection="0">
      <alignment horizontal="center" vertical="top"/>
    </xf>
    <xf numFmtId="4" fontId="35" fillId="0" borderId="0" applyNumberFormat="0" applyProtection="0">
      <alignment horizontal="left" vertical="center"/>
    </xf>
    <xf numFmtId="4" fontId="36" fillId="16" borderId="18" applyNumberFormat="0" applyProtection="0">
      <alignment horizontal="right" vertical="center"/>
    </xf>
    <xf numFmtId="37" fontId="24" fillId="4" borderId="0" applyNumberFormat="0" applyBorder="0" applyAlignment="0" applyProtection="0"/>
    <xf numFmtId="37" fontId="24" fillId="0" borderId="0"/>
    <xf numFmtId="3" fontId="37" fillId="23" borderId="21" applyProtection="0"/>
    <xf numFmtId="0" fontId="5" fillId="0" borderId="0"/>
    <xf numFmtId="9" fontId="5" fillId="0" borderId="0" applyFont="0" applyFill="0" applyBorder="0" applyAlignment="0" applyProtection="0"/>
    <xf numFmtId="180" fontId="17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38" fontId="24" fillId="25" borderId="0" applyNumberFormat="0" applyBorder="0" applyAlignment="0" applyProtection="0"/>
    <xf numFmtId="0" fontId="46" fillId="0" borderId="0"/>
    <xf numFmtId="0" fontId="27" fillId="0" borderId="25" applyNumberFormat="0" applyAlignment="0" applyProtection="0">
      <alignment horizontal="left" vertical="center"/>
    </xf>
    <xf numFmtId="0" fontId="27" fillId="0" borderId="24">
      <alignment horizontal="left" vertical="center"/>
    </xf>
    <xf numFmtId="10" fontId="24" fillId="21" borderId="22" applyNumberFormat="0" applyBorder="0" applyAlignment="0" applyProtection="0"/>
    <xf numFmtId="183" fontId="11" fillId="0" borderId="0"/>
    <xf numFmtId="0" fontId="11" fillId="0" borderId="0"/>
    <xf numFmtId="0" fontId="2" fillId="0" borderId="0"/>
    <xf numFmtId="41" fontId="17" fillId="0" borderId="0" applyFont="0" applyFill="0" applyBorder="0" applyAlignment="0" applyProtection="0"/>
    <xf numFmtId="184" fontId="11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47" fillId="26" borderId="0" applyNumberFormat="0" applyProtection="0">
      <alignment horizontal="left"/>
    </xf>
    <xf numFmtId="0" fontId="40" fillId="0" borderId="22">
      <alignment horizontal="center" vertical="center" wrapText="1"/>
    </xf>
    <xf numFmtId="0" fontId="11" fillId="0" borderId="0"/>
    <xf numFmtId="164" fontId="57" fillId="0" borderId="0"/>
    <xf numFmtId="0" fontId="58" fillId="0" borderId="0"/>
    <xf numFmtId="9" fontId="57" fillId="0" borderId="0" applyFont="0" applyFill="0" applyBorder="0" applyAlignment="0" applyProtection="0"/>
    <xf numFmtId="164" fontId="5" fillId="0" borderId="0"/>
    <xf numFmtId="0" fontId="62" fillId="41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6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4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7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4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2" fillId="41" borderId="0" applyNumberFormat="0" applyBorder="0" applyAlignment="0" applyProtection="0"/>
    <xf numFmtId="0" fontId="62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2" fillId="42" borderId="0" applyNumberFormat="0" applyBorder="0" applyAlignment="0" applyProtection="0"/>
    <xf numFmtId="0" fontId="62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2" fillId="44" borderId="0" applyNumberFormat="0" applyBorder="0" applyAlignment="0" applyProtection="0"/>
    <xf numFmtId="0" fontId="62" fillId="46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2" fillId="45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4" fillId="51" borderId="22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40" fillId="52" borderId="0" applyNumberFormat="0" applyBorder="0" applyAlignment="0" applyProtection="0"/>
    <xf numFmtId="190" fontId="30" fillId="0" borderId="0" applyFill="0" applyBorder="0" applyAlignment="0"/>
    <xf numFmtId="0" fontId="66" fillId="53" borderId="30" applyNumberFormat="0" applyAlignment="0" applyProtection="0"/>
    <xf numFmtId="0" fontId="66" fillId="53" borderId="30" applyNumberFormat="0" applyAlignment="0" applyProtection="0"/>
    <xf numFmtId="0" fontId="66" fillId="53" borderId="30" applyNumberFormat="0" applyAlignment="0" applyProtection="0"/>
    <xf numFmtId="0" fontId="66" fillId="53" borderId="30" applyNumberFormat="0" applyAlignment="0" applyProtection="0"/>
    <xf numFmtId="0" fontId="66" fillId="53" borderId="30" applyNumberFormat="0" applyAlignment="0" applyProtection="0"/>
    <xf numFmtId="0" fontId="67" fillId="0" borderId="0"/>
    <xf numFmtId="0" fontId="68" fillId="54" borderId="31" applyNumberFormat="0" applyAlignment="0" applyProtection="0"/>
    <xf numFmtId="0" fontId="68" fillId="54" borderId="31" applyNumberFormat="0" applyAlignment="0" applyProtection="0"/>
    <xf numFmtId="0" fontId="68" fillId="54" borderId="31" applyNumberFormat="0" applyAlignment="0" applyProtection="0"/>
    <xf numFmtId="0" fontId="68" fillId="54" borderId="31" applyNumberFormat="0" applyAlignment="0" applyProtection="0"/>
    <xf numFmtId="0" fontId="68" fillId="54" borderId="31" applyNumberFormat="0" applyAlignment="0" applyProtection="0"/>
    <xf numFmtId="0" fontId="57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" fontId="69" fillId="0" borderId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73" fillId="0" borderId="0"/>
    <xf numFmtId="0" fontId="73" fillId="0" borderId="0"/>
    <xf numFmtId="0" fontId="73" fillId="0" borderId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73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74" fillId="0" borderId="0"/>
    <xf numFmtId="0" fontId="74" fillId="0" borderId="32"/>
    <xf numFmtId="0" fontId="73" fillId="0" borderId="0"/>
    <xf numFmtId="0" fontId="73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91" fontId="11" fillId="0" borderId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73" fillId="0" borderId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38" fontId="24" fillId="25" borderId="0" applyNumberFormat="0" applyBorder="0" applyAlignment="0" applyProtection="0"/>
    <xf numFmtId="38" fontId="24" fillId="25" borderId="0" applyNumberFormat="0" applyBorder="0" applyAlignment="0" applyProtection="0"/>
    <xf numFmtId="0" fontId="3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4" fontId="11" fillId="0" borderId="0">
      <protection locked="0"/>
    </xf>
    <xf numFmtId="174" fontId="11" fillId="0" borderId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10" fontId="24" fillId="21" borderId="22" applyNumberFormat="0" applyBorder="0" applyAlignment="0" applyProtection="0"/>
    <xf numFmtId="10" fontId="24" fillId="21" borderId="22" applyNumberFormat="0" applyBorder="0" applyAlignment="0" applyProtection="0"/>
    <xf numFmtId="0" fontId="80" fillId="0" borderId="0" applyNumberFormat="0" applyFill="0" applyBorder="0" applyAlignment="0">
      <protection locked="0"/>
    </xf>
    <xf numFmtId="0" fontId="80" fillId="0" borderId="0" applyNumberFormat="0" applyFill="0" applyBorder="0" applyAlignment="0">
      <protection locked="0"/>
    </xf>
    <xf numFmtId="38" fontId="81" fillId="0" borderId="0">
      <alignment horizontal="left" wrapText="1"/>
    </xf>
    <xf numFmtId="38" fontId="82" fillId="0" borderId="0">
      <alignment horizontal="left" wrapText="1"/>
    </xf>
    <xf numFmtId="0" fontId="83" fillId="55" borderId="32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85" fillId="56" borderId="0"/>
    <xf numFmtId="0" fontId="85" fillId="57" borderId="0"/>
    <xf numFmtId="0" fontId="40" fillId="58" borderId="7" applyBorder="0"/>
    <xf numFmtId="0" fontId="11" fillId="59" borderId="8" applyNumberFormat="0" applyFont="0" applyBorder="0" applyAlignment="0" applyProtection="0"/>
    <xf numFmtId="192" fontId="11" fillId="0" borderId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37" fontId="87" fillId="0" borderId="0" applyNumberFormat="0" applyFill="0" applyBorder="0"/>
    <xf numFmtId="0" fontId="24" fillId="0" borderId="16" applyNumberFormat="0" applyBorder="0" applyAlignment="0"/>
    <xf numFmtId="0" fontId="24" fillId="0" borderId="16" applyNumberFormat="0" applyBorder="0" applyAlignment="0"/>
    <xf numFmtId="0" fontId="24" fillId="0" borderId="16" applyNumberFormat="0" applyBorder="0" applyAlignment="0"/>
    <xf numFmtId="183" fontId="11" fillId="0" borderId="0"/>
    <xf numFmtId="183" fontId="1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41" fontId="11" fillId="0" borderId="0"/>
    <xf numFmtId="0" fontId="11" fillId="0" borderId="0"/>
    <xf numFmtId="0" fontId="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9" fillId="0" borderId="0"/>
    <xf numFmtId="41" fontId="49" fillId="0" borderId="0"/>
    <xf numFmtId="41" fontId="49" fillId="0" borderId="0"/>
    <xf numFmtId="41" fontId="49" fillId="0" borderId="0"/>
    <xf numFmtId="41" fontId="4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73" fillId="0" borderId="0"/>
    <xf numFmtId="0" fontId="11" fillId="60" borderId="35" applyNumberFormat="0" applyFont="0" applyAlignment="0" applyProtection="0"/>
    <xf numFmtId="0" fontId="20" fillId="28" borderId="29" applyNumberFormat="0" applyFont="0" applyAlignment="0" applyProtection="0"/>
    <xf numFmtId="0" fontId="20" fillId="28" borderId="29" applyNumberFormat="0" applyFont="0" applyAlignment="0" applyProtection="0"/>
    <xf numFmtId="0" fontId="20" fillId="28" borderId="29" applyNumberFormat="0" applyFont="0" applyAlignment="0" applyProtection="0"/>
    <xf numFmtId="0" fontId="11" fillId="60" borderId="35" applyNumberFormat="0" applyFont="0" applyAlignment="0" applyProtection="0"/>
    <xf numFmtId="193" fontId="5" fillId="0" borderId="0" applyFont="0" applyFill="0" applyBorder="0" applyProtection="0"/>
    <xf numFmtId="193" fontId="5" fillId="0" borderId="0" applyFont="0" applyFill="0" applyBorder="0" applyProtection="0"/>
    <xf numFmtId="193" fontId="5" fillId="0" borderId="0" applyFont="0" applyFill="0" applyBorder="0" applyProtection="0"/>
    <xf numFmtId="193" fontId="5" fillId="0" borderId="0" applyFont="0" applyFill="0" applyBorder="0" applyProtection="0"/>
    <xf numFmtId="193" fontId="5" fillId="0" borderId="0" applyFont="0" applyFill="0" applyBorder="0" applyProtection="0"/>
    <xf numFmtId="193" fontId="5" fillId="0" borderId="0" applyFont="0" applyFill="0" applyBorder="0" applyProtection="0"/>
    <xf numFmtId="193" fontId="5" fillId="0" borderId="0" applyFont="0" applyFill="0" applyBorder="0" applyProtection="0"/>
    <xf numFmtId="193" fontId="5" fillId="0" borderId="0" applyFont="0" applyFill="0" applyBorder="0" applyProtection="0"/>
    <xf numFmtId="193" fontId="5" fillId="0" borderId="0" applyFont="0" applyFill="0" applyBorder="0" applyProtection="0"/>
    <xf numFmtId="193" fontId="5" fillId="0" borderId="0" applyFont="0" applyFill="0" applyBorder="0" applyProtection="0"/>
    <xf numFmtId="193" fontId="5" fillId="0" borderId="0" applyFont="0" applyFill="0" applyBorder="0" applyProtection="0"/>
    <xf numFmtId="193" fontId="5" fillId="0" borderId="0" applyFont="0" applyFill="0" applyBorder="0" applyProtection="0"/>
    <xf numFmtId="193" fontId="5" fillId="0" borderId="0" applyFont="0" applyFill="0" applyBorder="0" applyProtection="0"/>
    <xf numFmtId="193" fontId="5" fillId="0" borderId="0" applyFont="0" applyFill="0" applyBorder="0" applyProtection="0"/>
    <xf numFmtId="0" fontId="90" fillId="53" borderId="36" applyNumberFormat="0" applyAlignment="0" applyProtection="0"/>
    <xf numFmtId="0" fontId="90" fillId="53" borderId="36" applyNumberFormat="0" applyAlignment="0" applyProtection="0"/>
    <xf numFmtId="0" fontId="90" fillId="53" borderId="36" applyNumberFormat="0" applyAlignment="0" applyProtection="0"/>
    <xf numFmtId="0" fontId="90" fillId="53" borderId="36" applyNumberFormat="0" applyAlignment="0" applyProtection="0"/>
    <xf numFmtId="0" fontId="90" fillId="53" borderId="36" applyNumberFormat="0" applyAlignment="0" applyProtection="0"/>
    <xf numFmtId="40" fontId="30" fillId="22" borderId="0">
      <alignment horizontal="right"/>
    </xf>
    <xf numFmtId="0" fontId="28" fillId="22" borderId="0">
      <alignment horizontal="left"/>
    </xf>
    <xf numFmtId="0" fontId="73" fillId="0" borderId="0"/>
    <xf numFmtId="0" fontId="73" fillId="0" borderId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/>
    <xf numFmtId="0" fontId="74" fillId="0" borderId="0"/>
    <xf numFmtId="4" fontId="28" fillId="4" borderId="18" applyNumberFormat="0" applyProtection="0">
      <alignment horizontal="left" vertical="center" indent="1"/>
    </xf>
    <xf numFmtId="4" fontId="28" fillId="4" borderId="18" applyNumberFormat="0" applyProtection="0">
      <alignment horizontal="left" vertical="center" indent="1"/>
    </xf>
    <xf numFmtId="4" fontId="28" fillId="4" borderId="18" applyNumberFormat="0" applyProtection="0">
      <alignment horizontal="left" vertical="center" indent="1"/>
    </xf>
    <xf numFmtId="4" fontId="28" fillId="4" borderId="18" applyNumberFormat="0" applyProtection="0">
      <alignment horizontal="left" vertical="center" indent="1"/>
    </xf>
    <xf numFmtId="4" fontId="28" fillId="4" borderId="18" applyNumberFormat="0" applyProtection="0">
      <alignment horizontal="left" vertical="center" indent="1"/>
    </xf>
    <xf numFmtId="4" fontId="28" fillId="4" borderId="18" applyNumberFormat="0" applyProtection="0">
      <alignment horizontal="left" vertical="center" indent="1"/>
    </xf>
    <xf numFmtId="4" fontId="28" fillId="5" borderId="18" applyNumberFormat="0" applyProtection="0"/>
    <xf numFmtId="4" fontId="28" fillId="5" borderId="18" applyNumberFormat="0" applyProtection="0"/>
    <xf numFmtId="4" fontId="28" fillId="5" borderId="18" applyNumberFormat="0" applyProtection="0"/>
    <xf numFmtId="4" fontId="28" fillId="5" borderId="18" applyNumberFormat="0" applyProtection="0"/>
    <xf numFmtId="4" fontId="28" fillId="5" borderId="18" applyNumberFormat="0" applyProtection="0"/>
    <xf numFmtId="4" fontId="28" fillId="5" borderId="18" applyNumberFormat="0" applyProtection="0"/>
    <xf numFmtId="4" fontId="28" fillId="15" borderId="19" applyNumberFormat="0" applyProtection="0">
      <alignment horizontal="left" vertical="center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1" fillId="17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93" fillId="61" borderId="0" applyNumberFormat="0" applyProtection="0">
      <alignment horizontal="left" indent="1"/>
    </xf>
    <xf numFmtId="4" fontId="93" fillId="61" borderId="0" applyNumberFormat="0" applyProtection="0">
      <alignment horizontal="left" indent="1"/>
    </xf>
    <xf numFmtId="4" fontId="93" fillId="61" borderId="0" applyNumberFormat="0" applyProtection="0">
      <alignment horizontal="left" indent="1"/>
    </xf>
    <xf numFmtId="4" fontId="93" fillId="61" borderId="0" applyNumberFormat="0" applyProtection="0">
      <alignment horizontal="left" indent="1"/>
    </xf>
    <xf numFmtId="4" fontId="93" fillId="61" borderId="0" applyNumberFormat="0" applyProtection="0">
      <alignment horizontal="left" indent="1"/>
    </xf>
    <xf numFmtId="4" fontId="93" fillId="61" borderId="0" applyNumberFormat="0" applyProtection="0">
      <alignment horizontal="left" indent="1"/>
    </xf>
    <xf numFmtId="4" fontId="93" fillId="61" borderId="0" applyNumberFormat="0" applyProtection="0">
      <alignment horizontal="left" indent="1"/>
    </xf>
    <xf numFmtId="4" fontId="33" fillId="62" borderId="0" applyNumberFormat="0" applyProtection="0"/>
    <xf numFmtId="4" fontId="33" fillId="62" borderId="0" applyNumberFormat="0" applyProtection="0"/>
    <xf numFmtId="4" fontId="33" fillId="62" borderId="0" applyNumberFormat="0" applyProtection="0"/>
    <xf numFmtId="4" fontId="33" fillId="62" borderId="0" applyNumberFormat="0" applyProtection="0"/>
    <xf numFmtId="4" fontId="33" fillId="62" borderId="0" applyNumberFormat="0" applyProtection="0"/>
    <xf numFmtId="4" fontId="33" fillId="62" borderId="0" applyNumberFormat="0" applyProtection="0"/>
    <xf numFmtId="4" fontId="33" fillId="62" borderId="0" applyNumberFormat="0" applyProtection="0"/>
    <xf numFmtId="0" fontId="11" fillId="17" borderId="18" applyNumberFormat="0" applyProtection="0">
      <alignment horizontal="left" vertical="center" indent="1"/>
    </xf>
    <xf numFmtId="0" fontId="11" fillId="17" borderId="18" applyNumberFormat="0" applyProtection="0">
      <alignment horizontal="left" vertical="center" indent="1"/>
    </xf>
    <xf numFmtId="0" fontId="11" fillId="17" borderId="18" applyNumberFormat="0" applyProtection="0">
      <alignment horizontal="left" vertical="center" indent="1"/>
    </xf>
    <xf numFmtId="0" fontId="11" fillId="17" borderId="18" applyNumberFormat="0" applyProtection="0">
      <alignment horizontal="left" vertical="center" indent="1"/>
    </xf>
    <xf numFmtId="0" fontId="11" fillId="17" borderId="18" applyNumberFormat="0" applyProtection="0">
      <alignment horizontal="left" vertical="center" indent="1"/>
    </xf>
    <xf numFmtId="0" fontId="11" fillId="17" borderId="18" applyNumberFormat="0" applyProtection="0">
      <alignment horizontal="left" vertical="top" indent="1"/>
    </xf>
    <xf numFmtId="0" fontId="11" fillId="17" borderId="18" applyNumberFormat="0" applyProtection="0">
      <alignment horizontal="left" vertical="top" indent="1"/>
    </xf>
    <xf numFmtId="0" fontId="11" fillId="17" borderId="18" applyNumberFormat="0" applyProtection="0">
      <alignment horizontal="left" vertical="top" indent="1"/>
    </xf>
    <xf numFmtId="0" fontId="11" fillId="17" borderId="18" applyNumberFormat="0" applyProtection="0">
      <alignment horizontal="left" vertical="top" indent="1"/>
    </xf>
    <xf numFmtId="0" fontId="11" fillId="17" borderId="18" applyNumberFormat="0" applyProtection="0">
      <alignment horizontal="left" vertical="top" indent="1"/>
    </xf>
    <xf numFmtId="0" fontId="11" fillId="5" borderId="18" applyNumberFormat="0" applyProtection="0">
      <alignment horizontal="left" vertical="center" indent="1"/>
    </xf>
    <xf numFmtId="0" fontId="11" fillId="5" borderId="18" applyNumberFormat="0" applyProtection="0">
      <alignment horizontal="left" vertical="center" indent="1"/>
    </xf>
    <xf numFmtId="0" fontId="11" fillId="5" borderId="18" applyNumberFormat="0" applyProtection="0">
      <alignment horizontal="left" vertical="center" indent="1"/>
    </xf>
    <xf numFmtId="0" fontId="11" fillId="5" borderId="18" applyNumberFormat="0" applyProtection="0">
      <alignment horizontal="left" vertical="center" indent="1"/>
    </xf>
    <xf numFmtId="0" fontId="11" fillId="5" borderId="18" applyNumberFormat="0" applyProtection="0">
      <alignment horizontal="left" vertical="center" indent="1"/>
    </xf>
    <xf numFmtId="0" fontId="11" fillId="5" borderId="18" applyNumberFormat="0" applyProtection="0">
      <alignment horizontal="left" vertical="top" indent="1"/>
    </xf>
    <xf numFmtId="0" fontId="11" fillId="5" borderId="18" applyNumberFormat="0" applyProtection="0">
      <alignment horizontal="left" vertical="top" indent="1"/>
    </xf>
    <xf numFmtId="0" fontId="11" fillId="5" borderId="18" applyNumberFormat="0" applyProtection="0">
      <alignment horizontal="left" vertical="top" indent="1"/>
    </xf>
    <xf numFmtId="0" fontId="11" fillId="5" borderId="18" applyNumberFormat="0" applyProtection="0">
      <alignment horizontal="left" vertical="top" indent="1"/>
    </xf>
    <xf numFmtId="0" fontId="11" fillId="5" borderId="18" applyNumberFormat="0" applyProtection="0">
      <alignment horizontal="left" vertical="top" indent="1"/>
    </xf>
    <xf numFmtId="0" fontId="11" fillId="19" borderId="18" applyNumberFormat="0" applyProtection="0">
      <alignment horizontal="left" vertical="center" indent="1"/>
    </xf>
    <xf numFmtId="0" fontId="11" fillId="19" borderId="18" applyNumberFormat="0" applyProtection="0">
      <alignment horizontal="left" vertical="center" indent="1"/>
    </xf>
    <xf numFmtId="0" fontId="11" fillId="19" borderId="18" applyNumberFormat="0" applyProtection="0">
      <alignment horizontal="left" vertical="center" indent="1"/>
    </xf>
    <xf numFmtId="0" fontId="11" fillId="19" borderId="18" applyNumberFormat="0" applyProtection="0">
      <alignment horizontal="left" vertical="center" indent="1"/>
    </xf>
    <xf numFmtId="0" fontId="11" fillId="19" borderId="18" applyNumberFormat="0" applyProtection="0">
      <alignment horizontal="left" vertical="center" indent="1"/>
    </xf>
    <xf numFmtId="0" fontId="11" fillId="19" borderId="18" applyNumberFormat="0" applyProtection="0">
      <alignment horizontal="left" vertical="top" indent="1"/>
    </xf>
    <xf numFmtId="0" fontId="11" fillId="19" borderId="18" applyNumberFormat="0" applyProtection="0">
      <alignment horizontal="left" vertical="top" indent="1"/>
    </xf>
    <xf numFmtId="0" fontId="11" fillId="19" borderId="18" applyNumberFormat="0" applyProtection="0">
      <alignment horizontal="left" vertical="top" indent="1"/>
    </xf>
    <xf numFmtId="0" fontId="11" fillId="19" borderId="18" applyNumberFormat="0" applyProtection="0">
      <alignment horizontal="left" vertical="top" indent="1"/>
    </xf>
    <xf numFmtId="0" fontId="11" fillId="19" borderId="18" applyNumberFormat="0" applyProtection="0">
      <alignment horizontal="left" vertical="top" indent="1"/>
    </xf>
    <xf numFmtId="0" fontId="11" fillId="20" borderId="18" applyNumberFormat="0" applyProtection="0">
      <alignment horizontal="left" vertical="center" indent="1"/>
    </xf>
    <xf numFmtId="0" fontId="11" fillId="20" borderId="18" applyNumberFormat="0" applyProtection="0">
      <alignment horizontal="left" vertical="center" indent="1"/>
    </xf>
    <xf numFmtId="0" fontId="11" fillId="20" borderId="18" applyNumberFormat="0" applyProtection="0">
      <alignment horizontal="left" vertical="center" indent="1"/>
    </xf>
    <xf numFmtId="0" fontId="11" fillId="20" borderId="18" applyNumberFormat="0" applyProtection="0">
      <alignment horizontal="left" vertical="center" indent="1"/>
    </xf>
    <xf numFmtId="0" fontId="11" fillId="20" borderId="18" applyNumberFormat="0" applyProtection="0">
      <alignment horizontal="left" vertical="center" indent="1"/>
    </xf>
    <xf numFmtId="0" fontId="11" fillId="20" borderId="18" applyNumberFormat="0" applyProtection="0">
      <alignment horizontal="left" vertical="top" indent="1"/>
    </xf>
    <xf numFmtId="0" fontId="11" fillId="20" borderId="18" applyNumberFormat="0" applyProtection="0">
      <alignment horizontal="left" vertical="top" indent="1"/>
    </xf>
    <xf numFmtId="0" fontId="11" fillId="20" borderId="18" applyNumberFormat="0" applyProtection="0">
      <alignment horizontal="left" vertical="top" indent="1"/>
    </xf>
    <xf numFmtId="0" fontId="11" fillId="20" borderId="18" applyNumberFormat="0" applyProtection="0">
      <alignment horizontal="left" vertical="top" indent="1"/>
    </xf>
    <xf numFmtId="0" fontId="11" fillId="20" borderId="18" applyNumberFormat="0" applyProtection="0">
      <alignment horizontal="left" vertical="top" indent="1"/>
    </xf>
    <xf numFmtId="4" fontId="30" fillId="0" borderId="18" applyNumberFormat="0" applyProtection="0">
      <alignment horizontal="right" vertical="center"/>
    </xf>
    <xf numFmtId="4" fontId="30" fillId="0" borderId="18" applyNumberFormat="0" applyProtection="0">
      <alignment horizontal="right" vertical="center"/>
    </xf>
    <xf numFmtId="4" fontId="30" fillId="0" borderId="18" applyNumberFormat="0" applyProtection="0">
      <alignment horizontal="right" vertical="center"/>
    </xf>
    <xf numFmtId="4" fontId="30" fillId="0" borderId="18" applyNumberFormat="0" applyProtection="0">
      <alignment horizontal="right" vertical="center"/>
    </xf>
    <xf numFmtId="4" fontId="30" fillId="0" borderId="18" applyNumberFormat="0" applyProtection="0">
      <alignment horizontal="right" vertical="center"/>
    </xf>
    <xf numFmtId="4" fontId="30" fillId="0" borderId="18" applyNumberFormat="0" applyProtection="0">
      <alignment horizontal="right" vertical="center"/>
    </xf>
    <xf numFmtId="4" fontId="30" fillId="0" borderId="18" applyNumberFormat="0" applyProtection="0">
      <alignment horizontal="left" vertical="center" indent="1"/>
    </xf>
    <xf numFmtId="4" fontId="30" fillId="0" borderId="18" applyNumberFormat="0" applyProtection="0">
      <alignment horizontal="left" vertical="center" indent="1"/>
    </xf>
    <xf numFmtId="4" fontId="30" fillId="0" borderId="18" applyNumberFormat="0" applyProtection="0">
      <alignment horizontal="left" vertical="center" indent="1"/>
    </xf>
    <xf numFmtId="4" fontId="30" fillId="0" borderId="18" applyNumberFormat="0" applyProtection="0">
      <alignment horizontal="left" vertical="center" indent="1"/>
    </xf>
    <xf numFmtId="4" fontId="30" fillId="0" borderId="18" applyNumberFormat="0" applyProtection="0">
      <alignment horizontal="left" vertical="center" indent="1"/>
    </xf>
    <xf numFmtId="4" fontId="30" fillId="0" borderId="18" applyNumberFormat="0" applyProtection="0">
      <alignment horizontal="left" vertical="center" indent="1"/>
    </xf>
    <xf numFmtId="0" fontId="30" fillId="5" borderId="18" applyNumberFormat="0" applyProtection="0">
      <alignment horizontal="left" vertical="top"/>
    </xf>
    <xf numFmtId="0" fontId="30" fillId="5" borderId="18" applyNumberFormat="0" applyProtection="0">
      <alignment horizontal="left" vertical="top"/>
    </xf>
    <xf numFmtId="0" fontId="30" fillId="5" borderId="18" applyNumberFormat="0" applyProtection="0">
      <alignment horizontal="left" vertical="top"/>
    </xf>
    <xf numFmtId="0" fontId="30" fillId="5" borderId="18" applyNumberFormat="0" applyProtection="0">
      <alignment horizontal="left" vertical="top"/>
    </xf>
    <xf numFmtId="0" fontId="30" fillId="5" borderId="18" applyNumberFormat="0" applyProtection="0">
      <alignment horizontal="left" vertical="top"/>
    </xf>
    <xf numFmtId="0" fontId="30" fillId="5" borderId="18" applyNumberFormat="0" applyProtection="0">
      <alignment horizontal="left" vertical="top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37" fontId="25" fillId="63" borderId="0" applyNumberFormat="0" applyFont="0" applyBorder="0" applyAlignment="0" applyProtection="0"/>
    <xf numFmtId="0" fontId="94" fillId="0" borderId="0" applyNumberFormat="0" applyFill="0" applyBorder="0" applyAlignment="0" applyProtection="0"/>
    <xf numFmtId="169" fontId="11" fillId="0" borderId="26">
      <alignment horizontal="justify" vertical="top" wrapText="1"/>
    </xf>
    <xf numFmtId="169" fontId="11" fillId="0" borderId="26">
      <alignment horizontal="justify" vertical="top" wrapText="1"/>
    </xf>
    <xf numFmtId="169" fontId="11" fillId="0" borderId="26">
      <alignment horizontal="justify" vertical="top" wrapText="1"/>
    </xf>
    <xf numFmtId="0" fontId="95" fillId="64" borderId="37"/>
    <xf numFmtId="194" fontId="11" fillId="0" borderId="0">
      <alignment horizontal="left" wrapText="1"/>
    </xf>
    <xf numFmtId="2" fontId="11" fillId="0" borderId="0" applyFill="0" applyBorder="0" applyProtection="0">
      <alignment horizontal="right"/>
    </xf>
    <xf numFmtId="14" fontId="96" fillId="65" borderId="38" applyProtection="0">
      <alignment horizontal="right"/>
    </xf>
    <xf numFmtId="0" fontId="96" fillId="0" borderId="0" applyNumberFormat="0" applyFill="0" applyBorder="0" applyProtection="0">
      <alignment horizontal="left"/>
    </xf>
    <xf numFmtId="195" fontId="11" fillId="0" borderId="0" applyFill="0" applyBorder="0" applyAlignment="0" applyProtection="0">
      <alignment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74" fillId="0" borderId="32"/>
    <xf numFmtId="38" fontId="11" fillId="0" borderId="0">
      <alignment horizontal="left" wrapText="1"/>
    </xf>
    <xf numFmtId="0" fontId="97" fillId="66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0" fillId="0" borderId="22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3" fillId="0" borderId="12"/>
    <xf numFmtId="0" fontId="83" fillId="0" borderId="39"/>
    <xf numFmtId="0" fontId="83" fillId="0" borderId="32"/>
    <xf numFmtId="196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0" fontId="73" fillId="0" borderId="2"/>
    <xf numFmtId="38" fontId="30" fillId="0" borderId="28" applyFill="0" applyBorder="0" applyAlignment="0" applyProtection="0">
      <protection locked="0"/>
    </xf>
    <xf numFmtId="37" fontId="24" fillId="4" borderId="0" applyNumberFormat="0" applyBorder="0" applyAlignment="0" applyProtection="0"/>
    <xf numFmtId="37" fontId="24" fillId="4" borderId="0" applyNumberFormat="0" applyBorder="0" applyAlignment="0" applyProtection="0"/>
    <xf numFmtId="37" fontId="24" fillId="4" borderId="0" applyNumberFormat="0" applyBorder="0" applyAlignment="0" applyProtection="0"/>
    <xf numFmtId="37" fontId="24" fillId="0" borderId="0"/>
    <xf numFmtId="37" fontId="24" fillId="0" borderId="0"/>
    <xf numFmtId="37" fontId="24" fillId="0" borderId="0"/>
    <xf numFmtId="37" fontId="24" fillId="4" borderId="0" applyNumberFormat="0" applyBorder="0" applyAlignment="0" applyProtection="0"/>
    <xf numFmtId="198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4" fillId="0" borderId="0"/>
    <xf numFmtId="0" fontId="11" fillId="0" borderId="0"/>
  </cellStyleXfs>
  <cellXfs count="575">
    <xf numFmtId="0" fontId="0" fillId="0" borderId="0" xfId="0"/>
    <xf numFmtId="164" fontId="6" fillId="0" borderId="0" xfId="4" applyNumberFormat="1" applyFont="1" applyFill="1" applyBorder="1" applyAlignment="1">
      <alignment horizontal="centerContinuous"/>
    </xf>
    <xf numFmtId="164" fontId="5" fillId="0" borderId="0" xfId="4" applyNumberFormat="1"/>
    <xf numFmtId="164" fontId="5" fillId="0" borderId="0" xfId="4" applyNumberFormat="1" applyFill="1"/>
    <xf numFmtId="37" fontId="9" fillId="0" borderId="0" xfId="4" applyNumberFormat="1" applyFont="1" applyFill="1" applyProtection="1"/>
    <xf numFmtId="164" fontId="9" fillId="0" borderId="0" xfId="4" applyNumberFormat="1" applyFont="1" applyFill="1" applyBorder="1"/>
    <xf numFmtId="37" fontId="10" fillId="0" borderId="0" xfId="4" applyNumberFormat="1" applyFont="1" applyFill="1" applyProtection="1"/>
    <xf numFmtId="37" fontId="10" fillId="0" borderId="0" xfId="4" applyNumberFormat="1" applyFont="1" applyFill="1" applyAlignment="1" applyProtection="1">
      <alignment horizontal="center"/>
    </xf>
    <xf numFmtId="5" fontId="5" fillId="0" borderId="0" xfId="4" applyNumberFormat="1" applyFill="1" applyProtection="1"/>
    <xf numFmtId="37" fontId="10" fillId="0" borderId="0" xfId="4" applyNumberFormat="1" applyFont="1" applyFill="1" applyBorder="1" applyAlignment="1" applyProtection="1">
      <alignment horizontal="center"/>
    </xf>
    <xf numFmtId="37" fontId="10" fillId="0" borderId="1" xfId="4" quotePrefix="1" applyNumberFormat="1" applyFont="1" applyFill="1" applyBorder="1" applyAlignment="1" applyProtection="1">
      <alignment horizontal="center"/>
    </xf>
    <xf numFmtId="164" fontId="5" fillId="0" borderId="0" xfId="4" applyNumberFormat="1" applyFont="1" applyBorder="1"/>
    <xf numFmtId="164" fontId="5" fillId="0" borderId="0" xfId="4" applyNumberFormat="1" applyBorder="1"/>
    <xf numFmtId="37" fontId="9" fillId="0" borderId="0" xfId="4" applyNumberFormat="1" applyFont="1" applyFill="1" applyProtection="1">
      <protection locked="0"/>
    </xf>
    <xf numFmtId="7" fontId="9" fillId="0" borderId="0" xfId="4" applyNumberFormat="1" applyFont="1" applyFill="1" applyProtection="1">
      <protection locked="0"/>
    </xf>
    <xf numFmtId="5" fontId="9" fillId="0" borderId="0" xfId="4" applyNumberFormat="1" applyFont="1" applyFill="1" applyProtection="1"/>
    <xf numFmtId="37" fontId="9" fillId="0" borderId="0" xfId="4" applyNumberFormat="1" applyFont="1" applyFill="1" applyBorder="1" applyProtection="1"/>
    <xf numFmtId="5" fontId="5" fillId="0" borderId="6" xfId="4" applyNumberFormat="1" applyFill="1" applyBorder="1" applyProtection="1"/>
    <xf numFmtId="5" fontId="5" fillId="0" borderId="7" xfId="4" applyNumberFormat="1" applyFill="1" applyBorder="1" applyProtection="1"/>
    <xf numFmtId="5" fontId="5" fillId="0" borderId="10" xfId="4" applyNumberFormat="1" applyFill="1" applyBorder="1" applyProtection="1"/>
    <xf numFmtId="7" fontId="9" fillId="0" borderId="0" xfId="4" applyNumberFormat="1" applyFont="1" applyFill="1" applyBorder="1" applyProtection="1"/>
    <xf numFmtId="5" fontId="9" fillId="0" borderId="0" xfId="4" applyNumberFormat="1" applyFont="1" applyFill="1" applyBorder="1" applyProtection="1"/>
    <xf numFmtId="164" fontId="5" fillId="0" borderId="0" xfId="4" applyNumberFormat="1" applyFont="1"/>
    <xf numFmtId="37" fontId="9" fillId="0" borderId="2" xfId="4" applyNumberFormat="1" applyFont="1" applyFill="1" applyBorder="1" applyProtection="1"/>
    <xf numFmtId="5" fontId="9" fillId="0" borderId="2" xfId="4" applyNumberFormat="1" applyFont="1" applyFill="1" applyBorder="1" applyProtection="1"/>
    <xf numFmtId="37" fontId="9" fillId="0" borderId="11" xfId="4" applyNumberFormat="1" applyFont="1" applyFill="1" applyBorder="1" applyProtection="1"/>
    <xf numFmtId="5" fontId="9" fillId="0" borderId="11" xfId="4" applyNumberFormat="1" applyFont="1" applyFill="1" applyBorder="1" applyProtection="1"/>
    <xf numFmtId="170" fontId="9" fillId="0" borderId="0" xfId="4" applyNumberFormat="1" applyFont="1" applyFill="1" applyProtection="1"/>
    <xf numFmtId="5" fontId="9" fillId="0" borderId="12" xfId="4" applyNumberFormat="1" applyFont="1" applyFill="1" applyBorder="1" applyProtection="1"/>
    <xf numFmtId="37" fontId="9" fillId="0" borderId="12" xfId="4" applyNumberFormat="1" applyFont="1" applyFill="1" applyBorder="1" applyProtection="1"/>
    <xf numFmtId="168" fontId="9" fillId="0" borderId="0" xfId="4" applyNumberFormat="1" applyFont="1" applyFill="1" applyProtection="1"/>
    <xf numFmtId="10" fontId="9" fillId="0" borderId="0" xfId="4" applyNumberFormat="1" applyFont="1" applyFill="1" applyProtection="1">
      <protection locked="0"/>
    </xf>
    <xf numFmtId="164" fontId="5" fillId="0" borderId="0" xfId="4" applyNumberFormat="1" applyFont="1" applyAlignment="1">
      <alignment horizontal="right"/>
    </xf>
    <xf numFmtId="6" fontId="5" fillId="0" borderId="0" xfId="3" applyNumberFormat="1" applyFont="1" applyAlignment="1">
      <alignment horizontal="right"/>
    </xf>
    <xf numFmtId="168" fontId="12" fillId="0" borderId="0" xfId="4" applyNumberFormat="1" applyFont="1" applyFill="1" applyAlignment="1" applyProtection="1">
      <alignment horizontal="right"/>
    </xf>
    <xf numFmtId="10" fontId="12" fillId="0" borderId="0" xfId="4" applyNumberFormat="1" applyFont="1" applyFill="1" applyAlignment="1" applyProtection="1">
      <alignment horizontal="right"/>
    </xf>
    <xf numFmtId="37" fontId="9" fillId="0" borderId="1" xfId="4" applyNumberFormat="1" applyFont="1" applyFill="1" applyBorder="1" applyProtection="1">
      <protection locked="0"/>
    </xf>
    <xf numFmtId="5" fontId="9" fillId="0" borderId="1" xfId="4" applyNumberFormat="1" applyFont="1" applyFill="1" applyBorder="1" applyProtection="1"/>
    <xf numFmtId="37" fontId="9" fillId="0" borderId="11" xfId="4" applyNumberFormat="1" applyFont="1" applyFill="1" applyBorder="1" applyProtection="1">
      <protection locked="0"/>
    </xf>
    <xf numFmtId="174" fontId="12" fillId="0" borderId="0" xfId="4" applyNumberFormat="1" applyFont="1" applyFill="1" applyAlignment="1" applyProtection="1">
      <alignment horizontal="right"/>
    </xf>
    <xf numFmtId="37" fontId="9" fillId="0" borderId="13" xfId="4" applyNumberFormat="1" applyFont="1" applyFill="1" applyBorder="1" applyProtection="1"/>
    <xf numFmtId="164" fontId="8" fillId="0" borderId="0" xfId="4" applyNumberFormat="1" applyFont="1"/>
    <xf numFmtId="175" fontId="8" fillId="0" borderId="0" xfId="4" applyNumberFormat="1" applyFont="1"/>
    <xf numFmtId="37" fontId="9" fillId="0" borderId="12" xfId="4" applyNumberFormat="1" applyFont="1" applyFill="1" applyBorder="1" applyProtection="1">
      <protection locked="0"/>
    </xf>
    <xf numFmtId="0" fontId="8" fillId="0" borderId="0" xfId="0" applyFont="1"/>
    <xf numFmtId="37" fontId="9" fillId="0" borderId="2" xfId="4" applyNumberFormat="1" applyFont="1" applyFill="1" applyBorder="1" applyProtection="1">
      <protection locked="0"/>
    </xf>
    <xf numFmtId="165" fontId="9" fillId="0" borderId="12" xfId="1" applyNumberFormat="1" applyFont="1" applyFill="1" applyBorder="1"/>
    <xf numFmtId="37" fontId="9" fillId="0" borderId="0" xfId="4" applyNumberFormat="1" applyFont="1" applyFill="1" applyBorder="1" applyProtection="1">
      <protection locked="0"/>
    </xf>
    <xf numFmtId="37" fontId="9" fillId="0" borderId="1" xfId="4" applyNumberFormat="1" applyFont="1" applyFill="1" applyBorder="1" applyProtection="1"/>
    <xf numFmtId="9" fontId="5" fillId="0" borderId="0" xfId="3" applyNumberFormat="1" applyFont="1"/>
    <xf numFmtId="9" fontId="5" fillId="0" borderId="0" xfId="4" applyNumberFormat="1"/>
    <xf numFmtId="5" fontId="9" fillId="0" borderId="0" xfId="4" applyNumberFormat="1" applyFont="1" applyFill="1" applyProtection="1">
      <protection locked="0"/>
    </xf>
    <xf numFmtId="37" fontId="9" fillId="0" borderId="14" xfId="4" applyNumberFormat="1" applyFont="1" applyFill="1" applyBorder="1" applyProtection="1"/>
    <xf numFmtId="173" fontId="9" fillId="0" borderId="0" xfId="1" applyNumberFormat="1" applyFont="1" applyFill="1"/>
    <xf numFmtId="173" fontId="9" fillId="0" borderId="11" xfId="1" applyNumberFormat="1" applyFont="1" applyFill="1" applyBorder="1"/>
    <xf numFmtId="0" fontId="0" fillId="0" borderId="0" xfId="0" applyAlignment="1"/>
    <xf numFmtId="37" fontId="7" fillId="0" borderId="0" xfId="5" quotePrefix="1" applyNumberFormat="1" applyFont="1" applyAlignment="1">
      <alignment horizontal="center"/>
    </xf>
    <xf numFmtId="37" fontId="7" fillId="0" borderId="0" xfId="5" quotePrefix="1" applyNumberFormat="1" applyFont="1" applyFill="1" applyAlignment="1">
      <alignment horizontal="center"/>
    </xf>
    <xf numFmtId="173" fontId="5" fillId="0" borderId="0" xfId="1" applyNumberFormat="1" applyFont="1" applyFill="1"/>
    <xf numFmtId="5" fontId="5" fillId="0" borderId="0" xfId="2" applyNumberFormat="1" applyFont="1" applyFill="1"/>
    <xf numFmtId="5" fontId="5" fillId="0" borderId="0" xfId="5" applyNumberFormat="1" applyFill="1"/>
    <xf numFmtId="5" fontId="5" fillId="0" borderId="1" xfId="2" applyNumberFormat="1" applyFont="1" applyFill="1" applyBorder="1"/>
    <xf numFmtId="5" fontId="5" fillId="0" borderId="0" xfId="2" applyNumberFormat="1" applyFont="1" applyFill="1" applyBorder="1"/>
    <xf numFmtId="5" fontId="5" fillId="0" borderId="0" xfId="5" applyNumberFormat="1" applyFill="1" applyBorder="1"/>
    <xf numFmtId="177" fontId="5" fillId="0" borderId="0" xfId="2" applyNumberFormat="1" applyFont="1" applyFill="1"/>
    <xf numFmtId="177" fontId="5" fillId="0" borderId="0" xfId="5" applyNumberFormat="1" applyFill="1"/>
    <xf numFmtId="5" fontId="5" fillId="0" borderId="11" xfId="2" applyNumberFormat="1" applyFont="1" applyFill="1" applyBorder="1"/>
    <xf numFmtId="0" fontId="9" fillId="0" borderId="1" xfId="6" applyFont="1" applyBorder="1" applyAlignment="1" applyProtection="1">
      <alignment horizontal="center"/>
      <protection locked="0"/>
    </xf>
    <xf numFmtId="166" fontId="9" fillId="0" borderId="0" xfId="6" applyNumberFormat="1" applyFont="1" applyProtection="1">
      <protection locked="0"/>
    </xf>
    <xf numFmtId="164" fontId="9" fillId="0" borderId="3" xfId="4" applyNumberFormat="1" applyFont="1" applyFill="1" applyBorder="1"/>
    <xf numFmtId="164" fontId="9" fillId="0" borderId="5" xfId="4" applyNumberFormat="1" applyFont="1" applyBorder="1"/>
    <xf numFmtId="164" fontId="9" fillId="0" borderId="8" xfId="4" applyNumberFormat="1" applyFont="1" applyBorder="1"/>
    <xf numFmtId="164" fontId="38" fillId="0" borderId="9" xfId="4" applyNumberFormat="1" applyFont="1" applyBorder="1"/>
    <xf numFmtId="164" fontId="9" fillId="0" borderId="5" xfId="4" applyNumberFormat="1" applyFont="1" applyFill="1" applyBorder="1"/>
    <xf numFmtId="164" fontId="5" fillId="0" borderId="7" xfId="4" applyNumberFormat="1" applyBorder="1"/>
    <xf numFmtId="164" fontId="9" fillId="0" borderId="9" xfId="4" applyNumberFormat="1" applyFont="1" applyFill="1" applyBorder="1"/>
    <xf numFmtId="10" fontId="5" fillId="0" borderId="10" xfId="3" applyNumberFormat="1" applyFont="1" applyBorder="1"/>
    <xf numFmtId="164" fontId="5" fillId="0" borderId="4" xfId="4" applyNumberFormat="1" applyFont="1" applyBorder="1"/>
    <xf numFmtId="164" fontId="9" fillId="0" borderId="0" xfId="4" applyNumberFormat="1" applyFont="1" applyBorder="1"/>
    <xf numFmtId="7" fontId="9" fillId="0" borderId="5" xfId="4" applyNumberFormat="1" applyFont="1" applyFill="1" applyBorder="1" applyProtection="1">
      <protection locked="0"/>
    </xf>
    <xf numFmtId="164" fontId="5" fillId="0" borderId="6" xfId="4" applyNumberFormat="1" applyFont="1" applyBorder="1"/>
    <xf numFmtId="5" fontId="5" fillId="0" borderId="3" xfId="4" applyNumberFormat="1" applyFill="1" applyBorder="1" applyProtection="1"/>
    <xf numFmtId="10" fontId="5" fillId="0" borderId="10" xfId="3" applyNumberFormat="1" applyFont="1" applyBorder="1" applyAlignment="1">
      <alignment horizontal="right"/>
    </xf>
    <xf numFmtId="164" fontId="7" fillId="0" borderId="0" xfId="5" applyFont="1" applyFill="1" applyBorder="1" applyAlignment="1">
      <alignment horizontal="center"/>
    </xf>
    <xf numFmtId="164" fontId="7" fillId="0" borderId="0" xfId="5" applyFont="1" applyFill="1" applyAlignment="1">
      <alignment horizontal="center"/>
    </xf>
    <xf numFmtId="164" fontId="7" fillId="0" borderId="0" xfId="5" applyFont="1" applyFill="1" applyBorder="1" applyAlignment="1">
      <alignment horizontal="centerContinuous"/>
    </xf>
    <xf numFmtId="164" fontId="7" fillId="0" borderId="1" xfId="5" quotePrefix="1" applyFont="1" applyFill="1" applyBorder="1" applyAlignment="1">
      <alignment horizontal="center"/>
    </xf>
    <xf numFmtId="164" fontId="7" fillId="0" borderId="0" xfId="5" applyFont="1"/>
    <xf numFmtId="164" fontId="7" fillId="0" borderId="0" xfId="5" applyFont="1" applyAlignment="1">
      <alignment horizontal="centerContinuous"/>
    </xf>
    <xf numFmtId="10" fontId="6" fillId="0" borderId="0" xfId="4" applyNumberFormat="1" applyFont="1" applyFill="1" applyAlignment="1">
      <alignment horizontal="centerContinuous"/>
    </xf>
    <xf numFmtId="5" fontId="9" fillId="0" borderId="0" xfId="4" applyNumberFormat="1" applyFont="1" applyFill="1" applyAlignment="1">
      <alignment horizontal="centerContinuous"/>
    </xf>
    <xf numFmtId="10" fontId="9" fillId="0" borderId="0" xfId="4" applyNumberFormat="1" applyFont="1" applyFill="1"/>
    <xf numFmtId="5" fontId="9" fillId="0" borderId="0" xfId="4" applyNumberFormat="1" applyFont="1" applyFill="1"/>
    <xf numFmtId="164" fontId="10" fillId="0" borderId="0" xfId="4" applyNumberFormat="1" applyFont="1" applyFill="1" applyBorder="1" applyAlignment="1">
      <alignment horizontal="center"/>
    </xf>
    <xf numFmtId="5" fontId="10" fillId="0" borderId="0" xfId="4" applyNumberFormat="1" applyFont="1" applyFill="1" applyAlignment="1">
      <alignment horizontal="center"/>
    </xf>
    <xf numFmtId="164" fontId="10" fillId="0" borderId="1" xfId="4" applyNumberFormat="1" applyFont="1" applyFill="1" applyBorder="1" applyAlignment="1">
      <alignment horizontal="centerContinuous"/>
    </xf>
    <xf numFmtId="10" fontId="10" fillId="0" borderId="1" xfId="4" applyNumberFormat="1" applyFont="1" applyFill="1" applyBorder="1" applyAlignment="1">
      <alignment horizontal="centerContinuous"/>
    </xf>
    <xf numFmtId="5" fontId="10" fillId="0" borderId="1" xfId="4" applyNumberFormat="1" applyFont="1" applyFill="1" applyBorder="1" applyAlignment="1">
      <alignment horizontal="centerContinuous"/>
    </xf>
    <xf numFmtId="10" fontId="10" fillId="0" borderId="0" xfId="4" applyNumberFormat="1" applyFont="1" applyFill="1" applyAlignment="1">
      <alignment horizontal="center"/>
    </xf>
    <xf numFmtId="10" fontId="10" fillId="0" borderId="2" xfId="4" applyNumberFormat="1" applyFont="1" applyFill="1" applyBorder="1" applyAlignment="1">
      <alignment horizontal="center"/>
    </xf>
    <xf numFmtId="7" fontId="9" fillId="0" borderId="0" xfId="4" applyNumberFormat="1" applyFont="1" applyFill="1" applyBorder="1" applyProtection="1">
      <protection locked="0"/>
    </xf>
    <xf numFmtId="167" fontId="9" fillId="0" borderId="0" xfId="4" applyNumberFormat="1" applyFont="1" applyFill="1" applyProtection="1">
      <protection locked="0"/>
    </xf>
    <xf numFmtId="0" fontId="9" fillId="0" borderId="0" xfId="0" applyFont="1" applyBorder="1"/>
    <xf numFmtId="10" fontId="9" fillId="0" borderId="0" xfId="3" applyNumberFormat="1" applyFont="1" applyBorder="1"/>
    <xf numFmtId="168" fontId="9" fillId="0" borderId="0" xfId="4" applyNumberFormat="1" applyFont="1" applyFill="1" applyProtection="1">
      <protection locked="0"/>
    </xf>
    <xf numFmtId="7" fontId="9" fillId="0" borderId="0" xfId="4" applyNumberFormat="1" applyFont="1" applyFill="1" applyProtection="1"/>
    <xf numFmtId="10" fontId="9" fillId="0" borderId="0" xfId="4" applyNumberFormat="1" applyFont="1" applyFill="1" applyProtection="1"/>
    <xf numFmtId="10" fontId="9" fillId="0" borderId="11" xfId="4" applyNumberFormat="1" applyFont="1" applyFill="1" applyBorder="1"/>
    <xf numFmtId="10" fontId="9" fillId="0" borderId="0" xfId="3" applyNumberFormat="1" applyFont="1" applyFill="1"/>
    <xf numFmtId="10" fontId="9" fillId="0" borderId="0" xfId="3" applyNumberFormat="1" applyFont="1" applyFill="1" applyBorder="1"/>
    <xf numFmtId="168" fontId="9" fillId="0" borderId="0" xfId="4" applyNumberFormat="1" applyFont="1" applyFill="1" applyBorder="1" applyProtection="1">
      <protection locked="0"/>
    </xf>
    <xf numFmtId="10" fontId="9" fillId="0" borderId="0" xfId="4" applyNumberFormat="1" applyFont="1" applyFill="1" applyBorder="1" applyProtection="1">
      <protection locked="0"/>
    </xf>
    <xf numFmtId="171" fontId="9" fillId="0" borderId="0" xfId="4" applyNumberFormat="1" applyFont="1" applyFill="1" applyProtection="1">
      <protection locked="0"/>
    </xf>
    <xf numFmtId="10" fontId="9" fillId="0" borderId="12" xfId="4" applyNumberFormat="1" applyFont="1" applyFill="1" applyBorder="1"/>
    <xf numFmtId="168" fontId="9" fillId="0" borderId="12" xfId="4" applyNumberFormat="1" applyFont="1" applyFill="1" applyBorder="1" applyProtection="1"/>
    <xf numFmtId="168" fontId="9" fillId="0" borderId="0" xfId="4" applyNumberFormat="1" applyFont="1" applyFill="1" applyBorder="1" applyProtection="1"/>
    <xf numFmtId="10" fontId="9" fillId="0" borderId="1" xfId="4" applyNumberFormat="1" applyFont="1" applyFill="1" applyBorder="1"/>
    <xf numFmtId="169" fontId="9" fillId="0" borderId="0" xfId="4" applyNumberFormat="1" applyFont="1" applyFill="1" applyProtection="1">
      <protection locked="0"/>
    </xf>
    <xf numFmtId="164" fontId="9" fillId="0" borderId="0" xfId="4" applyNumberFormat="1" applyFont="1" applyFill="1" applyProtection="1">
      <protection locked="0"/>
    </xf>
    <xf numFmtId="171" fontId="9" fillId="0" borderId="0" xfId="4" applyNumberFormat="1" applyFont="1" applyFill="1" applyProtection="1"/>
    <xf numFmtId="10" fontId="9" fillId="0" borderId="2" xfId="4" applyNumberFormat="1" applyFont="1" applyFill="1" applyBorder="1"/>
    <xf numFmtId="10" fontId="9" fillId="0" borderId="0" xfId="4" applyNumberFormat="1" applyFont="1" applyFill="1" applyBorder="1" applyProtection="1"/>
    <xf numFmtId="165" fontId="9" fillId="0" borderId="0" xfId="1" applyNumberFormat="1" applyFont="1" applyFill="1" applyBorder="1"/>
    <xf numFmtId="10" fontId="9" fillId="0" borderId="12" xfId="1" applyNumberFormat="1" applyFont="1" applyFill="1" applyBorder="1"/>
    <xf numFmtId="172" fontId="9" fillId="0" borderId="0" xfId="1" applyNumberFormat="1" applyFont="1" applyFill="1" applyBorder="1" applyProtection="1">
      <protection locked="0"/>
    </xf>
    <xf numFmtId="10" fontId="9" fillId="0" borderId="0" xfId="1" applyNumberFormat="1" applyFont="1" applyFill="1" applyBorder="1" applyProtection="1">
      <protection locked="0"/>
    </xf>
    <xf numFmtId="10" fontId="9" fillId="0" borderId="0" xfId="4" applyNumberFormat="1" applyFont="1" applyFill="1" applyBorder="1"/>
    <xf numFmtId="172" fontId="9" fillId="0" borderId="0" xfId="1" applyNumberFormat="1" applyFont="1" applyFill="1" applyProtection="1">
      <protection locked="0"/>
    </xf>
    <xf numFmtId="10" fontId="9" fillId="0" borderId="0" xfId="1" applyNumberFormat="1" applyFont="1" applyFill="1" applyProtection="1">
      <protection locked="0"/>
    </xf>
    <xf numFmtId="176" fontId="9" fillId="0" borderId="0" xfId="4" applyNumberFormat="1" applyFont="1" applyFill="1" applyProtection="1">
      <protection locked="0"/>
    </xf>
    <xf numFmtId="176" fontId="9" fillId="0" borderId="0" xfId="4" applyNumberFormat="1" applyFont="1" applyFill="1" applyBorder="1" applyProtection="1">
      <protection locked="0"/>
    </xf>
    <xf numFmtId="176" fontId="9" fillId="0" borderId="0" xfId="4" applyNumberFormat="1" applyFont="1" applyFill="1" applyBorder="1" applyProtection="1"/>
    <xf numFmtId="164" fontId="9" fillId="0" borderId="0" xfId="4" applyNumberFormat="1" applyFont="1" applyFill="1" applyProtection="1"/>
    <xf numFmtId="164" fontId="9" fillId="0" borderId="0" xfId="4" applyNumberFormat="1" applyFont="1" applyFill="1" applyBorder="1" applyProtection="1"/>
    <xf numFmtId="172" fontId="9" fillId="0" borderId="0" xfId="1" applyNumberFormat="1" applyFont="1" applyFill="1" applyProtection="1"/>
    <xf numFmtId="172" fontId="9" fillId="0" borderId="0" xfId="1" applyNumberFormat="1" applyFont="1" applyFill="1" applyBorder="1" applyProtection="1"/>
    <xf numFmtId="168" fontId="9" fillId="0" borderId="11" xfId="4" applyNumberFormat="1" applyFont="1" applyFill="1" applyBorder="1" applyProtection="1"/>
    <xf numFmtId="164" fontId="9" fillId="0" borderId="0" xfId="4" applyNumberFormat="1" applyFont="1" applyFill="1" applyBorder="1" applyProtection="1">
      <protection locked="0"/>
    </xf>
    <xf numFmtId="3" fontId="5" fillId="0" borderId="0" xfId="4" applyNumberFormat="1" applyBorder="1" applyAlignment="1">
      <alignment horizontal="centerContinuous"/>
    </xf>
    <xf numFmtId="3" fontId="5" fillId="0" borderId="0" xfId="4" applyNumberFormat="1" applyBorder="1" applyAlignment="1">
      <alignment horizontal="center"/>
    </xf>
    <xf numFmtId="10" fontId="9" fillId="0" borderId="3" xfId="4" applyNumberFormat="1" applyFont="1" applyFill="1" applyBorder="1" applyAlignment="1">
      <alignment horizontal="right"/>
    </xf>
    <xf numFmtId="164" fontId="13" fillId="0" borderId="4" xfId="4" applyNumberFormat="1" applyFont="1" applyFill="1" applyBorder="1"/>
    <xf numFmtId="164" fontId="7" fillId="0" borderId="0" xfId="5" applyFont="1" applyFill="1" applyAlignment="1">
      <alignment horizontal="centerContinuous"/>
    </xf>
    <xf numFmtId="164" fontId="5" fillId="0" borderId="0" xfId="5" applyFill="1" applyAlignment="1">
      <alignment horizontal="centerContinuous"/>
    </xf>
    <xf numFmtId="164" fontId="5" fillId="0" borderId="0" xfId="5"/>
    <xf numFmtId="164" fontId="5" fillId="0" borderId="0" xfId="5" applyAlignment="1">
      <alignment horizontal="centerContinuous"/>
    </xf>
    <xf numFmtId="164" fontId="5" fillId="0" borderId="0" xfId="5" applyFill="1"/>
    <xf numFmtId="164" fontId="7" fillId="0" borderId="0" xfId="5" applyFont="1" applyAlignment="1">
      <alignment horizontal="center"/>
    </xf>
    <xf numFmtId="164" fontId="7" fillId="0" borderId="1" xfId="5" applyFont="1" applyBorder="1" applyAlignment="1">
      <alignment horizontal="center"/>
    </xf>
    <xf numFmtId="164" fontId="7" fillId="0" borderId="0" xfId="5" applyFont="1" applyFill="1"/>
    <xf numFmtId="164" fontId="5" fillId="0" borderId="0" xfId="5" applyFont="1" applyAlignment="1">
      <alignment horizontal="right"/>
    </xf>
    <xf numFmtId="164" fontId="5" fillId="0" borderId="0" xfId="5" applyAlignment="1">
      <alignment horizontal="right"/>
    </xf>
    <xf numFmtId="164" fontId="5" fillId="0" borderId="0" xfId="5" applyFont="1"/>
    <xf numFmtId="164" fontId="5" fillId="0" borderId="0" xfId="5" applyBorder="1" applyAlignment="1">
      <alignment horizontal="right"/>
    </xf>
    <xf numFmtId="176" fontId="5" fillId="0" borderId="0" xfId="2" applyNumberFormat="1" applyFont="1" applyFill="1"/>
    <xf numFmtId="164" fontId="5" fillId="0" borderId="0" xfId="5" quotePrefix="1" applyAlignment="1">
      <alignment horizontal="right"/>
    </xf>
    <xf numFmtId="164" fontId="15" fillId="0" borderId="0" xfId="5" applyFont="1"/>
    <xf numFmtId="164" fontId="5" fillId="0" borderId="0" xfId="5" applyBorder="1"/>
    <xf numFmtId="164" fontId="5" fillId="0" borderId="0" xfId="5" applyFill="1" applyBorder="1"/>
    <xf numFmtId="164" fontId="5" fillId="0" borderId="0" xfId="4"/>
    <xf numFmtId="164" fontId="8" fillId="0" borderId="0" xfId="4" applyFont="1" applyFill="1"/>
    <xf numFmtId="164" fontId="5" fillId="0" borderId="0" xfId="4" applyBorder="1"/>
    <xf numFmtId="164" fontId="15" fillId="0" borderId="0" xfId="4" applyFont="1"/>
    <xf numFmtId="164" fontId="5" fillId="0" borderId="0" xfId="4" applyFont="1"/>
    <xf numFmtId="164" fontId="8" fillId="0" borderId="0" xfId="4" applyFont="1"/>
    <xf numFmtId="164" fontId="6" fillId="0" borderId="0" xfId="4" applyFont="1" applyFill="1" applyAlignment="1">
      <alignment horizontal="centerContinuous"/>
    </xf>
    <xf numFmtId="164" fontId="6" fillId="0" borderId="0" xfId="4" applyFont="1" applyFill="1" applyBorder="1" applyAlignment="1">
      <alignment horizontal="centerContinuous"/>
    </xf>
    <xf numFmtId="164" fontId="9" fillId="0" borderId="0" xfId="4" applyFont="1" applyFill="1" applyBorder="1"/>
    <xf numFmtId="164" fontId="9" fillId="0" borderId="0" xfId="4" applyFont="1" applyFill="1"/>
    <xf numFmtId="164" fontId="10" fillId="0" borderId="1" xfId="4" applyFont="1" applyFill="1" applyBorder="1" applyAlignment="1">
      <alignment horizontal="centerContinuous"/>
    </xf>
    <xf numFmtId="164" fontId="10" fillId="0" borderId="0" xfId="4" applyFont="1" applyFill="1" applyAlignment="1">
      <alignment horizontal="center"/>
    </xf>
    <xf numFmtId="164" fontId="10" fillId="0" borderId="2" xfId="4" applyFont="1" applyFill="1" applyBorder="1" applyAlignment="1">
      <alignment horizontal="center"/>
    </xf>
    <xf numFmtId="164" fontId="39" fillId="0" borderId="0" xfId="4" applyFont="1" applyFill="1" applyBorder="1"/>
    <xf numFmtId="164" fontId="9" fillId="0" borderId="11" xfId="4" applyFont="1" applyFill="1" applyBorder="1"/>
    <xf numFmtId="164" fontId="9" fillId="0" borderId="12" xfId="4" applyFont="1" applyFill="1" applyBorder="1"/>
    <xf numFmtId="164" fontId="9" fillId="0" borderId="1" xfId="4" applyFont="1" applyFill="1" applyBorder="1"/>
    <xf numFmtId="164" fontId="9" fillId="0" borderId="2" xfId="4" applyFont="1" applyFill="1" applyBorder="1"/>
    <xf numFmtId="171" fontId="9" fillId="0" borderId="0" xfId="4" applyNumberFormat="1" applyFont="1" applyFill="1" applyBorder="1" applyProtection="1"/>
    <xf numFmtId="10" fontId="9" fillId="0" borderId="0" xfId="1" applyNumberFormat="1" applyFont="1" applyFill="1" applyBorder="1"/>
    <xf numFmtId="164" fontId="7" fillId="0" borderId="0" xfId="5" applyFont="1" applyFill="1" applyAlignment="1">
      <alignment horizontal="left"/>
    </xf>
    <xf numFmtId="164" fontId="5" fillId="0" borderId="0" xfId="5" applyFill="1" applyBorder="1" applyAlignment="1">
      <alignment horizontal="centerContinuous"/>
    </xf>
    <xf numFmtId="5" fontId="9" fillId="0" borderId="11" xfId="2" applyNumberFormat="1" applyFont="1" applyFill="1" applyBorder="1"/>
    <xf numFmtId="164" fontId="7" fillId="0" borderId="1" xfId="5" applyFont="1" applyBorder="1" applyAlignment="1">
      <alignment horizontal="centerContinuous"/>
    </xf>
    <xf numFmtId="164" fontId="9" fillId="0" borderId="0" xfId="5" applyFont="1"/>
    <xf numFmtId="164" fontId="9" fillId="0" borderId="0" xfId="5" applyFont="1" applyFill="1" applyAlignment="1">
      <alignment horizontal="centerContinuous"/>
    </xf>
    <xf numFmtId="164" fontId="9" fillId="0" borderId="0" xfId="5" applyFont="1" applyFill="1" applyBorder="1" applyAlignment="1">
      <alignment horizontal="centerContinuous"/>
    </xf>
    <xf numFmtId="164" fontId="10" fillId="0" borderId="0" xfId="5" applyFont="1" applyFill="1" applyBorder="1" applyAlignment="1">
      <alignment horizontal="centerContinuous"/>
    </xf>
    <xf numFmtId="164" fontId="10" fillId="0" borderId="1" xfId="5" quotePrefix="1" applyFont="1" applyFill="1" applyBorder="1" applyAlignment="1">
      <alignment horizontal="center"/>
    </xf>
    <xf numFmtId="164" fontId="10" fillId="0" borderId="0" xfId="5" applyFont="1" applyFill="1" applyAlignment="1">
      <alignment horizontal="center"/>
    </xf>
    <xf numFmtId="164" fontId="9" fillId="0" borderId="0" xfId="5" applyFont="1" applyFill="1"/>
    <xf numFmtId="5" fontId="9" fillId="0" borderId="0" xfId="2" applyNumberFormat="1" applyFont="1" applyFill="1"/>
    <xf numFmtId="5" fontId="9" fillId="0" borderId="1" xfId="2" applyNumberFormat="1" applyFont="1" applyFill="1" applyBorder="1"/>
    <xf numFmtId="166" fontId="9" fillId="0" borderId="0" xfId="2" applyNumberFormat="1" applyFont="1" applyFill="1"/>
    <xf numFmtId="166" fontId="9" fillId="0" borderId="1" xfId="2" applyNumberFormat="1" applyFont="1" applyFill="1" applyBorder="1"/>
    <xf numFmtId="166" fontId="9" fillId="0" borderId="0" xfId="2" applyNumberFormat="1" applyFont="1" applyFill="1" applyBorder="1"/>
    <xf numFmtId="166" fontId="9" fillId="0" borderId="11" xfId="2" applyNumberFormat="1" applyFont="1" applyFill="1" applyBorder="1"/>
    <xf numFmtId="164" fontId="9" fillId="0" borderId="0" xfId="4" applyFont="1" applyFill="1" applyAlignment="1">
      <alignment horizontal="centerContinuous"/>
    </xf>
    <xf numFmtId="164" fontId="10" fillId="0" borderId="0" xfId="4" applyFont="1" applyFill="1" applyBorder="1" applyAlignment="1">
      <alignment horizontal="center"/>
    </xf>
    <xf numFmtId="164" fontId="9" fillId="0" borderId="0" xfId="4" applyFont="1" applyFill="1" applyAlignment="1">
      <alignment horizontal="left"/>
    </xf>
    <xf numFmtId="5" fontId="39" fillId="0" borderId="0" xfId="4" applyNumberFormat="1" applyFont="1" applyFill="1" applyProtection="1"/>
    <xf numFmtId="164" fontId="9" fillId="0" borderId="0" xfId="4" applyFont="1" applyFill="1" applyBorder="1" applyAlignment="1">
      <alignment horizontal="left"/>
    </xf>
    <xf numFmtId="164" fontId="9" fillId="0" borderId="0" xfId="4" applyFont="1"/>
    <xf numFmtId="164" fontId="9" fillId="0" borderId="0" xfId="4" applyFont="1" applyBorder="1"/>
    <xf numFmtId="180" fontId="11" fillId="0" borderId="0" xfId="186" applyFont="1" applyFill="1"/>
    <xf numFmtId="180" fontId="40" fillId="0" borderId="0" xfId="186" applyFont="1" applyFill="1" applyAlignment="1">
      <alignment horizontal="center"/>
    </xf>
    <xf numFmtId="180" fontId="11" fillId="0" borderId="0" xfId="186" applyFont="1" applyFill="1" applyAlignment="1">
      <alignment horizontal="centerContinuous"/>
    </xf>
    <xf numFmtId="173" fontId="11" fillId="0" borderId="0" xfId="186" applyNumberFormat="1" applyFont="1" applyFill="1"/>
    <xf numFmtId="180" fontId="40" fillId="0" borderId="0" xfId="186" applyFont="1" applyFill="1"/>
    <xf numFmtId="180" fontId="11" fillId="0" borderId="0" xfId="186" applyFont="1" applyFill="1" applyAlignment="1">
      <alignment horizontal="center"/>
    </xf>
    <xf numFmtId="10" fontId="13" fillId="0" borderId="0" xfId="4" applyNumberFormat="1" applyFont="1" applyFill="1"/>
    <xf numFmtId="164" fontId="13" fillId="0" borderId="0" xfId="5" applyFont="1" applyFill="1" applyBorder="1"/>
    <xf numFmtId="3" fontId="48" fillId="0" borderId="0" xfId="214" applyNumberFormat="1" applyFont="1" applyAlignment="1">
      <alignment horizontal="centerContinuous"/>
    </xf>
    <xf numFmtId="0" fontId="49" fillId="0" borderId="0" xfId="214" applyFont="1" applyAlignment="1">
      <alignment horizontal="centerContinuous"/>
    </xf>
    <xf numFmtId="178" fontId="49" fillId="0" borderId="0" xfId="214" applyNumberFormat="1" applyFont="1" applyAlignment="1">
      <alignment horizontal="centerContinuous"/>
    </xf>
    <xf numFmtId="7" fontId="49" fillId="0" borderId="0" xfId="214" applyNumberFormat="1" applyFont="1" applyAlignment="1">
      <alignment horizontal="centerContinuous"/>
    </xf>
    <xf numFmtId="0" fontId="49" fillId="0" borderId="0" xfId="214" applyFont="1" applyBorder="1" applyAlignment="1">
      <alignment horizontal="centerContinuous"/>
    </xf>
    <xf numFmtId="0" fontId="49" fillId="0" borderId="0" xfId="214" applyFont="1" applyBorder="1"/>
    <xf numFmtId="164" fontId="7" fillId="0" borderId="0" xfId="4" applyFont="1" applyFill="1" applyBorder="1" applyAlignment="1">
      <alignment horizontal="right"/>
    </xf>
    <xf numFmtId="9" fontId="7" fillId="0" borderId="0" xfId="4" applyNumberFormat="1" applyFont="1" applyBorder="1" applyAlignment="1">
      <alignment horizontal="right"/>
    </xf>
    <xf numFmtId="0" fontId="49" fillId="0" borderId="0" xfId="214" applyFont="1"/>
    <xf numFmtId="10" fontId="7" fillId="0" borderId="0" xfId="4" applyNumberFormat="1" applyFont="1" applyBorder="1" applyAlignment="1">
      <alignment horizontal="right"/>
    </xf>
    <xf numFmtId="164" fontId="7" fillId="0" borderId="0" xfId="4" applyFont="1" applyFill="1" applyBorder="1"/>
    <xf numFmtId="165" fontId="7" fillId="0" borderId="0" xfId="4" applyNumberFormat="1" applyFont="1" applyBorder="1"/>
    <xf numFmtId="3" fontId="50" fillId="0" borderId="0" xfId="214" applyNumberFormat="1" applyFont="1" applyBorder="1" applyAlignment="1">
      <alignment horizontal="left"/>
    </xf>
    <xf numFmtId="178" fontId="49" fillId="0" borderId="0" xfId="214" applyNumberFormat="1" applyFont="1" applyBorder="1"/>
    <xf numFmtId="0" fontId="51" fillId="0" borderId="0" xfId="214" applyFont="1" applyBorder="1" applyAlignment="1">
      <alignment horizontal="centerContinuous"/>
    </xf>
    <xf numFmtId="178" fontId="51" fillId="0" borderId="0" xfId="214" applyNumberFormat="1" applyFont="1" applyBorder="1" applyAlignment="1">
      <alignment horizontal="centerContinuous"/>
    </xf>
    <xf numFmtId="0" fontId="51" fillId="0" borderId="0" xfId="214" applyFont="1" applyAlignment="1">
      <alignment horizontal="centerContinuous"/>
    </xf>
    <xf numFmtId="178" fontId="51" fillId="0" borderId="0" xfId="214" applyNumberFormat="1" applyFont="1" applyAlignment="1">
      <alignment horizontal="centerContinuous"/>
    </xf>
    <xf numFmtId="3" fontId="49" fillId="0" borderId="0" xfId="214" applyNumberFormat="1" applyFont="1"/>
    <xf numFmtId="178" fontId="49" fillId="0" borderId="0" xfId="214" applyNumberFormat="1" applyFont="1"/>
    <xf numFmtId="178" fontId="49" fillId="0" borderId="0" xfId="214" applyNumberFormat="1" applyFont="1" applyBorder="1" applyAlignment="1">
      <alignment horizontal="centerContinuous"/>
    </xf>
    <xf numFmtId="178" fontId="51" fillId="0" borderId="1" xfId="214" applyNumberFormat="1" applyFont="1" applyBorder="1" applyAlignment="1">
      <alignment horizontal="centerContinuous"/>
    </xf>
    <xf numFmtId="0" fontId="11" fillId="0" borderId="1" xfId="214" applyBorder="1" applyAlignment="1">
      <alignment horizontal="centerContinuous"/>
    </xf>
    <xf numFmtId="178" fontId="49" fillId="0" borderId="1" xfId="214" applyNumberFormat="1" applyFont="1" applyBorder="1" applyAlignment="1">
      <alignment horizontal="centerContinuous"/>
    </xf>
    <xf numFmtId="0" fontId="49" fillId="0" borderId="1" xfId="214" applyFont="1" applyBorder="1" applyAlignment="1">
      <alignment horizontal="centerContinuous"/>
    </xf>
    <xf numFmtId="7" fontId="49" fillId="0" borderId="1" xfId="214" applyNumberFormat="1" applyFont="1" applyBorder="1" applyAlignment="1">
      <alignment horizontal="centerContinuous"/>
    </xf>
    <xf numFmtId="7" fontId="49" fillId="0" borderId="0" xfId="214" applyNumberFormat="1" applyFont="1"/>
    <xf numFmtId="3" fontId="53" fillId="0" borderId="0" xfId="214" applyNumberFormat="1" applyFont="1" applyAlignment="1">
      <alignment horizontal="center"/>
    </xf>
    <xf numFmtId="178" fontId="49" fillId="0" borderId="24" xfId="214" applyNumberFormat="1" applyFont="1" applyBorder="1" applyAlignment="1">
      <alignment horizontal="centerContinuous"/>
    </xf>
    <xf numFmtId="178" fontId="49" fillId="0" borderId="24" xfId="214" applyNumberFormat="1" applyFont="1" applyBorder="1" applyAlignment="1">
      <alignment horizontal="centerContinuous" wrapText="1"/>
    </xf>
    <xf numFmtId="7" fontId="49" fillId="0" borderId="1" xfId="214" applyNumberFormat="1" applyFont="1" applyBorder="1" applyAlignment="1">
      <alignment horizontal="center"/>
    </xf>
    <xf numFmtId="0" fontId="49" fillId="0" borderId="1" xfId="214" applyFont="1" applyBorder="1" applyAlignment="1">
      <alignment horizontal="center"/>
    </xf>
    <xf numFmtId="0" fontId="49" fillId="0" borderId="0" xfId="214" applyFont="1" applyAlignment="1">
      <alignment horizontal="center"/>
    </xf>
    <xf numFmtId="7" fontId="49" fillId="0" borderId="0" xfId="3" applyNumberFormat="1" applyFont="1"/>
    <xf numFmtId="166" fontId="49" fillId="0" borderId="0" xfId="3" applyNumberFormat="1" applyFont="1"/>
    <xf numFmtId="0" fontId="51" fillId="0" borderId="3" xfId="214" applyFont="1" applyBorder="1"/>
    <xf numFmtId="0" fontId="51" fillId="0" borderId="24" xfId="214" applyFont="1" applyBorder="1" applyAlignment="1">
      <alignment horizontal="center"/>
    </xf>
    <xf numFmtId="0" fontId="51" fillId="0" borderId="4" xfId="214" applyFont="1" applyBorder="1" applyAlignment="1">
      <alignment horizontal="center"/>
    </xf>
    <xf numFmtId="39" fontId="49" fillId="0" borderId="0" xfId="214" applyNumberFormat="1" applyFont="1"/>
    <xf numFmtId="0" fontId="54" fillId="0" borderId="8" xfId="214" applyFont="1" applyBorder="1"/>
    <xf numFmtId="0" fontId="49" fillId="0" borderId="7" xfId="214" applyFont="1" applyBorder="1"/>
    <xf numFmtId="0" fontId="49" fillId="0" borderId="8" xfId="214" applyFont="1" applyBorder="1"/>
    <xf numFmtId="7" fontId="55" fillId="0" borderId="0" xfId="214" applyNumberFormat="1" applyFont="1" applyBorder="1"/>
    <xf numFmtId="7" fontId="55" fillId="0" borderId="7" xfId="214" applyNumberFormat="1" applyFont="1" applyBorder="1"/>
    <xf numFmtId="166" fontId="49" fillId="0" borderId="0" xfId="214" applyNumberFormat="1" applyFont="1"/>
    <xf numFmtId="169" fontId="55" fillId="0" borderId="0" xfId="214" applyNumberFormat="1" applyFont="1" applyBorder="1"/>
    <xf numFmtId="169" fontId="55" fillId="0" borderId="7" xfId="214" applyNumberFormat="1" applyFont="1" applyBorder="1"/>
    <xf numFmtId="10" fontId="55" fillId="0" borderId="0" xfId="3" applyNumberFormat="1" applyFont="1" applyBorder="1"/>
    <xf numFmtId="7" fontId="49" fillId="0" borderId="0" xfId="214" applyNumberFormat="1" applyFont="1" applyBorder="1"/>
    <xf numFmtId="7" fontId="49" fillId="0" borderId="7" xfId="214" applyNumberFormat="1" applyFont="1" applyBorder="1"/>
    <xf numFmtId="185" fontId="56" fillId="0" borderId="0" xfId="214" applyNumberFormat="1" applyFont="1" applyBorder="1"/>
    <xf numFmtId="185" fontId="56" fillId="0" borderId="7" xfId="214" applyNumberFormat="1" applyFont="1" applyBorder="1"/>
    <xf numFmtId="0" fontId="49" fillId="0" borderId="9" xfId="214" applyFont="1" applyBorder="1"/>
    <xf numFmtId="10" fontId="49" fillId="0" borderId="1" xfId="3" applyNumberFormat="1" applyFont="1" applyBorder="1"/>
    <xf numFmtId="10" fontId="49" fillId="0" borderId="10" xfId="3" applyNumberFormat="1" applyFont="1" applyBorder="1"/>
    <xf numFmtId="10" fontId="56" fillId="0" borderId="0" xfId="214" applyNumberFormat="1" applyFont="1" applyBorder="1"/>
    <xf numFmtId="10" fontId="56" fillId="0" borderId="0" xfId="214" applyNumberFormat="1" applyFont="1"/>
    <xf numFmtId="10" fontId="49" fillId="0" borderId="0" xfId="214" applyNumberFormat="1" applyFont="1"/>
    <xf numFmtId="9" fontId="49" fillId="0" borderId="0" xfId="214" applyNumberFormat="1" applyFont="1"/>
    <xf numFmtId="3" fontId="52" fillId="0" borderId="0" xfId="214" applyNumberFormat="1" applyFont="1"/>
    <xf numFmtId="0" fontId="49" fillId="0" borderId="5" xfId="214" applyFont="1" applyBorder="1" applyAlignment="1">
      <alignment horizontal="centerContinuous"/>
    </xf>
    <xf numFmtId="0" fontId="49" fillId="0" borderId="23" xfId="214" applyFont="1" applyBorder="1" applyAlignment="1">
      <alignment horizontal="centerContinuous"/>
    </xf>
    <xf numFmtId="0" fontId="49" fillId="0" borderId="3" xfId="214" applyFont="1" applyBorder="1" applyAlignment="1">
      <alignment horizontal="centerContinuous"/>
    </xf>
    <xf numFmtId="0" fontId="49" fillId="0" borderId="4" xfId="214" applyFont="1" applyBorder="1" applyAlignment="1">
      <alignment horizontal="centerContinuous"/>
    </xf>
    <xf numFmtId="0" fontId="49" fillId="0" borderId="22" xfId="214" applyFont="1" applyBorder="1" applyAlignment="1">
      <alignment horizontal="centerContinuous"/>
    </xf>
    <xf numFmtId="0" fontId="49" fillId="0" borderId="3" xfId="214" applyFont="1" applyBorder="1" applyAlignment="1">
      <alignment horizontal="center"/>
    </xf>
    <xf numFmtId="0" fontId="49" fillId="0" borderId="9" xfId="214" applyFont="1" applyBorder="1" applyAlignment="1">
      <alignment horizontal="center"/>
    </xf>
    <xf numFmtId="0" fontId="49" fillId="0" borderId="26" xfId="214" applyFont="1" applyBorder="1" applyAlignment="1">
      <alignment horizontal="center"/>
    </xf>
    <xf numFmtId="0" fontId="49" fillId="0" borderId="22" xfId="214" applyFont="1" applyBorder="1" applyAlignment="1">
      <alignment horizontal="center"/>
    </xf>
    <xf numFmtId="0" fontId="49" fillId="0" borderId="27" xfId="214" applyFont="1" applyBorder="1"/>
    <xf numFmtId="1" fontId="49" fillId="0" borderId="0" xfId="214" applyNumberFormat="1" applyFont="1" applyBorder="1"/>
    <xf numFmtId="178" fontId="49" fillId="0" borderId="8" xfId="214" applyNumberFormat="1" applyFont="1" applyBorder="1"/>
    <xf numFmtId="166" fontId="49" fillId="0" borderId="27" xfId="3" applyNumberFormat="1" applyFont="1" applyBorder="1"/>
    <xf numFmtId="0" fontId="49" fillId="0" borderId="28" xfId="214" applyFont="1" applyBorder="1"/>
    <xf numFmtId="166" fontId="49" fillId="0" borderId="28" xfId="3" applyNumberFormat="1" applyFont="1" applyBorder="1"/>
    <xf numFmtId="2" fontId="49" fillId="0" borderId="28" xfId="214" applyNumberFormat="1" applyFont="1" applyBorder="1"/>
    <xf numFmtId="3" fontId="49" fillId="0" borderId="0" xfId="214" applyNumberFormat="1" applyFont="1" applyBorder="1"/>
    <xf numFmtId="0" fontId="11" fillId="0" borderId="0" xfId="214" applyBorder="1" applyAlignment="1">
      <alignment horizontal="centerContinuous"/>
    </xf>
    <xf numFmtId="7" fontId="49" fillId="0" borderId="0" xfId="214" applyNumberFormat="1" applyFont="1" applyBorder="1" applyAlignment="1">
      <alignment horizontal="centerContinuous"/>
    </xf>
    <xf numFmtId="3" fontId="53" fillId="0" borderId="0" xfId="214" applyNumberFormat="1" applyFont="1" applyBorder="1" applyAlignment="1">
      <alignment horizontal="center"/>
    </xf>
    <xf numFmtId="178" fontId="49" fillId="0" borderId="0" xfId="214" applyNumberFormat="1" applyFont="1" applyBorder="1" applyAlignment="1">
      <alignment horizontal="centerContinuous" wrapText="1"/>
    </xf>
    <xf numFmtId="7" fontId="49" fillId="0" borderId="0" xfId="214" applyNumberFormat="1" applyFont="1" applyBorder="1" applyAlignment="1">
      <alignment horizontal="center"/>
    </xf>
    <xf numFmtId="0" fontId="49" fillId="0" borderId="0" xfId="214" applyFont="1" applyBorder="1" applyAlignment="1">
      <alignment horizontal="center"/>
    </xf>
    <xf numFmtId="166" fontId="49" fillId="0" borderId="0" xfId="3" applyNumberFormat="1" applyFont="1" applyBorder="1"/>
    <xf numFmtId="7" fontId="49" fillId="0" borderId="0" xfId="3" applyNumberFormat="1" applyFont="1" applyBorder="1"/>
    <xf numFmtId="0" fontId="49" fillId="27" borderId="26" xfId="214" applyFont="1" applyFill="1" applyBorder="1"/>
    <xf numFmtId="3" fontId="49" fillId="27" borderId="1" xfId="214" applyNumberFormat="1" applyFont="1" applyFill="1" applyBorder="1"/>
    <xf numFmtId="178" fontId="49" fillId="27" borderId="9" xfId="214" applyNumberFormat="1" applyFont="1" applyFill="1" applyBorder="1"/>
    <xf numFmtId="166" fontId="49" fillId="27" borderId="26" xfId="3" applyNumberFormat="1" applyFont="1" applyFill="1" applyBorder="1"/>
    <xf numFmtId="164" fontId="7" fillId="0" borderId="0" xfId="5" applyNumberFormat="1" applyFont="1" applyAlignment="1">
      <alignment horizontal="centerContinuous"/>
    </xf>
    <xf numFmtId="164" fontId="7" fillId="0" borderId="0" xfId="5" applyNumberFormat="1" applyFont="1" applyFill="1" applyAlignment="1">
      <alignment horizontal="centerContinuous"/>
    </xf>
    <xf numFmtId="164" fontId="5" fillId="0" borderId="0" xfId="5" applyNumberFormat="1" applyFill="1" applyAlignment="1">
      <alignment horizontal="centerContinuous"/>
    </xf>
    <xf numFmtId="166" fontId="5" fillId="0" borderId="0" xfId="5" applyNumberFormat="1" applyFill="1" applyAlignment="1">
      <alignment horizontal="centerContinuous"/>
    </xf>
    <xf numFmtId="164" fontId="5" fillId="0" borderId="0" xfId="5" applyNumberFormat="1"/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Continuous"/>
    </xf>
    <xf numFmtId="164" fontId="5" fillId="0" borderId="0" xfId="5" applyNumberFormat="1" applyAlignment="1">
      <alignment horizontal="centerContinuous"/>
    </xf>
    <xf numFmtId="166" fontId="5" fillId="0" borderId="0" xfId="5" applyNumberFormat="1" applyAlignment="1">
      <alignment horizontal="centerContinuous"/>
    </xf>
    <xf numFmtId="164" fontId="7" fillId="0" borderId="0" xfId="5" applyNumberFormat="1" applyFont="1" applyFill="1" applyBorder="1" applyAlignment="1">
      <alignment horizontal="left"/>
    </xf>
    <xf numFmtId="164" fontId="7" fillId="0" borderId="0" xfId="5" applyNumberFormat="1" applyFont="1" applyFill="1" applyAlignment="1">
      <alignment horizontal="center"/>
    </xf>
    <xf numFmtId="164" fontId="5" fillId="0" borderId="0" xfId="5" applyNumberFormat="1" applyFill="1"/>
    <xf numFmtId="166" fontId="5" fillId="0" borderId="0" xfId="5" applyNumberFormat="1" applyFill="1"/>
    <xf numFmtId="164" fontId="7" fillId="0" borderId="0" xfId="5" applyNumberFormat="1" applyFont="1" applyAlignment="1">
      <alignment horizontal="center"/>
    </xf>
    <xf numFmtId="164" fontId="7" fillId="0" borderId="1" xfId="5" applyFont="1" applyFill="1" applyBorder="1" applyAlignment="1">
      <alignment horizontal="centerContinuous"/>
    </xf>
    <xf numFmtId="166" fontId="7" fillId="0" borderId="1" xfId="5" applyNumberFormat="1" applyFont="1" applyFill="1" applyBorder="1" applyAlignment="1">
      <alignment horizontal="centerContinuous"/>
    </xf>
    <xf numFmtId="164" fontId="7" fillId="0" borderId="0" xfId="5" applyNumberFormat="1" applyFont="1"/>
    <xf numFmtId="164" fontId="7" fillId="0" borderId="0" xfId="5" applyNumberFormat="1" applyFont="1" applyFill="1" applyBorder="1" applyAlignment="1">
      <alignment horizontal="center"/>
    </xf>
    <xf numFmtId="164" fontId="7" fillId="0" borderId="1" xfId="5" applyNumberFormat="1" applyFont="1" applyBorder="1" applyAlignment="1">
      <alignment horizontal="center"/>
    </xf>
    <xf numFmtId="164" fontId="7" fillId="0" borderId="1" xfId="5" applyNumberFormat="1" applyFont="1" applyFill="1" applyBorder="1" applyAlignment="1">
      <alignment horizontal="center"/>
    </xf>
    <xf numFmtId="166" fontId="7" fillId="0" borderId="1" xfId="5" applyNumberFormat="1" applyFont="1" applyFill="1" applyBorder="1" applyAlignment="1">
      <alignment horizontal="center"/>
    </xf>
    <xf numFmtId="164" fontId="7" fillId="0" borderId="0" xfId="5" applyNumberFormat="1" applyFont="1" applyFill="1"/>
    <xf numFmtId="166" fontId="7" fillId="0" borderId="0" xfId="5" applyNumberFormat="1" applyFont="1" applyFill="1" applyAlignment="1">
      <alignment horizontal="center"/>
    </xf>
    <xf numFmtId="164" fontId="5" fillId="0" borderId="0" xfId="5" applyNumberFormat="1" applyFont="1" applyAlignment="1">
      <alignment horizontal="right"/>
    </xf>
    <xf numFmtId="166" fontId="5" fillId="0" borderId="0" xfId="2" applyNumberFormat="1" applyFont="1" applyFill="1"/>
    <xf numFmtId="164" fontId="5" fillId="0" borderId="0" xfId="5" applyNumberFormat="1" applyFont="1"/>
    <xf numFmtId="164" fontId="5" fillId="0" borderId="0" xfId="5" applyNumberFormat="1" applyBorder="1" applyAlignment="1">
      <alignment horizontal="right"/>
    </xf>
    <xf numFmtId="164" fontId="5" fillId="0" borderId="1" xfId="5" applyNumberFormat="1" applyFill="1" applyBorder="1" applyAlignment="1">
      <alignment horizontal="right"/>
    </xf>
    <xf numFmtId="166" fontId="5" fillId="0" borderId="1" xfId="2" applyNumberFormat="1" applyFont="1" applyFill="1" applyBorder="1"/>
    <xf numFmtId="164" fontId="5" fillId="0" borderId="0" xfId="5" quotePrefix="1" applyNumberFormat="1" applyAlignment="1">
      <alignment horizontal="right"/>
    </xf>
    <xf numFmtId="164" fontId="5" fillId="0" borderId="0" xfId="5" applyNumberFormat="1" applyAlignment="1">
      <alignment horizontal="right"/>
    </xf>
    <xf numFmtId="173" fontId="5" fillId="0" borderId="1" xfId="1" applyNumberFormat="1" applyFont="1" applyFill="1" applyBorder="1"/>
    <xf numFmtId="164" fontId="15" fillId="0" borderId="0" xfId="5" applyNumberFormat="1" applyFont="1"/>
    <xf numFmtId="164" fontId="5" fillId="0" borderId="0" xfId="5" quotePrefix="1" applyNumberFormat="1" applyFont="1" applyAlignment="1">
      <alignment horizontal="right"/>
    </xf>
    <xf numFmtId="3" fontId="5" fillId="0" borderId="0" xfId="5" applyNumberFormat="1" applyFill="1"/>
    <xf numFmtId="164" fontId="5" fillId="0" borderId="0" xfId="5" applyNumberFormat="1" applyBorder="1"/>
    <xf numFmtId="164" fontId="5" fillId="0" borderId="0" xfId="5" applyNumberFormat="1" applyFill="1" applyBorder="1"/>
    <xf numFmtId="173" fontId="5" fillId="0" borderId="0" xfId="1" applyNumberFormat="1" applyFont="1" applyFill="1" applyBorder="1"/>
    <xf numFmtId="166" fontId="5" fillId="0" borderId="0" xfId="2" applyNumberFormat="1" applyFont="1" applyFill="1" applyBorder="1"/>
    <xf numFmtId="173" fontId="5" fillId="0" borderId="1" xfId="1" applyNumberFormat="1" applyFont="1" applyFill="1" applyBorder="1" applyAlignment="1">
      <alignment horizontal="right"/>
    </xf>
    <xf numFmtId="173" fontId="5" fillId="0" borderId="11" xfId="1" applyNumberFormat="1" applyFont="1" applyFill="1" applyBorder="1"/>
    <xf numFmtId="166" fontId="5" fillId="0" borderId="11" xfId="2" applyNumberFormat="1" applyFont="1" applyFill="1" applyBorder="1"/>
    <xf numFmtId="164" fontId="5" fillId="0" borderId="1" xfId="5" applyFill="1" applyBorder="1" applyAlignment="1">
      <alignment horizontal="right"/>
    </xf>
    <xf numFmtId="166" fontId="7" fillId="0" borderId="0" xfId="5" applyNumberFormat="1" applyFont="1" applyFill="1" applyAlignment="1">
      <alignment horizontal="centerContinuous"/>
    </xf>
    <xf numFmtId="166" fontId="7" fillId="0" borderId="0" xfId="0" quotePrefix="1" applyNumberFormat="1" applyFont="1" applyAlignment="1">
      <alignment horizontal="centerContinuous"/>
    </xf>
    <xf numFmtId="7" fontId="5" fillId="0" borderId="0" xfId="2" applyNumberFormat="1" applyFont="1" applyFill="1"/>
    <xf numFmtId="164" fontId="9" fillId="0" borderId="0" xfId="4" applyFont="1" applyFill="1" applyBorder="1" applyAlignment="1">
      <alignment vertical="center"/>
    </xf>
    <xf numFmtId="9" fontId="5" fillId="0" borderId="0" xfId="3" applyFont="1"/>
    <xf numFmtId="187" fontId="0" fillId="0" borderId="0" xfId="0" applyNumberFormat="1"/>
    <xf numFmtId="0" fontId="5" fillId="0" borderId="0" xfId="0" applyFont="1"/>
    <xf numFmtId="0" fontId="7" fillId="0" borderId="0" xfId="0" applyFont="1"/>
    <xf numFmtId="0" fontId="7" fillId="0" borderId="1" xfId="0" applyFont="1" applyBorder="1"/>
    <xf numFmtId="188" fontId="0" fillId="0" borderId="0" xfId="0" quotePrefix="1" applyNumberFormat="1"/>
    <xf numFmtId="0" fontId="7" fillId="0" borderId="1" xfId="0" applyFont="1" applyFill="1" applyBorder="1"/>
    <xf numFmtId="164" fontId="13" fillId="0" borderId="0" xfId="4" applyFont="1"/>
    <xf numFmtId="5" fontId="13" fillId="0" borderId="0" xfId="4" applyNumberFormat="1" applyFont="1" applyFill="1" applyProtection="1">
      <protection locked="0"/>
    </xf>
    <xf numFmtId="5" fontId="13" fillId="0" borderId="2" xfId="4" applyNumberFormat="1" applyFont="1" applyFill="1" applyBorder="1" applyProtection="1"/>
    <xf numFmtId="5" fontId="13" fillId="0" borderId="12" xfId="4" applyNumberFormat="1" applyFont="1" applyFill="1" applyBorder="1" applyProtection="1"/>
    <xf numFmtId="0" fontId="0" fillId="0" borderId="0" xfId="0" applyBorder="1"/>
    <xf numFmtId="164" fontId="7" fillId="0" borderId="0" xfId="4" applyFont="1" applyAlignment="1">
      <alignment horizontal="center"/>
    </xf>
    <xf numFmtId="10" fontId="10" fillId="0" borderId="0" xfId="4" applyNumberFormat="1" applyFont="1" applyFill="1" applyBorder="1" applyAlignment="1">
      <alignment horizontal="centerContinuous"/>
    </xf>
    <xf numFmtId="164" fontId="5" fillId="0" borderId="1" xfId="4" applyFont="1" applyBorder="1" applyAlignment="1">
      <alignment horizontal="centerContinuous"/>
    </xf>
    <xf numFmtId="164" fontId="5" fillId="0" borderId="0" xfId="4" applyFont="1" applyBorder="1"/>
    <xf numFmtId="164" fontId="9" fillId="0" borderId="0" xfId="4" applyFont="1" applyFill="1" applyAlignment="1">
      <alignment horizontal="center"/>
    </xf>
    <xf numFmtId="164" fontId="9" fillId="0" borderId="0" xfId="4" applyFont="1" applyFill="1" applyBorder="1" applyAlignment="1">
      <alignment horizontal="center"/>
    </xf>
    <xf numFmtId="10" fontId="9" fillId="0" borderId="0" xfId="4" applyNumberFormat="1" applyFont="1" applyFill="1" applyAlignment="1">
      <alignment horizontal="centerContinuous"/>
    </xf>
    <xf numFmtId="164" fontId="5" fillId="0" borderId="0" xfId="4" applyFont="1" applyAlignment="1">
      <alignment horizontal="centerContinuous"/>
    </xf>
    <xf numFmtId="164" fontId="10" fillId="0" borderId="1" xfId="4" applyFont="1" applyFill="1" applyBorder="1" applyAlignment="1">
      <alignment horizontal="center"/>
    </xf>
    <xf numFmtId="164" fontId="9" fillId="0" borderId="11" xfId="4" applyFont="1" applyFill="1" applyBorder="1" applyAlignment="1">
      <alignment horizontal="center"/>
    </xf>
    <xf numFmtId="10" fontId="9" fillId="0" borderId="11" xfId="3" applyNumberFormat="1" applyFont="1" applyBorder="1"/>
    <xf numFmtId="5" fontId="9" fillId="0" borderId="0" xfId="2" applyNumberFormat="1" applyFont="1" applyFill="1" applyBorder="1"/>
    <xf numFmtId="164" fontId="60" fillId="0" borderId="0" xfId="4" applyFont="1" applyFill="1" applyAlignment="1">
      <alignment horizontal="centerContinuous"/>
    </xf>
    <xf numFmtId="164" fontId="5" fillId="0" borderId="0" xfId="4" applyFill="1"/>
    <xf numFmtId="164" fontId="5" fillId="0" borderId="0" xfId="4" applyFill="1" applyBorder="1"/>
    <xf numFmtId="164" fontId="5" fillId="0" borderId="0" xfId="4" applyFont="1" applyFill="1"/>
    <xf numFmtId="164" fontId="10" fillId="0" borderId="1" xfId="218" applyFont="1" applyFill="1" applyBorder="1" applyAlignment="1">
      <alignment horizontal="centerContinuous"/>
    </xf>
    <xf numFmtId="164" fontId="61" fillId="0" borderId="0" xfId="4" applyFont="1" applyFill="1" applyAlignment="1">
      <alignment horizontal="left"/>
    </xf>
    <xf numFmtId="164" fontId="8" fillId="0" borderId="0" xfId="4" applyFont="1" applyFill="1" applyAlignment="1">
      <alignment horizontal="left"/>
    </xf>
    <xf numFmtId="3" fontId="59" fillId="0" borderId="0" xfId="0" applyNumberFormat="1" applyFont="1" applyAlignment="1">
      <alignment horizontal="centerContinuous"/>
    </xf>
    <xf numFmtId="164" fontId="10" fillId="0" borderId="2" xfId="4" quotePrefix="1" applyFont="1" applyFill="1" applyBorder="1" applyAlignment="1">
      <alignment horizontal="center"/>
    </xf>
    <xf numFmtId="200" fontId="9" fillId="0" borderId="0" xfId="4" applyNumberFormat="1" applyFont="1" applyFill="1" applyProtection="1"/>
    <xf numFmtId="164" fontId="99" fillId="0" borderId="0" xfId="4" applyFont="1" applyFill="1" applyAlignment="1">
      <alignment horizontal="left"/>
    </xf>
    <xf numFmtId="164" fontId="15" fillId="0" borderId="0" xfId="4" applyFont="1" applyFill="1"/>
    <xf numFmtId="164" fontId="8" fillId="0" borderId="0" xfId="4" applyFont="1" applyFill="1" applyBorder="1" applyAlignment="1">
      <alignment horizontal="left"/>
    </xf>
    <xf numFmtId="37" fontId="39" fillId="0" borderId="0" xfId="4" applyNumberFormat="1" applyFont="1" applyFill="1" applyProtection="1"/>
    <xf numFmtId="7" fontId="39" fillId="0" borderId="0" xfId="4" applyNumberFormat="1" applyFont="1" applyFill="1" applyProtection="1">
      <protection locked="0"/>
    </xf>
    <xf numFmtId="7" fontId="39" fillId="0" borderId="0" xfId="4" applyNumberFormat="1" applyFont="1" applyFill="1" applyBorder="1" applyProtection="1">
      <protection locked="0"/>
    </xf>
    <xf numFmtId="185" fontId="9" fillId="0" borderId="0" xfId="4" applyNumberFormat="1" applyFont="1" applyFill="1" applyProtection="1">
      <protection locked="0"/>
    </xf>
    <xf numFmtId="164" fontId="100" fillId="0" borderId="0" xfId="4" applyFont="1" applyFill="1" applyAlignment="1">
      <alignment horizontal="left"/>
    </xf>
    <xf numFmtId="49" fontId="61" fillId="0" borderId="0" xfId="4" applyNumberFormat="1" applyFont="1" applyFill="1"/>
    <xf numFmtId="201" fontId="9" fillId="0" borderId="0" xfId="4" applyNumberFormat="1" applyFont="1" applyFill="1" applyProtection="1"/>
    <xf numFmtId="164" fontId="101" fillId="0" borderId="0" xfId="4" applyFont="1" applyFill="1" applyAlignment="1">
      <alignment horizontal="left"/>
    </xf>
    <xf numFmtId="39" fontId="9" fillId="0" borderId="0" xfId="4" applyNumberFormat="1" applyFont="1" applyFill="1" applyProtection="1"/>
    <xf numFmtId="186" fontId="9" fillId="0" borderId="0" xfId="4" applyNumberFormat="1" applyFont="1" applyFill="1" applyProtection="1">
      <protection locked="0"/>
    </xf>
    <xf numFmtId="171" fontId="9" fillId="0" borderId="1" xfId="4" applyNumberFormat="1" applyFont="1" applyFill="1" applyBorder="1" applyProtection="1"/>
    <xf numFmtId="164" fontId="61" fillId="0" borderId="0" xfId="4" applyFont="1" applyFill="1" applyBorder="1" applyAlignment="1">
      <alignment horizontal="left"/>
    </xf>
    <xf numFmtId="164" fontId="8" fillId="0" borderId="0" xfId="4" applyFont="1" applyFill="1" applyBorder="1"/>
    <xf numFmtId="164" fontId="8" fillId="0" borderId="11" xfId="4" applyFont="1" applyFill="1" applyBorder="1"/>
    <xf numFmtId="164" fontId="5" fillId="0" borderId="11" xfId="4" applyFill="1" applyBorder="1"/>
    <xf numFmtId="172" fontId="9" fillId="0" borderId="1" xfId="1" applyNumberFormat="1" applyFont="1" applyFill="1" applyBorder="1" applyProtection="1">
      <protection locked="0"/>
    </xf>
    <xf numFmtId="7" fontId="9" fillId="0" borderId="1" xfId="4" applyNumberFormat="1" applyFont="1" applyFill="1" applyBorder="1" applyProtection="1">
      <protection locked="0"/>
    </xf>
    <xf numFmtId="164" fontId="5" fillId="0" borderId="0" xfId="5" applyFill="1" applyBorder="1" applyAlignment="1">
      <alignment horizontal="center"/>
    </xf>
    <xf numFmtId="9" fontId="5" fillId="0" borderId="0" xfId="5" applyNumberFormat="1" applyFill="1" applyBorder="1" applyAlignment="1">
      <alignment horizontal="center"/>
    </xf>
    <xf numFmtId="0" fontId="49" fillId="0" borderId="26" xfId="214" applyFont="1" applyBorder="1"/>
    <xf numFmtId="3" fontId="49" fillId="0" borderId="1" xfId="214" applyNumberFormat="1" applyFont="1" applyBorder="1"/>
    <xf numFmtId="178" fontId="49" fillId="0" borderId="9" xfId="214" applyNumberFormat="1" applyFont="1" applyBorder="1"/>
    <xf numFmtId="166" fontId="49" fillId="0" borderId="26" xfId="3" applyNumberFormat="1" applyFont="1" applyBorder="1"/>
    <xf numFmtId="37" fontId="40" fillId="0" borderId="0" xfId="0" applyNumberFormat="1" applyFont="1" applyFill="1" applyAlignment="1" applyProtection="1">
      <alignment horizontal="centerContinuous"/>
    </xf>
    <xf numFmtId="41" fontId="11" fillId="0" borderId="0" xfId="0" applyNumberFormat="1" applyFont="1" applyFill="1" applyAlignment="1">
      <alignment horizontal="centerContinuous"/>
    </xf>
    <xf numFmtId="37" fontId="11" fillId="0" borderId="0" xfId="0" applyNumberFormat="1" applyFont="1" applyFill="1" applyAlignment="1" applyProtection="1">
      <alignment horizontal="centerContinuous"/>
    </xf>
    <xf numFmtId="41" fontId="40" fillId="0" borderId="0" xfId="0" applyNumberFormat="1" applyFont="1" applyFill="1"/>
    <xf numFmtId="41" fontId="40" fillId="0" borderId="0" xfId="0" applyNumberFormat="1" applyFont="1" applyFill="1" applyAlignment="1">
      <alignment horizontal="center"/>
    </xf>
    <xf numFmtId="41" fontId="11" fillId="0" borderId="0" xfId="0" applyNumberFormat="1" applyFont="1" applyFill="1"/>
    <xf numFmtId="37" fontId="40" fillId="0" borderId="0" xfId="0" applyNumberFormat="1" applyFont="1" applyFill="1" applyProtection="1"/>
    <xf numFmtId="173" fontId="11" fillId="0" borderId="0" xfId="0" applyNumberFormat="1" applyFont="1" applyFill="1" applyBorder="1" applyProtection="1"/>
    <xf numFmtId="41" fontId="40" fillId="0" borderId="0" xfId="0" applyNumberFormat="1" applyFont="1" applyFill="1" applyBorder="1" applyAlignment="1">
      <alignment horizontal="center"/>
    </xf>
    <xf numFmtId="41" fontId="41" fillId="0" borderId="0" xfId="0" applyNumberFormat="1" applyFont="1" applyFill="1" applyAlignment="1">
      <alignment horizontal="center"/>
    </xf>
    <xf numFmtId="41" fontId="41" fillId="0" borderId="0" xfId="0" applyNumberFormat="1" applyFont="1" applyFill="1"/>
    <xf numFmtId="41" fontId="41" fillId="0" borderId="0" xfId="0" applyNumberFormat="1" applyFont="1" applyFill="1" applyBorder="1" applyAlignment="1">
      <alignment horizontal="center"/>
    </xf>
    <xf numFmtId="41" fontId="11" fillId="0" borderId="0" xfId="0" applyNumberFormat="1" applyFont="1" applyFill="1" applyAlignment="1">
      <alignment horizontal="center"/>
    </xf>
    <xf numFmtId="41" fontId="11" fillId="0" borderId="0" xfId="0" applyNumberFormat="1" applyFont="1" applyFill="1" applyBorder="1" applyAlignment="1">
      <alignment horizontal="center"/>
    </xf>
    <xf numFmtId="41" fontId="40" fillId="0" borderId="0" xfId="0" applyNumberFormat="1" applyFont="1" applyFill="1" applyProtection="1"/>
    <xf numFmtId="37" fontId="11" fillId="0" borderId="0" xfId="0" applyNumberFormat="1" applyFont="1" applyFill="1" applyProtection="1"/>
    <xf numFmtId="2" fontId="40" fillId="0" borderId="0" xfId="0" applyNumberFormat="1" applyFont="1" applyFill="1" applyBorder="1" applyAlignment="1">
      <alignment horizontal="center"/>
    </xf>
    <xf numFmtId="173" fontId="40" fillId="0" borderId="0" xfId="0" applyNumberFormat="1" applyFont="1" applyFill="1" applyProtection="1"/>
    <xf numFmtId="173" fontId="42" fillId="0" borderId="0" xfId="0" applyNumberFormat="1" applyFont="1" applyFill="1" applyProtection="1"/>
    <xf numFmtId="41" fontId="42" fillId="0" borderId="0" xfId="0" applyNumberFormat="1" applyFont="1" applyFill="1"/>
    <xf numFmtId="3" fontId="40" fillId="0" borderId="0" xfId="0" applyNumberFormat="1" applyFont="1" applyFill="1"/>
    <xf numFmtId="37" fontId="42" fillId="0" borderId="0" xfId="0" applyNumberFormat="1" applyFont="1" applyFill="1" applyProtection="1"/>
    <xf numFmtId="173" fontId="42" fillId="0" borderId="1" xfId="0" applyNumberFormat="1" applyFont="1" applyFill="1" applyBorder="1" applyProtection="1"/>
    <xf numFmtId="173" fontId="40" fillId="0" borderId="1" xfId="0" applyNumberFormat="1" applyFont="1" applyFill="1" applyBorder="1" applyProtection="1"/>
    <xf numFmtId="41" fontId="40" fillId="0" borderId="0" xfId="0" applyNumberFormat="1" applyFont="1" applyFill="1" applyBorder="1"/>
    <xf numFmtId="37" fontId="40" fillId="0" borderId="0" xfId="0" applyNumberFormat="1" applyFont="1" applyFill="1" applyBorder="1" applyProtection="1"/>
    <xf numFmtId="173" fontId="40" fillId="0" borderId="0" xfId="1" applyNumberFormat="1" applyFont="1" applyFill="1"/>
    <xf numFmtId="173" fontId="11" fillId="0" borderId="0" xfId="1" applyNumberFormat="1" applyFont="1" applyFill="1"/>
    <xf numFmtId="10" fontId="40" fillId="0" borderId="0" xfId="3" applyNumberFormat="1" applyFont="1" applyFill="1"/>
    <xf numFmtId="9" fontId="43" fillId="0" borderId="0" xfId="3" applyFont="1" applyFill="1" applyAlignment="1">
      <alignment horizontal="center"/>
    </xf>
    <xf numFmtId="173" fontId="11" fillId="0" borderId="0" xfId="3" applyNumberFormat="1" applyFont="1" applyFill="1"/>
    <xf numFmtId="10" fontId="40" fillId="24" borderId="0" xfId="3" applyNumberFormat="1" applyFont="1" applyFill="1"/>
    <xf numFmtId="173" fontId="11" fillId="0" borderId="0" xfId="3" applyNumberFormat="1" applyFont="1" applyFill="1" applyBorder="1"/>
    <xf numFmtId="10" fontId="40" fillId="24" borderId="1" xfId="3" applyNumberFormat="1" applyFont="1" applyFill="1" applyBorder="1"/>
    <xf numFmtId="37" fontId="40" fillId="0" borderId="0" xfId="0" applyNumberFormat="1" applyFont="1" applyFill="1" applyBorder="1" applyAlignment="1" applyProtection="1">
      <alignment horizontal="center"/>
    </xf>
    <xf numFmtId="41" fontId="40" fillId="0" borderId="22" xfId="0" applyNumberFormat="1" applyFont="1" applyFill="1" applyBorder="1" applyAlignment="1">
      <alignment horizontal="center"/>
    </xf>
    <xf numFmtId="181" fontId="42" fillId="0" borderId="22" xfId="1" applyNumberFormat="1" applyFont="1" applyFill="1" applyBorder="1" applyProtection="1"/>
    <xf numFmtId="181" fontId="44" fillId="0" borderId="22" xfId="1" applyNumberFormat="1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181" fontId="0" fillId="0" borderId="0" xfId="1" applyNumberFormat="1" applyFont="1"/>
    <xf numFmtId="0" fontId="40" fillId="0" borderId="22" xfId="0" applyNumberFormat="1" applyFont="1" applyFill="1" applyBorder="1" applyAlignment="1">
      <alignment horizontal="center"/>
    </xf>
    <xf numFmtId="181" fontId="45" fillId="0" borderId="22" xfId="1" applyNumberFormat="1" applyFont="1" applyFill="1" applyBorder="1" applyProtection="1"/>
    <xf numFmtId="181" fontId="40" fillId="0" borderId="22" xfId="1" applyNumberFormat="1" applyFont="1" applyFill="1" applyBorder="1" applyAlignment="1" applyProtection="1">
      <alignment horizontal="right"/>
    </xf>
    <xf numFmtId="180" fontId="102" fillId="0" borderId="0" xfId="186" applyFont="1" applyFill="1"/>
    <xf numFmtId="5" fontId="13" fillId="0" borderId="0" xfId="2" applyNumberFormat="1" applyFont="1" applyFill="1" applyBorder="1"/>
    <xf numFmtId="10" fontId="13" fillId="0" borderId="0" xfId="2" applyNumberFormat="1" applyFont="1" applyFill="1" applyBorder="1"/>
    <xf numFmtId="164" fontId="10" fillId="0" borderId="0" xfId="5" quotePrefix="1" applyFont="1" applyFill="1" applyBorder="1" applyAlignment="1">
      <alignment horizontal="center"/>
    </xf>
    <xf numFmtId="164" fontId="13" fillId="0" borderId="0" xfId="5" applyFont="1" applyFill="1" applyBorder="1" applyAlignment="1">
      <alignment horizontal="center"/>
    </xf>
    <xf numFmtId="165" fontId="13" fillId="0" borderId="0" xfId="5" applyNumberFormat="1" applyFont="1" applyFill="1" applyBorder="1"/>
    <xf numFmtId="166" fontId="13" fillId="0" borderId="0" xfId="5" applyNumberFormat="1" applyFont="1" applyFill="1" applyBorder="1"/>
    <xf numFmtId="0" fontId="10" fillId="0" borderId="24" xfId="6" applyFont="1" applyBorder="1" applyAlignment="1" applyProtection="1">
      <alignment horizontal="centerContinuous"/>
      <protection locked="0"/>
    </xf>
    <xf numFmtId="164" fontId="7" fillId="0" borderId="24" xfId="5" quotePrefix="1" applyFont="1" applyBorder="1" applyAlignment="1">
      <alignment horizontal="center"/>
    </xf>
    <xf numFmtId="164" fontId="7" fillId="0" borderId="24" xfId="5" quotePrefix="1" applyFont="1" applyBorder="1" applyAlignment="1">
      <alignment horizontal="centerContinuous"/>
    </xf>
    <xf numFmtId="164" fontId="5" fillId="0" borderId="1" xfId="5" applyBorder="1"/>
    <xf numFmtId="164" fontId="49" fillId="0" borderId="0" xfId="5" applyFont="1"/>
    <xf numFmtId="10" fontId="5" fillId="0" borderId="0" xfId="5" applyNumberFormat="1"/>
    <xf numFmtId="164" fontId="13" fillId="0" borderId="0" xfId="5" applyFont="1" applyFill="1" applyBorder="1" applyAlignment="1">
      <alignment horizontal="right"/>
    </xf>
    <xf numFmtId="164" fontId="13" fillId="0" borderId="0" xfId="5" applyFont="1" applyFill="1" applyBorder="1" applyAlignment="1">
      <alignment horizontal="centerContinuous"/>
    </xf>
    <xf numFmtId="5" fontId="13" fillId="0" borderId="0" xfId="5" applyNumberFormat="1" applyFont="1" applyFill="1" applyBorder="1"/>
    <xf numFmtId="5" fontId="13" fillId="0" borderId="0" xfId="5" applyNumberFormat="1" applyFont="1" applyFill="1" applyBorder="1" applyAlignment="1">
      <alignment horizontal="center"/>
    </xf>
    <xf numFmtId="5" fontId="5" fillId="0" borderId="0" xfId="5" applyNumberFormat="1"/>
    <xf numFmtId="5" fontId="9" fillId="0" borderId="0" xfId="5" applyNumberFormat="1" applyFont="1"/>
    <xf numFmtId="5" fontId="9" fillId="0" borderId="12" xfId="4" applyNumberFormat="1" applyFont="1" applyFill="1" applyBorder="1"/>
    <xf numFmtId="5" fontId="9" fillId="0" borderId="12" xfId="1" applyNumberFormat="1" applyFont="1" applyFill="1" applyBorder="1"/>
    <xf numFmtId="5" fontId="9" fillId="0" borderId="0" xfId="4" applyNumberFormat="1" applyFont="1" applyFill="1" applyBorder="1"/>
    <xf numFmtId="10" fontId="5" fillId="0" borderId="0" xfId="4" applyNumberFormat="1"/>
    <xf numFmtId="164" fontId="7" fillId="0" borderId="1" xfId="5" applyFont="1" applyBorder="1"/>
    <xf numFmtId="164" fontId="13" fillId="0" borderId="0" xfId="5" applyFont="1" applyBorder="1"/>
    <xf numFmtId="5" fontId="13" fillId="0" borderId="0" xfId="5" applyNumberFormat="1" applyFont="1" applyBorder="1"/>
    <xf numFmtId="202" fontId="13" fillId="0" borderId="0" xfId="5" applyNumberFormat="1" applyFont="1" applyFill="1" applyBorder="1"/>
    <xf numFmtId="166" fontId="13" fillId="0" borderId="0" xfId="2" applyNumberFormat="1" applyFont="1" applyFill="1" applyBorder="1"/>
    <xf numFmtId="164" fontId="9" fillId="0" borderId="0" xfId="5" applyFont="1" applyFill="1" applyBorder="1"/>
    <xf numFmtId="164" fontId="5" fillId="0" borderId="0" xfId="5" applyAlignment="1">
      <alignment horizontal="center"/>
    </xf>
    <xf numFmtId="166" fontId="13" fillId="0" borderId="0" xfId="5" applyNumberFormat="1" applyFont="1" applyFill="1" applyBorder="1" applyAlignment="1">
      <alignment horizontal="right"/>
    </xf>
    <xf numFmtId="173" fontId="24" fillId="0" borderId="0" xfId="1" applyNumberFormat="1" applyFont="1" applyFill="1" applyAlignment="1">
      <alignment horizontal="right" vertical="center"/>
    </xf>
    <xf numFmtId="203" fontId="23" fillId="0" borderId="0" xfId="2" applyNumberFormat="1" applyFont="1" applyFill="1" applyAlignment="1">
      <alignment horizontal="right" vertical="center"/>
    </xf>
    <xf numFmtId="204" fontId="24" fillId="0" borderId="0" xfId="2" applyNumberFormat="1" applyFont="1" applyFill="1" applyAlignment="1">
      <alignment horizontal="right" vertical="center"/>
    </xf>
    <xf numFmtId="203" fontId="24" fillId="0" borderId="0" xfId="2" applyNumberFormat="1" applyFont="1" applyFill="1" applyAlignment="1">
      <alignment horizontal="right" vertical="center"/>
    </xf>
    <xf numFmtId="177" fontId="23" fillId="0" borderId="0" xfId="2" applyNumberFormat="1" applyFont="1" applyFill="1" applyAlignment="1">
      <alignment horizontal="right" vertical="center"/>
    </xf>
    <xf numFmtId="0" fontId="4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38" fontId="24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Fill="1" applyAlignment="1">
      <alignment horizontal="left" vertical="center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center"/>
    </xf>
    <xf numFmtId="189" fontId="40" fillId="0" borderId="1" xfId="0" applyNumberFormat="1" applyFont="1" applyFill="1" applyBorder="1" applyAlignment="1">
      <alignment horizontal="center" vertical="center" wrapText="1"/>
    </xf>
    <xf numFmtId="189" fontId="40" fillId="0" borderId="1" xfId="0" applyNumberFormat="1" applyFont="1" applyFill="1" applyBorder="1" applyAlignment="1">
      <alignment horizontal="center" vertical="center"/>
    </xf>
    <xf numFmtId="189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189" fontId="105" fillId="0" borderId="0" xfId="0" applyNumberFormat="1" applyFont="1" applyFill="1" applyAlignment="1">
      <alignment horizontal="center" vertical="center"/>
    </xf>
    <xf numFmtId="189" fontId="23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41" fontId="23" fillId="0" borderId="0" xfId="0" applyNumberFormat="1" applyFont="1" applyFill="1" applyAlignment="1">
      <alignment horizontal="center" vertical="center"/>
    </xf>
    <xf numFmtId="41" fontId="24" fillId="0" borderId="0" xfId="0" quotePrefix="1" applyNumberFormat="1" applyFont="1" applyFill="1" applyAlignment="1">
      <alignment horizontal="center" vertical="center" wrapText="1"/>
    </xf>
    <xf numFmtId="42" fontId="24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4" fillId="0" borderId="0" xfId="0" quotePrefix="1" applyFont="1" applyFill="1" applyAlignment="1">
      <alignment horizontal="center" vertical="center" wrapText="1"/>
    </xf>
    <xf numFmtId="42" fontId="24" fillId="0" borderId="23" xfId="0" applyNumberFormat="1" applyFont="1" applyFill="1" applyBorder="1" applyAlignment="1">
      <alignment horizontal="right" vertical="center"/>
    </xf>
    <xf numFmtId="41" fontId="24" fillId="0" borderId="0" xfId="0" applyNumberFormat="1" applyFont="1" applyFill="1" applyAlignment="1">
      <alignment horizontal="right" vertical="center"/>
    </xf>
    <xf numFmtId="41" fontId="23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41" fontId="24" fillId="0" borderId="0" xfId="0" applyNumberFormat="1" applyFont="1" applyAlignment="1">
      <alignment vertical="center"/>
    </xf>
    <xf numFmtId="189" fontId="24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 wrapText="1"/>
    </xf>
    <xf numFmtId="42" fontId="23" fillId="0" borderId="23" xfId="0" applyNumberFormat="1" applyFont="1" applyFill="1" applyBorder="1" applyAlignment="1">
      <alignment horizontal="right" vertical="center"/>
    </xf>
    <xf numFmtId="42" fontId="2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42" fontId="24" fillId="0" borderId="0" xfId="0" applyNumberFormat="1" applyFont="1" applyFill="1" applyBorder="1" applyAlignment="1">
      <alignment horizontal="right" vertical="center"/>
    </xf>
    <xf numFmtId="0" fontId="40" fillId="0" borderId="0" xfId="1082" applyFont="1" applyFill="1" applyAlignment="1">
      <alignment horizontal="left" vertical="center"/>
    </xf>
    <xf numFmtId="0" fontId="11" fillId="0" borderId="0" xfId="1082" applyFont="1" applyFill="1" applyAlignment="1">
      <alignment horizontal="left" vertical="center" wrapText="1"/>
    </xf>
    <xf numFmtId="173" fontId="24" fillId="0" borderId="0" xfId="1" applyNumberFormat="1" applyFont="1" applyFill="1" applyBorder="1" applyAlignment="1">
      <alignment horizontal="right" vertical="center"/>
    </xf>
    <xf numFmtId="205" fontId="24" fillId="0" borderId="0" xfId="1082" applyNumberFormat="1" applyFont="1" applyFill="1" applyBorder="1" applyAlignment="1">
      <alignment horizontal="right" vertical="center"/>
    </xf>
    <xf numFmtId="0" fontId="24" fillId="0" borderId="0" xfId="1082" applyFont="1" applyFill="1" applyAlignment="1">
      <alignment horizontal="center" vertical="center" wrapText="1"/>
    </xf>
    <xf numFmtId="42" fontId="24" fillId="0" borderId="1" xfId="0" applyNumberFormat="1" applyFont="1" applyFill="1" applyBorder="1" applyAlignment="1">
      <alignment horizontal="right" vertical="center"/>
    </xf>
    <xf numFmtId="42" fontId="24" fillId="0" borderId="23" xfId="1082" applyNumberFormat="1" applyFont="1" applyFill="1" applyBorder="1" applyAlignment="1">
      <alignment horizontal="right" vertical="center"/>
    </xf>
    <xf numFmtId="0" fontId="0" fillId="0" borderId="0" xfId="1082" applyFont="1" applyFill="1" applyAlignment="1">
      <alignment horizontal="left" vertical="center" wrapText="1"/>
    </xf>
    <xf numFmtId="173" fontId="24" fillId="0" borderId="1" xfId="1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38" fontId="2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10" fontId="24" fillId="0" borderId="0" xfId="0" applyNumberFormat="1" applyFont="1" applyFill="1" applyAlignment="1">
      <alignment horizontal="right" vertical="center"/>
    </xf>
    <xf numFmtId="41" fontId="24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2" fontId="23" fillId="0" borderId="15" xfId="0" applyNumberFormat="1" applyFont="1" applyFill="1" applyBorder="1" applyAlignment="1">
      <alignment horizontal="right" vertical="center"/>
    </xf>
    <xf numFmtId="38" fontId="24" fillId="0" borderId="0" xfId="0" applyNumberFormat="1" applyFont="1" applyFill="1" applyAlignment="1">
      <alignment horizontal="center" vertical="center"/>
    </xf>
    <xf numFmtId="0" fontId="24" fillId="0" borderId="0" xfId="0" applyFont="1" applyFill="1"/>
    <xf numFmtId="38" fontId="24" fillId="0" borderId="0" xfId="0" applyNumberFormat="1" applyFont="1" applyFill="1" applyAlignment="1">
      <alignment horizontal="right" vertical="center"/>
    </xf>
    <xf numFmtId="177" fontId="24" fillId="0" borderId="0" xfId="0" applyNumberFormat="1" applyFont="1" applyFill="1" applyAlignment="1">
      <alignment horizontal="right"/>
    </xf>
    <xf numFmtId="177" fontId="40" fillId="0" borderId="15" xfId="0" applyNumberFormat="1" applyFont="1" applyFill="1" applyBorder="1" applyAlignment="1">
      <alignment horizontal="right" vertical="center"/>
    </xf>
    <xf numFmtId="0" fontId="106" fillId="0" borderId="0" xfId="0" applyFont="1" applyFill="1" applyAlignment="1">
      <alignment vertical="center"/>
    </xf>
    <xf numFmtId="0" fontId="106" fillId="0" borderId="0" xfId="0" applyFont="1" applyFill="1" applyAlignment="1">
      <alignment horizontal="left" vertical="center"/>
    </xf>
    <xf numFmtId="37" fontId="24" fillId="0" borderId="0" xfId="0" applyNumberFormat="1" applyFont="1" applyFill="1" applyAlignment="1">
      <alignment vertical="center"/>
    </xf>
    <xf numFmtId="7" fontId="5" fillId="0" borderId="1" xfId="2" applyNumberFormat="1" applyFont="1" applyFill="1" applyBorder="1"/>
    <xf numFmtId="7" fontId="5" fillId="0" borderId="0" xfId="2" applyNumberFormat="1" applyFont="1" applyFill="1" applyBorder="1"/>
    <xf numFmtId="164" fontId="7" fillId="0" borderId="1" xfId="4" applyFont="1" applyBorder="1" applyAlignment="1">
      <alignment horizontal="center"/>
    </xf>
    <xf numFmtId="164" fontId="7" fillId="0" borderId="1" xfId="4" applyFont="1" applyBorder="1" applyAlignment="1">
      <alignment horizontal="center" wrapText="1"/>
    </xf>
    <xf numFmtId="164" fontId="5" fillId="0" borderId="0" xfId="5" applyNumberFormat="1" applyAlignment="1">
      <alignment horizontal="center"/>
    </xf>
    <xf numFmtId="9" fontId="5" fillId="0" borderId="0" xfId="5" applyNumberFormat="1" applyAlignment="1">
      <alignment horizontal="center"/>
    </xf>
    <xf numFmtId="164" fontId="5" fillId="0" borderId="1" xfId="5" applyNumberFormat="1" applyBorder="1" applyAlignment="1">
      <alignment horizontal="centerContinuous"/>
    </xf>
    <xf numFmtId="43" fontId="24" fillId="0" borderId="0" xfId="0" applyNumberFormat="1" applyFont="1" applyFill="1" applyBorder="1" applyAlignment="1">
      <alignment horizontal="right" vertical="center"/>
    </xf>
    <xf numFmtId="44" fontId="24" fillId="0" borderId="0" xfId="2" applyFont="1" applyFill="1" applyAlignment="1">
      <alignment horizontal="right" vertical="center"/>
    </xf>
    <xf numFmtId="44" fontId="24" fillId="0" borderId="1" xfId="2" applyFont="1" applyFill="1" applyBorder="1" applyAlignment="1">
      <alignment horizontal="right" vertical="center"/>
    </xf>
    <xf numFmtId="177" fontId="24" fillId="0" borderId="0" xfId="2" applyNumberFormat="1" applyFont="1" applyFill="1" applyAlignment="1">
      <alignment horizontal="right" vertical="center"/>
    </xf>
    <xf numFmtId="177" fontId="24" fillId="0" borderId="1" xfId="2" applyNumberFormat="1" applyFont="1" applyFill="1" applyBorder="1" applyAlignment="1">
      <alignment horizontal="right" vertical="center"/>
    </xf>
    <xf numFmtId="177" fontId="24" fillId="0" borderId="0" xfId="2" applyNumberFormat="1" applyFont="1" applyFill="1" applyBorder="1" applyAlignment="1">
      <alignment horizontal="right" vertical="center"/>
    </xf>
    <xf numFmtId="175" fontId="13" fillId="0" borderId="0" xfId="5" applyNumberFormat="1" applyFont="1" applyFill="1"/>
    <xf numFmtId="7" fontId="51" fillId="0" borderId="0" xfId="214" applyNumberFormat="1" applyFont="1" applyAlignment="1">
      <alignment horizontal="center"/>
    </xf>
  </cellXfs>
  <cellStyles count="1083">
    <cellStyle name="20% - Accent1 2" xfId="219"/>
    <cellStyle name="20% - Accent1 3" xfId="220"/>
    <cellStyle name="20% - Accent1 4" xfId="221"/>
    <cellStyle name="20% - Accent1 5" xfId="222"/>
    <cellStyle name="20% - Accent1 6" xfId="223"/>
    <cellStyle name="20% - Accent2 2" xfId="224"/>
    <cellStyle name="20% - Accent2 3" xfId="225"/>
    <cellStyle name="20% - Accent2 4" xfId="226"/>
    <cellStyle name="20% - Accent2 5" xfId="227"/>
    <cellStyle name="20% - Accent2 6" xfId="228"/>
    <cellStyle name="20% - Accent3 2" xfId="229"/>
    <cellStyle name="20% - Accent3 3" xfId="230"/>
    <cellStyle name="20% - Accent3 4" xfId="231"/>
    <cellStyle name="20% - Accent3 5" xfId="232"/>
    <cellStyle name="20% - Accent3 6" xfId="233"/>
    <cellStyle name="20% - Accent4 2" xfId="234"/>
    <cellStyle name="20% - Accent4 3" xfId="235"/>
    <cellStyle name="20% - Accent4 4" xfId="236"/>
    <cellStyle name="20% - Accent4 5" xfId="237"/>
    <cellStyle name="20% - Accent4 6" xfId="238"/>
    <cellStyle name="20% - Accent5 2" xfId="239"/>
    <cellStyle name="20% - Accent5 3" xfId="240"/>
    <cellStyle name="20% - Accent5 4" xfId="241"/>
    <cellStyle name="20% - Accent5 5" xfId="242"/>
    <cellStyle name="20% - Accent5 6" xfId="243"/>
    <cellStyle name="20% - Accent6 2" xfId="244"/>
    <cellStyle name="20% - Accent6 3" xfId="245"/>
    <cellStyle name="20% - Accent6 4" xfId="246"/>
    <cellStyle name="20% - Accent6 5" xfId="247"/>
    <cellStyle name="20% - Accent6 6" xfId="248"/>
    <cellStyle name="40% - Accent1 2" xfId="249"/>
    <cellStyle name="40% - Accent1 3" xfId="250"/>
    <cellStyle name="40% - Accent1 4" xfId="251"/>
    <cellStyle name="40% - Accent1 5" xfId="252"/>
    <cellStyle name="40% - Accent1 6" xfId="253"/>
    <cellStyle name="40% - Accent2 2" xfId="254"/>
    <cellStyle name="40% - Accent2 3" xfId="255"/>
    <cellStyle name="40% - Accent2 4" xfId="256"/>
    <cellStyle name="40% - Accent2 5" xfId="257"/>
    <cellStyle name="40% - Accent2 6" xfId="258"/>
    <cellStyle name="40% - Accent3 2" xfId="259"/>
    <cellStyle name="40% - Accent3 3" xfId="260"/>
    <cellStyle name="40% - Accent3 4" xfId="261"/>
    <cellStyle name="40% - Accent3 5" xfId="262"/>
    <cellStyle name="40% - Accent3 6" xfId="263"/>
    <cellStyle name="40% - Accent4 2" xfId="264"/>
    <cellStyle name="40% - Accent4 3" xfId="265"/>
    <cellStyle name="40% - Accent4 4" xfId="266"/>
    <cellStyle name="40% - Accent4 5" xfId="267"/>
    <cellStyle name="40% - Accent4 6" xfId="268"/>
    <cellStyle name="40% - Accent5 2" xfId="269"/>
    <cellStyle name="40% - Accent5 3" xfId="270"/>
    <cellStyle name="40% - Accent5 4" xfId="271"/>
    <cellStyle name="40% - Accent5 5" xfId="272"/>
    <cellStyle name="40% - Accent5 6" xfId="273"/>
    <cellStyle name="40% - Accent6 2" xfId="274"/>
    <cellStyle name="40% - Accent6 3" xfId="275"/>
    <cellStyle name="40% - Accent6 4" xfId="276"/>
    <cellStyle name="40% - Accent6 5" xfId="277"/>
    <cellStyle name="40% - Accent6 6" xfId="278"/>
    <cellStyle name="60% - Accent1 2" xfId="279"/>
    <cellStyle name="60% - Accent1 3" xfId="280"/>
    <cellStyle name="60% - Accent1 4" xfId="281"/>
    <cellStyle name="60% - Accent1 5" xfId="282"/>
    <cellStyle name="60% - Accent1 6" xfId="283"/>
    <cellStyle name="60% - Accent2 2" xfId="284"/>
    <cellStyle name="60% - Accent2 3" xfId="285"/>
    <cellStyle name="60% - Accent2 4" xfId="286"/>
    <cellStyle name="60% - Accent2 5" xfId="287"/>
    <cellStyle name="60% - Accent2 6" xfId="288"/>
    <cellStyle name="60% - Accent3 2" xfId="289"/>
    <cellStyle name="60% - Accent3 3" xfId="290"/>
    <cellStyle name="60% - Accent3 4" xfId="291"/>
    <cellStyle name="60% - Accent3 5" xfId="292"/>
    <cellStyle name="60% - Accent3 6" xfId="293"/>
    <cellStyle name="60% - Accent4 2" xfId="294"/>
    <cellStyle name="60% - Accent4 3" xfId="295"/>
    <cellStyle name="60% - Accent4 4" xfId="296"/>
    <cellStyle name="60% - Accent4 5" xfId="297"/>
    <cellStyle name="60% - Accent4 6" xfId="298"/>
    <cellStyle name="60% - Accent5 2" xfId="299"/>
    <cellStyle name="60% - Accent5 3" xfId="300"/>
    <cellStyle name="60% - Accent5 4" xfId="301"/>
    <cellStyle name="60% - Accent5 5" xfId="302"/>
    <cellStyle name="60% - Accent5 6" xfId="303"/>
    <cellStyle name="60% - Accent6 2" xfId="304"/>
    <cellStyle name="60% - Accent6 3" xfId="305"/>
    <cellStyle name="60% - Accent6 4" xfId="306"/>
    <cellStyle name="60% - Accent6 5" xfId="307"/>
    <cellStyle name="60% - Accent6 6" xfId="308"/>
    <cellStyle name="Accent1 - 20%" xfId="309"/>
    <cellStyle name="Accent1 - 40%" xfId="310"/>
    <cellStyle name="Accent1 - 60%" xfId="311"/>
    <cellStyle name="Accent1 2" xfId="312"/>
    <cellStyle name="Accent1 3" xfId="313"/>
    <cellStyle name="Accent1 4" xfId="314"/>
    <cellStyle name="Accent1 5" xfId="315"/>
    <cellStyle name="Accent1 6" xfId="316"/>
    <cellStyle name="Accent2 - 20%" xfId="317"/>
    <cellStyle name="Accent2 - 40%" xfId="318"/>
    <cellStyle name="Accent2 - 60%" xfId="319"/>
    <cellStyle name="Accent2 2" xfId="320"/>
    <cellStyle name="Accent2 3" xfId="321"/>
    <cellStyle name="Accent2 4" xfId="322"/>
    <cellStyle name="Accent2 5" xfId="323"/>
    <cellStyle name="Accent2 6" xfId="324"/>
    <cellStyle name="Accent3 - 20%" xfId="325"/>
    <cellStyle name="Accent3 - 40%" xfId="326"/>
    <cellStyle name="Accent3 - 60%" xfId="327"/>
    <cellStyle name="Accent3 2" xfId="328"/>
    <cellStyle name="Accent3 3" xfId="329"/>
    <cellStyle name="Accent3 4" xfId="330"/>
    <cellStyle name="Accent3 5" xfId="331"/>
    <cellStyle name="Accent3 6" xfId="332"/>
    <cellStyle name="Accent4 - 20%" xfId="333"/>
    <cellStyle name="Accent4 - 40%" xfId="334"/>
    <cellStyle name="Accent4 - 60%" xfId="335"/>
    <cellStyle name="Accent4 2" xfId="336"/>
    <cellStyle name="Accent4 3" xfId="337"/>
    <cellStyle name="Accent4 4" xfId="338"/>
    <cellStyle name="Accent4 5" xfId="339"/>
    <cellStyle name="Accent4 6" xfId="340"/>
    <cellStyle name="Accent5 - 20%" xfId="341"/>
    <cellStyle name="Accent5 - 40%" xfId="342"/>
    <cellStyle name="Accent5 - 60%" xfId="343"/>
    <cellStyle name="Accent5 2" xfId="344"/>
    <cellStyle name="Accent5 3" xfId="345"/>
    <cellStyle name="Accent5 4" xfId="346"/>
    <cellStyle name="Accent5 5" xfId="347"/>
    <cellStyle name="Accent5 6" xfId="348"/>
    <cellStyle name="Accent6 - 20%" xfId="349"/>
    <cellStyle name="Accent6 - 40%" xfId="350"/>
    <cellStyle name="Accent6 - 60%" xfId="351"/>
    <cellStyle name="Accent6 2" xfId="352"/>
    <cellStyle name="Accent6 3" xfId="353"/>
    <cellStyle name="Accent6 4" xfId="354"/>
    <cellStyle name="Accent6 5" xfId="355"/>
    <cellStyle name="Accent6 6" xfId="356"/>
    <cellStyle name="ArrayHeading" xfId="357"/>
    <cellStyle name="Bad 2" xfId="358"/>
    <cellStyle name="Bad 3" xfId="359"/>
    <cellStyle name="Bad 4" xfId="360"/>
    <cellStyle name="Bad 5" xfId="361"/>
    <cellStyle name="Bad 6" xfId="362"/>
    <cellStyle name="BetweenMacros" xfId="363"/>
    <cellStyle name="Calc Currency (0)" xfId="364"/>
    <cellStyle name="Calculation 2" xfId="365"/>
    <cellStyle name="Calculation 3" xfId="366"/>
    <cellStyle name="Calculation 4" xfId="367"/>
    <cellStyle name="Calculation 5" xfId="368"/>
    <cellStyle name="Calculation 6" xfId="369"/>
    <cellStyle name="Cancel" xfId="370"/>
    <cellStyle name="Check Cell 2" xfId="371"/>
    <cellStyle name="Check Cell 3" xfId="372"/>
    <cellStyle name="Check Cell 4" xfId="373"/>
    <cellStyle name="Check Cell 5" xfId="374"/>
    <cellStyle name="Check Cell 6" xfId="375"/>
    <cellStyle name="Column total in dollars" xfId="376"/>
    <cellStyle name="Comma" xfId="1" builtinId="3"/>
    <cellStyle name="Comma  - Style1" xfId="190"/>
    <cellStyle name="Comma  - Style1 2" xfId="377"/>
    <cellStyle name="Comma  - Style1 3" xfId="378"/>
    <cellStyle name="Comma  - Style2" xfId="191"/>
    <cellStyle name="Comma  - Style2 2" xfId="379"/>
    <cellStyle name="Comma  - Style2 3" xfId="380"/>
    <cellStyle name="Comma  - Style3" xfId="192"/>
    <cellStyle name="Comma  - Style3 2" xfId="381"/>
    <cellStyle name="Comma  - Style3 3" xfId="382"/>
    <cellStyle name="Comma  - Style4" xfId="193"/>
    <cellStyle name="Comma  - Style4 2" xfId="383"/>
    <cellStyle name="Comma  - Style4 3" xfId="384"/>
    <cellStyle name="Comma  - Style5" xfId="194"/>
    <cellStyle name="Comma  - Style5 2" xfId="385"/>
    <cellStyle name="Comma  - Style5 3" xfId="386"/>
    <cellStyle name="Comma  - Style6" xfId="195"/>
    <cellStyle name="Comma  - Style6 2" xfId="387"/>
    <cellStyle name="Comma  - Style6 3" xfId="388"/>
    <cellStyle name="Comma  - Style7" xfId="196"/>
    <cellStyle name="Comma  - Style7 2" xfId="389"/>
    <cellStyle name="Comma  - Style7 3" xfId="390"/>
    <cellStyle name="Comma  - Style8" xfId="197"/>
    <cellStyle name="Comma  - Style8 2" xfId="391"/>
    <cellStyle name="Comma  - Style8 3" xfId="392"/>
    <cellStyle name="Comma (0)" xfId="393"/>
    <cellStyle name="Comma [0] 2" xfId="394"/>
    <cellStyle name="Comma 10" xfId="395"/>
    <cellStyle name="Comma 10 2" xfId="396"/>
    <cellStyle name="Comma 11" xfId="26"/>
    <cellStyle name="Comma 12" xfId="397"/>
    <cellStyle name="Comma 13" xfId="398"/>
    <cellStyle name="Comma 13 2" xfId="399"/>
    <cellStyle name="Comma 13 2 2" xfId="400"/>
    <cellStyle name="Comma 14" xfId="401"/>
    <cellStyle name="Comma 15" xfId="402"/>
    <cellStyle name="Comma 16" xfId="403"/>
    <cellStyle name="Comma 17" xfId="404"/>
    <cellStyle name="Comma 17 2" xfId="405"/>
    <cellStyle name="Comma 18" xfId="406"/>
    <cellStyle name="Comma 19" xfId="27"/>
    <cellStyle name="Comma 2" xfId="8"/>
    <cellStyle name="Comma 2 10" xfId="28"/>
    <cellStyle name="Comma 2 11" xfId="29"/>
    <cellStyle name="Comma 2 12" xfId="30"/>
    <cellStyle name="Comma 2 13" xfId="31"/>
    <cellStyle name="Comma 2 14" xfId="32"/>
    <cellStyle name="Comma 2 15" xfId="33"/>
    <cellStyle name="Comma 2 16" xfId="34"/>
    <cellStyle name="Comma 2 17" xfId="35"/>
    <cellStyle name="Comma 2 18" xfId="36"/>
    <cellStyle name="Comma 2 19" xfId="37"/>
    <cellStyle name="Comma 2 2" xfId="38"/>
    <cellStyle name="Comma 2 2 2" xfId="39"/>
    <cellStyle name="Comma 2 2 2 2" xfId="407"/>
    <cellStyle name="Comma 2 20" xfId="40"/>
    <cellStyle name="Comma 2 21" xfId="41"/>
    <cellStyle name="Comma 2 3" xfId="42"/>
    <cellStyle name="Comma 2 4" xfId="43"/>
    <cellStyle name="Comma 2 5" xfId="44"/>
    <cellStyle name="Comma 2 6" xfId="45"/>
    <cellStyle name="Comma 2 7" xfId="46"/>
    <cellStyle name="Comma 2 8" xfId="47"/>
    <cellStyle name="Comma 2 9" xfId="48"/>
    <cellStyle name="Comma 20" xfId="408"/>
    <cellStyle name="Comma 21" xfId="49"/>
    <cellStyle name="Comma 22" xfId="50"/>
    <cellStyle name="Comma 23" xfId="409"/>
    <cellStyle name="Comma 24" xfId="410"/>
    <cellStyle name="Comma 25" xfId="411"/>
    <cellStyle name="Comma 26" xfId="412"/>
    <cellStyle name="Comma 27" xfId="413"/>
    <cellStyle name="Comma 28" xfId="414"/>
    <cellStyle name="Comma 29" xfId="415"/>
    <cellStyle name="Comma 3" xfId="51"/>
    <cellStyle name="Comma 3 2" xfId="198"/>
    <cellStyle name="Comma 3 3" xfId="416"/>
    <cellStyle name="Comma 3 4" xfId="417"/>
    <cellStyle name="Comma 30" xfId="418"/>
    <cellStyle name="Comma 31" xfId="419"/>
    <cellStyle name="Comma 32" xfId="420"/>
    <cellStyle name="Comma 33" xfId="421"/>
    <cellStyle name="Comma 34" xfId="422"/>
    <cellStyle name="Comma 35" xfId="423"/>
    <cellStyle name="Comma 36" xfId="424"/>
    <cellStyle name="Comma 37" xfId="425"/>
    <cellStyle name="Comma 38" xfId="426"/>
    <cellStyle name="Comma 4" xfId="52"/>
    <cellStyle name="Comma 4 2" xfId="427"/>
    <cellStyle name="Comma 4 2 2" xfId="428"/>
    <cellStyle name="Comma 4 3" xfId="429"/>
    <cellStyle name="Comma 4 3 2" xfId="430"/>
    <cellStyle name="Comma 4 3 3" xfId="431"/>
    <cellStyle name="Comma 4 3 4" xfId="432"/>
    <cellStyle name="Comma 4 4" xfId="433"/>
    <cellStyle name="Comma 4 5" xfId="434"/>
    <cellStyle name="Comma 5" xfId="53"/>
    <cellStyle name="Comma 5 2" xfId="435"/>
    <cellStyle name="Comma 6" xfId="187"/>
    <cellStyle name="Comma 6 2" xfId="436"/>
    <cellStyle name="Comma 6 2 2" xfId="437"/>
    <cellStyle name="Comma 6 3" xfId="438"/>
    <cellStyle name="Comma 7" xfId="439"/>
    <cellStyle name="Comma 7 2" xfId="440"/>
    <cellStyle name="Comma 7 2 2" xfId="441"/>
    <cellStyle name="Comma 7 2 2 2" xfId="442"/>
    <cellStyle name="Comma 7 2 2 2 2" xfId="443"/>
    <cellStyle name="Comma 7 2 2 2 3" xfId="444"/>
    <cellStyle name="Comma 7 2 2 3" xfId="445"/>
    <cellStyle name="Comma 8" xfId="446"/>
    <cellStyle name="Comma 9" xfId="447"/>
    <cellStyle name="Comma0" xfId="54"/>
    <cellStyle name="Comma0 - Style1" xfId="448"/>
    <cellStyle name="Comma0 - Style2" xfId="449"/>
    <cellStyle name="Comma0 - Style3" xfId="450"/>
    <cellStyle name="Comma0 - Style4" xfId="451"/>
    <cellStyle name="Comma0 2" xfId="452"/>
    <cellStyle name="Comma0 2 2" xfId="453"/>
    <cellStyle name="Comma0 3" xfId="454"/>
    <cellStyle name="Comma0 4" xfId="455"/>
    <cellStyle name="Comma0_1st Qtr 2009 Global Insight Factors" xfId="456"/>
    <cellStyle name="Comma1 - Style1" xfId="457"/>
    <cellStyle name="Curren - Style2" xfId="458"/>
    <cellStyle name="Curren - Style3" xfId="459"/>
    <cellStyle name="Currency" xfId="2" builtinId="4"/>
    <cellStyle name="Currency 10" xfId="460"/>
    <cellStyle name="Currency 10 2" xfId="461"/>
    <cellStyle name="Currency 10 3" xfId="462"/>
    <cellStyle name="Currency 2" xfId="9"/>
    <cellStyle name="Currency 2 10" xfId="55"/>
    <cellStyle name="Currency 2 11" xfId="56"/>
    <cellStyle name="Currency 2 12" xfId="57"/>
    <cellStyle name="Currency 2 13" xfId="58"/>
    <cellStyle name="Currency 2 14" xfId="59"/>
    <cellStyle name="Currency 2 15" xfId="60"/>
    <cellStyle name="Currency 2 16" xfId="61"/>
    <cellStyle name="Currency 2 17" xfId="62"/>
    <cellStyle name="Currency 2 18" xfId="63"/>
    <cellStyle name="Currency 2 19" xfId="64"/>
    <cellStyle name="Currency 2 2" xfId="65"/>
    <cellStyle name="Currency 2 2 2" xfId="66"/>
    <cellStyle name="Currency 2 20" xfId="67"/>
    <cellStyle name="Currency 2 21" xfId="68"/>
    <cellStyle name="Currency 2 3" xfId="69"/>
    <cellStyle name="Currency 2 4" xfId="70"/>
    <cellStyle name="Currency 2 5" xfId="71"/>
    <cellStyle name="Currency 2 6" xfId="72"/>
    <cellStyle name="Currency 2 7" xfId="73"/>
    <cellStyle name="Currency 2 8" xfId="74"/>
    <cellStyle name="Currency 2 9" xfId="75"/>
    <cellStyle name="Currency 3" xfId="199"/>
    <cellStyle name="Currency 3 2" xfId="463"/>
    <cellStyle name="Currency 4" xfId="464"/>
    <cellStyle name="Currency 4 2" xfId="465"/>
    <cellStyle name="Currency 5" xfId="466"/>
    <cellStyle name="Currency 6" xfId="467"/>
    <cellStyle name="Currency 7" xfId="468"/>
    <cellStyle name="Currency 7 2" xfId="469"/>
    <cellStyle name="Currency 7 2 2" xfId="470"/>
    <cellStyle name="Currency 8" xfId="471"/>
    <cellStyle name="Currency 9" xfId="472"/>
    <cellStyle name="Currency No Comma" xfId="76"/>
    <cellStyle name="Currency(0)" xfId="473"/>
    <cellStyle name="Currency0" xfId="77"/>
    <cellStyle name="Currency0 2" xfId="474"/>
    <cellStyle name="Currency0 2 2" xfId="475"/>
    <cellStyle name="Currency0 3" xfId="476"/>
    <cellStyle name="Currency0 4" xfId="477"/>
    <cellStyle name="Custom - Style8" xfId="478"/>
    <cellStyle name="Data   - Style2" xfId="479"/>
    <cellStyle name="Date" xfId="78"/>
    <cellStyle name="Date - Style1" xfId="480"/>
    <cellStyle name="Date - Style3" xfId="481"/>
    <cellStyle name="Date 2" xfId="482"/>
    <cellStyle name="Date 2 2" xfId="483"/>
    <cellStyle name="Date 3" xfId="484"/>
    <cellStyle name="Date 4" xfId="485"/>
    <cellStyle name="Date_1st Qtr 2009 Global Insight Factors" xfId="486"/>
    <cellStyle name="Explanatory Text 2" xfId="487"/>
    <cellStyle name="Explanatory Text 3" xfId="488"/>
    <cellStyle name="Explanatory Text 4" xfId="489"/>
    <cellStyle name="Explanatory Text 5" xfId="490"/>
    <cellStyle name="Explanatory Text 6" xfId="491"/>
    <cellStyle name="Fixed" xfId="79"/>
    <cellStyle name="Fixed 2" xfId="492"/>
    <cellStyle name="Fixed 2 2" xfId="493"/>
    <cellStyle name="Fixed 3" xfId="494"/>
    <cellStyle name="Fixed 4" xfId="495"/>
    <cellStyle name="Fixed2 - Style2" xfId="496"/>
    <cellStyle name="General" xfId="10"/>
    <cellStyle name="Good 2" xfId="497"/>
    <cellStyle name="Good 3" xfId="498"/>
    <cellStyle name="Good 4" xfId="499"/>
    <cellStyle name="Good 5" xfId="500"/>
    <cellStyle name="Good 6" xfId="501"/>
    <cellStyle name="Grey" xfId="200"/>
    <cellStyle name="Grey 2" xfId="502"/>
    <cellStyle name="Grey 3" xfId="503"/>
    <cellStyle name="header" xfId="201"/>
    <cellStyle name="Header1" xfId="202"/>
    <cellStyle name="Header2" xfId="203"/>
    <cellStyle name="Heading 1 2" xfId="504"/>
    <cellStyle name="Heading 2 2" xfId="505"/>
    <cellStyle name="Heading 2 2 2" xfId="506"/>
    <cellStyle name="Heading 2 3" xfId="507"/>
    <cellStyle name="Heading 2 4" xfId="508"/>
    <cellStyle name="Heading 2 5" xfId="509"/>
    <cellStyle name="Heading 3 2" xfId="510"/>
    <cellStyle name="Heading 3 3" xfId="511"/>
    <cellStyle name="Heading 3 4" xfId="512"/>
    <cellStyle name="Heading 3 5" xfId="513"/>
    <cellStyle name="Heading 3 6" xfId="514"/>
    <cellStyle name="Heading 4 2" xfId="515"/>
    <cellStyle name="Heading 4 3" xfId="516"/>
    <cellStyle name="Heading 4 4" xfId="517"/>
    <cellStyle name="Heading 4 5" xfId="518"/>
    <cellStyle name="Heading 4 6" xfId="519"/>
    <cellStyle name="Heading1" xfId="520"/>
    <cellStyle name="Heading2" xfId="521"/>
    <cellStyle name="Hyperlink 2" xfId="522"/>
    <cellStyle name="Hyperlink 2 2" xfId="523"/>
    <cellStyle name="Hyperlink 2 3" xfId="524"/>
    <cellStyle name="Hyperlink 3" xfId="525"/>
    <cellStyle name="Hyperlink 4" xfId="526"/>
    <cellStyle name="Input [yellow]" xfId="204"/>
    <cellStyle name="Input [yellow] 2" xfId="527"/>
    <cellStyle name="Input [yellow] 3" xfId="528"/>
    <cellStyle name="Input 2" xfId="529"/>
    <cellStyle name="Input 2 2" xfId="530"/>
    <cellStyle name="Inst. Sections" xfId="531"/>
    <cellStyle name="Inst. Subheading" xfId="532"/>
    <cellStyle name="Labels - Style3" xfId="533"/>
    <cellStyle name="Linked Cell 2" xfId="534"/>
    <cellStyle name="Linked Cell 3" xfId="535"/>
    <cellStyle name="Linked Cell 4" xfId="536"/>
    <cellStyle name="Linked Cell 5" xfId="537"/>
    <cellStyle name="Linked Cell 6" xfId="538"/>
    <cellStyle name="Macro" xfId="539"/>
    <cellStyle name="macro descr" xfId="540"/>
    <cellStyle name="Macro_Comments" xfId="541"/>
    <cellStyle name="MacroText" xfId="542"/>
    <cellStyle name="Marathon" xfId="543"/>
    <cellStyle name="MCP" xfId="80"/>
    <cellStyle name="Neutral 2" xfId="544"/>
    <cellStyle name="Neutral 3" xfId="545"/>
    <cellStyle name="Neutral 4" xfId="546"/>
    <cellStyle name="Neutral 5" xfId="547"/>
    <cellStyle name="Neutral 6" xfId="548"/>
    <cellStyle name="nONE" xfId="11"/>
    <cellStyle name="nONE 2" xfId="549"/>
    <cellStyle name="noninput" xfId="81"/>
    <cellStyle name="noninput 2" xfId="550"/>
    <cellStyle name="noninput 3" xfId="551"/>
    <cellStyle name="noninput 4" xfId="552"/>
    <cellStyle name="Normal" xfId="0" builtinId="0"/>
    <cellStyle name="Normal - Style1" xfId="205"/>
    <cellStyle name="Normal - Style1 2" xfId="553"/>
    <cellStyle name="Normal - Style1 3" xfId="554"/>
    <cellStyle name="Normal - Style2" xfId="555"/>
    <cellStyle name="Normal - Style3" xfId="556"/>
    <cellStyle name="Normal - Style4" xfId="557"/>
    <cellStyle name="Normal - Style5" xfId="558"/>
    <cellStyle name="Normal - Style6" xfId="559"/>
    <cellStyle name="Normal - Style7" xfId="560"/>
    <cellStyle name="Normal - Style8" xfId="561"/>
    <cellStyle name="Normal 10" xfId="82"/>
    <cellStyle name="Normal 10 2" xfId="562"/>
    <cellStyle name="Normal 10 2 2" xfId="563"/>
    <cellStyle name="Normal 10 3" xfId="564"/>
    <cellStyle name="Normal 10 4" xfId="565"/>
    <cellStyle name="Normal 10 5" xfId="566"/>
    <cellStyle name="Normal 10 6" xfId="567"/>
    <cellStyle name="Normal 100" xfId="568"/>
    <cellStyle name="Normal 101" xfId="569"/>
    <cellStyle name="Normal 102" xfId="570"/>
    <cellStyle name="Normal 103" xfId="571"/>
    <cellStyle name="Normal 104" xfId="572"/>
    <cellStyle name="Normal 105" xfId="573"/>
    <cellStyle name="Normal 106" xfId="574"/>
    <cellStyle name="Normal 107" xfId="575"/>
    <cellStyle name="Normal 108" xfId="576"/>
    <cellStyle name="Normal 109" xfId="577"/>
    <cellStyle name="Normal 11" xfId="83"/>
    <cellStyle name="Normal 11 2" xfId="578"/>
    <cellStyle name="Normal 11 2 2" xfId="579"/>
    <cellStyle name="Normal 110" xfId="580"/>
    <cellStyle name="Normal 111" xfId="581"/>
    <cellStyle name="Normal 112" xfId="582"/>
    <cellStyle name="Normal 113" xfId="583"/>
    <cellStyle name="Normal 114" xfId="584"/>
    <cellStyle name="Normal 115" xfId="585"/>
    <cellStyle name="Normal 116" xfId="586"/>
    <cellStyle name="Normal 117" xfId="587"/>
    <cellStyle name="Normal 118" xfId="588"/>
    <cellStyle name="Normal 119" xfId="589"/>
    <cellStyle name="Normal 12" xfId="84"/>
    <cellStyle name="Normal 12 2" xfId="590"/>
    <cellStyle name="Normal 120" xfId="591"/>
    <cellStyle name="Normal 121" xfId="592"/>
    <cellStyle name="Normal 122" xfId="593"/>
    <cellStyle name="Normal 123" xfId="594"/>
    <cellStyle name="Normal 124" xfId="595"/>
    <cellStyle name="Normal 125" xfId="596"/>
    <cellStyle name="Normal 126" xfId="597"/>
    <cellStyle name="Normal 127" xfId="598"/>
    <cellStyle name="Normal 128" xfId="599"/>
    <cellStyle name="Normal 129" xfId="600"/>
    <cellStyle name="Normal 13" xfId="85"/>
    <cellStyle name="Normal 130" xfId="601"/>
    <cellStyle name="Normal 131" xfId="602"/>
    <cellStyle name="Normal 132" xfId="603"/>
    <cellStyle name="Normal 133" xfId="604"/>
    <cellStyle name="Normal 134" xfId="605"/>
    <cellStyle name="Normal 135" xfId="606"/>
    <cellStyle name="Normal 136" xfId="607"/>
    <cellStyle name="Normal 137" xfId="608"/>
    <cellStyle name="Normal 138" xfId="609"/>
    <cellStyle name="Normal 139" xfId="610"/>
    <cellStyle name="Normal 14" xfId="86"/>
    <cellStyle name="Normal 14 2" xfId="611"/>
    <cellStyle name="Normal 140" xfId="612"/>
    <cellStyle name="Normal 141" xfId="613"/>
    <cellStyle name="Normal 142" xfId="614"/>
    <cellStyle name="Normal 143" xfId="615"/>
    <cellStyle name="Normal 144" xfId="616"/>
    <cellStyle name="Normal 145" xfId="617"/>
    <cellStyle name="Normal 146" xfId="618"/>
    <cellStyle name="Normal 147" xfId="619"/>
    <cellStyle name="Normal 148" xfId="620"/>
    <cellStyle name="Normal 149" xfId="621"/>
    <cellStyle name="Normal 15" xfId="184"/>
    <cellStyle name="Normal 15 2" xfId="622"/>
    <cellStyle name="Normal 15 2 2" xfId="623"/>
    <cellStyle name="Normal 150" xfId="624"/>
    <cellStyle name="Normal 151" xfId="625"/>
    <cellStyle name="Normal 152" xfId="626"/>
    <cellStyle name="Normal 153" xfId="627"/>
    <cellStyle name="Normal 154" xfId="628"/>
    <cellStyle name="Normal 155" xfId="629"/>
    <cellStyle name="Normal 156" xfId="630"/>
    <cellStyle name="Normal 157" xfId="631"/>
    <cellStyle name="Normal 158" xfId="632"/>
    <cellStyle name="Normal 159" xfId="633"/>
    <cellStyle name="Normal 16" xfId="87"/>
    <cellStyle name="Normal 16 2" xfId="634"/>
    <cellStyle name="Normal 160" xfId="635"/>
    <cellStyle name="Normal 161" xfId="636"/>
    <cellStyle name="Normal 162" xfId="637"/>
    <cellStyle name="Normal 163" xfId="638"/>
    <cellStyle name="Normal 164" xfId="639"/>
    <cellStyle name="Normal 165" xfId="640"/>
    <cellStyle name="Normal 166" xfId="641"/>
    <cellStyle name="Normal 167" xfId="642"/>
    <cellStyle name="Normal 168" xfId="643"/>
    <cellStyle name="Normal 169" xfId="644"/>
    <cellStyle name="Normal 17" xfId="88"/>
    <cellStyle name="Normal 170" xfId="645"/>
    <cellStyle name="Normal 171" xfId="646"/>
    <cellStyle name="Normal 172" xfId="647"/>
    <cellStyle name="Normal 173" xfId="648"/>
    <cellStyle name="Normal 174" xfId="649"/>
    <cellStyle name="Normal 175" xfId="650"/>
    <cellStyle name="Normal 176" xfId="651"/>
    <cellStyle name="Normal 177" xfId="652"/>
    <cellStyle name="Normal 178" xfId="653"/>
    <cellStyle name="Normal 179" xfId="654"/>
    <cellStyle name="Normal 18" xfId="89"/>
    <cellStyle name="Normal 18 2" xfId="655"/>
    <cellStyle name="Normal 180" xfId="656"/>
    <cellStyle name="Normal 181" xfId="657"/>
    <cellStyle name="Normal 182" xfId="658"/>
    <cellStyle name="Normal 183" xfId="659"/>
    <cellStyle name="Normal 184" xfId="660"/>
    <cellStyle name="Normal 185" xfId="661"/>
    <cellStyle name="Normal 186" xfId="662"/>
    <cellStyle name="Normal 187" xfId="663"/>
    <cellStyle name="Normal 188" xfId="664"/>
    <cellStyle name="Normal 189" xfId="665"/>
    <cellStyle name="Normal 19" xfId="90"/>
    <cellStyle name="Normal 190" xfId="666"/>
    <cellStyle name="Normal 191" xfId="667"/>
    <cellStyle name="Normal 192" xfId="668"/>
    <cellStyle name="Normal 193" xfId="669"/>
    <cellStyle name="Normal 194" xfId="670"/>
    <cellStyle name="Normal 195" xfId="671"/>
    <cellStyle name="Normal 196" xfId="672"/>
    <cellStyle name="Normal 197" xfId="673"/>
    <cellStyle name="Normal 198" xfId="674"/>
    <cellStyle name="Normal 199" xfId="675"/>
    <cellStyle name="Normal 2" xfId="12"/>
    <cellStyle name="Normal 2 10" xfId="91"/>
    <cellStyle name="Normal 2 10 2" xfId="676"/>
    <cellStyle name="Normal 2 10 2 2 2 3" xfId="1082"/>
    <cellStyle name="Normal 2 11" xfId="92"/>
    <cellStyle name="Normal 2 12" xfId="93"/>
    <cellStyle name="Normal 2 13" xfId="94"/>
    <cellStyle name="Normal 2 14" xfId="95"/>
    <cellStyle name="Normal 2 15" xfId="96"/>
    <cellStyle name="Normal 2 16" xfId="97"/>
    <cellStyle name="Normal 2 17" xfId="98"/>
    <cellStyle name="Normal 2 18" xfId="99"/>
    <cellStyle name="Normal 2 19" xfId="100"/>
    <cellStyle name="Normal 2 2" xfId="6"/>
    <cellStyle name="Normal 2 2 2" xfId="677"/>
    <cellStyle name="Normal 2 2 2 2" xfId="678"/>
    <cellStyle name="Normal 2 2 3" xfId="679"/>
    <cellStyle name="Normal 2 2 4" xfId="680"/>
    <cellStyle name="Normal 2 2 5" xfId="681"/>
    <cellStyle name="Normal 2 20" xfId="101"/>
    <cellStyle name="Normal 2 21" xfId="102"/>
    <cellStyle name="Normal 2 22" xfId="103"/>
    <cellStyle name="Normal 2 23" xfId="682"/>
    <cellStyle name="Normal 2 3" xfId="104"/>
    <cellStyle name="Normal 2 3 2" xfId="105"/>
    <cellStyle name="Normal 2 3 2 2" xfId="683"/>
    <cellStyle name="Normal 2 3 3" xfId="684"/>
    <cellStyle name="Normal 2 3 4" xfId="685"/>
    <cellStyle name="Normal 2 3 5" xfId="686"/>
    <cellStyle name="Normal 2 3 6" xfId="687"/>
    <cellStyle name="Normal 2 4" xfId="106"/>
    <cellStyle name="Normal 2 4 2" xfId="688"/>
    <cellStyle name="Normal 2 5" xfId="107"/>
    <cellStyle name="Normal 2 5 2" xfId="689"/>
    <cellStyle name="Normal 2 6" xfId="108"/>
    <cellStyle name="Normal 2 7" xfId="109"/>
    <cellStyle name="Normal 2 8" xfId="110"/>
    <cellStyle name="Normal 2 9" xfId="111"/>
    <cellStyle name="Normal 2_Book1" xfId="112"/>
    <cellStyle name="Normal 20" xfId="113"/>
    <cellStyle name="Normal 20 2" xfId="690"/>
    <cellStyle name="Normal 200" xfId="691"/>
    <cellStyle name="Normal 201" xfId="692"/>
    <cellStyle name="Normal 202" xfId="693"/>
    <cellStyle name="Normal 203" xfId="694"/>
    <cellStyle name="Normal 204" xfId="695"/>
    <cellStyle name="Normal 205" xfId="696"/>
    <cellStyle name="Normal 206" xfId="697"/>
    <cellStyle name="Normal 207" xfId="698"/>
    <cellStyle name="Normal 208" xfId="699"/>
    <cellStyle name="Normal 209" xfId="700"/>
    <cellStyle name="Normal 21" xfId="114"/>
    <cellStyle name="Normal 210" xfId="701"/>
    <cellStyle name="Normal 211" xfId="702"/>
    <cellStyle name="Normal 212" xfId="703"/>
    <cellStyle name="Normal 213" xfId="704"/>
    <cellStyle name="Normal 214" xfId="705"/>
    <cellStyle name="Normal 215" xfId="706"/>
    <cellStyle name="Normal 216" xfId="707"/>
    <cellStyle name="Normal 217" xfId="708"/>
    <cellStyle name="Normal 218" xfId="709"/>
    <cellStyle name="Normal 219" xfId="710"/>
    <cellStyle name="Normal 22" xfId="115"/>
    <cellStyle name="Normal 22 2" xfId="711"/>
    <cellStyle name="Normal 22 3" xfId="712"/>
    <cellStyle name="Normal 220" xfId="713"/>
    <cellStyle name="Normal 221" xfId="714"/>
    <cellStyle name="Normal 222" xfId="715"/>
    <cellStyle name="Normal 223" xfId="716"/>
    <cellStyle name="Normal 224" xfId="717"/>
    <cellStyle name="Normal 225" xfId="718"/>
    <cellStyle name="Normal 226" xfId="719"/>
    <cellStyle name="Normal 227" xfId="720"/>
    <cellStyle name="Normal 228" xfId="721"/>
    <cellStyle name="Normal 229" xfId="722"/>
    <cellStyle name="Normal 23" xfId="116"/>
    <cellStyle name="Normal 23 2" xfId="723"/>
    <cellStyle name="Normal 230" xfId="724"/>
    <cellStyle name="Normal 231" xfId="725"/>
    <cellStyle name="Normal 232" xfId="726"/>
    <cellStyle name="Normal 233" xfId="727"/>
    <cellStyle name="Normal 234" xfId="728"/>
    <cellStyle name="Normal 235" xfId="729"/>
    <cellStyle name="Normal 236" xfId="730"/>
    <cellStyle name="Normal 237" xfId="731"/>
    <cellStyle name="Normal 238" xfId="732"/>
    <cellStyle name="Normal 239" xfId="733"/>
    <cellStyle name="Normal 24" xfId="117"/>
    <cellStyle name="Normal 24 2" xfId="734"/>
    <cellStyle name="Normal 24 3" xfId="735"/>
    <cellStyle name="Normal 240" xfId="736"/>
    <cellStyle name="Normal 240 2" xfId="737"/>
    <cellStyle name="Normal 241" xfId="738"/>
    <cellStyle name="Normal 241 2" xfId="739"/>
    <cellStyle name="Normal 241 3" xfId="740"/>
    <cellStyle name="Normal 242" xfId="741"/>
    <cellStyle name="Normal 243" xfId="742"/>
    <cellStyle name="Normal 243 2" xfId="743"/>
    <cellStyle name="Normal 244" xfId="744"/>
    <cellStyle name="Normal 245" xfId="745"/>
    <cellStyle name="Normal 246" xfId="746"/>
    <cellStyle name="Normal 247" xfId="747"/>
    <cellStyle name="Normal 248" xfId="748"/>
    <cellStyle name="Normal 249" xfId="749"/>
    <cellStyle name="Normal 25" xfId="188"/>
    <cellStyle name="Normal 250" xfId="750"/>
    <cellStyle name="Normal 251" xfId="751"/>
    <cellStyle name="Normal 252" xfId="752"/>
    <cellStyle name="Normal 253" xfId="753"/>
    <cellStyle name="Normal 254" xfId="754"/>
    <cellStyle name="Normal 255" xfId="755"/>
    <cellStyle name="Normal 256" xfId="756"/>
    <cellStyle name="Normal 257" xfId="757"/>
    <cellStyle name="Normal 258" xfId="758"/>
    <cellStyle name="Normal 259" xfId="759"/>
    <cellStyle name="Normal 26" xfId="215"/>
    <cellStyle name="Normal 26 2" xfId="760"/>
    <cellStyle name="Normal 260" xfId="761"/>
    <cellStyle name="Normal 261" xfId="762"/>
    <cellStyle name="Normal 262" xfId="763"/>
    <cellStyle name="Normal 263" xfId="764"/>
    <cellStyle name="Normal 264" xfId="765"/>
    <cellStyle name="Normal 265" xfId="766"/>
    <cellStyle name="Normal 266" xfId="767"/>
    <cellStyle name="Normal 267" xfId="768"/>
    <cellStyle name="Normal 268" xfId="769"/>
    <cellStyle name="Normal 269" xfId="770"/>
    <cellStyle name="Normal 27" xfId="216"/>
    <cellStyle name="Normal 270" xfId="771"/>
    <cellStyle name="Normal 270 2" xfId="772"/>
    <cellStyle name="Normal 271" xfId="1081"/>
    <cellStyle name="Normal 28" xfId="773"/>
    <cellStyle name="Normal 29" xfId="774"/>
    <cellStyle name="Normal 3" xfId="7"/>
    <cellStyle name="Normal 3 2" xfId="13"/>
    <cellStyle name="Normal 3 2 2" xfId="206"/>
    <cellStyle name="Normal 3 2 2 2" xfId="775"/>
    <cellStyle name="Normal 3 2 3" xfId="776"/>
    <cellStyle name="Normal 3 2 4" xfId="777"/>
    <cellStyle name="Normal 3 2 5" xfId="778"/>
    <cellStyle name="Normal 3 2 6" xfId="779"/>
    <cellStyle name="Normal 3 3" xfId="207"/>
    <cellStyle name="Normal 3 3 2" xfId="780"/>
    <cellStyle name="Normal 3 4" xfId="781"/>
    <cellStyle name="Normal 3 5" xfId="782"/>
    <cellStyle name="Normal 3 5 2" xfId="783"/>
    <cellStyle name="Normal 3 6" xfId="784"/>
    <cellStyle name="Normal 3 7" xfId="785"/>
    <cellStyle name="Normal 3 8" xfId="786"/>
    <cellStyle name="Normal 30" xfId="787"/>
    <cellStyle name="Normal 31" xfId="788"/>
    <cellStyle name="Normal 32" xfId="789"/>
    <cellStyle name="Normal 33" xfId="790"/>
    <cellStyle name="Normal 34" xfId="791"/>
    <cellStyle name="Normal 35" xfId="792"/>
    <cellStyle name="Normal 36" xfId="793"/>
    <cellStyle name="Normal 37" xfId="794"/>
    <cellStyle name="Normal 38" xfId="795"/>
    <cellStyle name="Normal 39" xfId="796"/>
    <cellStyle name="Normal 4" xfId="14"/>
    <cellStyle name="Normal 4 2" xfId="208"/>
    <cellStyle name="Normal 4 3" xfId="797"/>
    <cellStyle name="Normal 4 3 2" xfId="798"/>
    <cellStyle name="Normal 4 3 3" xfId="799"/>
    <cellStyle name="Normal 4 3 4" xfId="800"/>
    <cellStyle name="Normal 4 4" xfId="801"/>
    <cellStyle name="Normal 4 5" xfId="802"/>
    <cellStyle name="Normal 4 6" xfId="803"/>
    <cellStyle name="Normal 4 7" xfId="804"/>
    <cellStyle name="Normal 40" xfId="805"/>
    <cellStyle name="Normal 41" xfId="806"/>
    <cellStyle name="Normal 42" xfId="807"/>
    <cellStyle name="Normal 43" xfId="808"/>
    <cellStyle name="Normal 44" xfId="809"/>
    <cellStyle name="Normal 45" xfId="810"/>
    <cellStyle name="Normal 46" xfId="811"/>
    <cellStyle name="Normal 47" xfId="812"/>
    <cellStyle name="Normal 48" xfId="813"/>
    <cellStyle name="Normal 49" xfId="814"/>
    <cellStyle name="Normal 5" xfId="15"/>
    <cellStyle name="Normal 5 2" xfId="815"/>
    <cellStyle name="Normal 5 2 2" xfId="816"/>
    <cellStyle name="Normal 5 2 3" xfId="817"/>
    <cellStyle name="Normal 5 3" xfId="818"/>
    <cellStyle name="Normal 50" xfId="819"/>
    <cellStyle name="Normal 51" xfId="820"/>
    <cellStyle name="Normal 52" xfId="821"/>
    <cellStyle name="Normal 53" xfId="822"/>
    <cellStyle name="Normal 54" xfId="823"/>
    <cellStyle name="Normal 55" xfId="824"/>
    <cellStyle name="Normal 56" xfId="825"/>
    <cellStyle name="Normal 57" xfId="826"/>
    <cellStyle name="Normal 58" xfId="827"/>
    <cellStyle name="Normal 59" xfId="828"/>
    <cellStyle name="Normal 6" xfId="16"/>
    <cellStyle name="Normal 6 2" xfId="209"/>
    <cellStyle name="Normal 6 2 2" xfId="829"/>
    <cellStyle name="Normal 6 3" xfId="830"/>
    <cellStyle name="Normal 6 4" xfId="831"/>
    <cellStyle name="Normal 6 4 2" xfId="832"/>
    <cellStyle name="Normal 6 4 2 2" xfId="833"/>
    <cellStyle name="Normal 6 5" xfId="834"/>
    <cellStyle name="Normal 60" xfId="835"/>
    <cellStyle name="Normal 61" xfId="836"/>
    <cellStyle name="Normal 62" xfId="837"/>
    <cellStyle name="Normal 63" xfId="838"/>
    <cellStyle name="Normal 64" xfId="839"/>
    <cellStyle name="Normal 65" xfId="840"/>
    <cellStyle name="Normal 66" xfId="841"/>
    <cellStyle name="Normal 67" xfId="842"/>
    <cellStyle name="Normal 68" xfId="843"/>
    <cellStyle name="Normal 69" xfId="844"/>
    <cellStyle name="Normal 7" xfId="17"/>
    <cellStyle name="Normal 7 2" xfId="845"/>
    <cellStyle name="Normal 70" xfId="846"/>
    <cellStyle name="Normal 71" xfId="847"/>
    <cellStyle name="Normal 72" xfId="848"/>
    <cellStyle name="Normal 73" xfId="849"/>
    <cellStyle name="Normal 74" xfId="850"/>
    <cellStyle name="Normal 75" xfId="851"/>
    <cellStyle name="Normal 76" xfId="852"/>
    <cellStyle name="Normal 77" xfId="853"/>
    <cellStyle name="Normal 78" xfId="854"/>
    <cellStyle name="Normal 79" xfId="855"/>
    <cellStyle name="Normal 8" xfId="18"/>
    <cellStyle name="Normal 8 2" xfId="856"/>
    <cellStyle name="Normal 8 3" xfId="857"/>
    <cellStyle name="Normal 80" xfId="858"/>
    <cellStyle name="Normal 81" xfId="859"/>
    <cellStyle name="Normal 82" xfId="860"/>
    <cellStyle name="Normal 83" xfId="861"/>
    <cellStyle name="Normal 84" xfId="862"/>
    <cellStyle name="Normal 85" xfId="863"/>
    <cellStyle name="Normal 86" xfId="864"/>
    <cellStyle name="Normal 87" xfId="865"/>
    <cellStyle name="Normal 88" xfId="866"/>
    <cellStyle name="Normal 89" xfId="867"/>
    <cellStyle name="Normal 9" xfId="118"/>
    <cellStyle name="Normal 9 2" xfId="868"/>
    <cellStyle name="Normal 90" xfId="869"/>
    <cellStyle name="Normal 91" xfId="870"/>
    <cellStyle name="Normal 92" xfId="871"/>
    <cellStyle name="Normal 93" xfId="872"/>
    <cellStyle name="Normal 94" xfId="873"/>
    <cellStyle name="Normal 95" xfId="874"/>
    <cellStyle name="Normal 96" xfId="875"/>
    <cellStyle name="Normal 97" xfId="876"/>
    <cellStyle name="Normal 98" xfId="877"/>
    <cellStyle name="Normal 99" xfId="878"/>
    <cellStyle name="Normal(0)" xfId="879"/>
    <cellStyle name="Normal_Bill Comp Settlement with New DSM" xfId="214"/>
    <cellStyle name="Normal_Blocking 03-01" xfId="5"/>
    <cellStyle name="Normal_Blocking 09-00" xfId="4"/>
    <cellStyle name="Normal_Blocking 09-00 2" xfId="218"/>
    <cellStyle name="Normal_Distribution" xfId="186"/>
    <cellStyle name="Note 2" xfId="880"/>
    <cellStyle name="Note 3" xfId="881"/>
    <cellStyle name="Note 4" xfId="882"/>
    <cellStyle name="Note 5" xfId="883"/>
    <cellStyle name="Note 6" xfId="884"/>
    <cellStyle name="Number" xfId="885"/>
    <cellStyle name="Number 10" xfId="886"/>
    <cellStyle name="Number 11" xfId="887"/>
    <cellStyle name="Number 12" xfId="888"/>
    <cellStyle name="Number 13" xfId="889"/>
    <cellStyle name="Number 14" xfId="890"/>
    <cellStyle name="Number 2" xfId="891"/>
    <cellStyle name="Number 3" xfId="892"/>
    <cellStyle name="Number 4" xfId="893"/>
    <cellStyle name="Number 5" xfId="894"/>
    <cellStyle name="Number 6" xfId="895"/>
    <cellStyle name="Number 7" xfId="896"/>
    <cellStyle name="Number 8" xfId="897"/>
    <cellStyle name="Number 9" xfId="898"/>
    <cellStyle name="Output 2" xfId="899"/>
    <cellStyle name="Output 3" xfId="900"/>
    <cellStyle name="Output 4" xfId="901"/>
    <cellStyle name="Output 5" xfId="902"/>
    <cellStyle name="Output 6" xfId="903"/>
    <cellStyle name="Output Amounts" xfId="904"/>
    <cellStyle name="Output Line Items" xfId="905"/>
    <cellStyle name="Password" xfId="119"/>
    <cellStyle name="Percen - Style1" xfId="906"/>
    <cellStyle name="Percen - Style2" xfId="907"/>
    <cellStyle name="Percent" xfId="3" builtinId="5"/>
    <cellStyle name="Percent [2]" xfId="210"/>
    <cellStyle name="Percent [2] 2" xfId="908"/>
    <cellStyle name="Percent [2] 3" xfId="909"/>
    <cellStyle name="Percent 10" xfId="910"/>
    <cellStyle name="Percent 11" xfId="911"/>
    <cellStyle name="Percent 12" xfId="912"/>
    <cellStyle name="Percent 13" xfId="120"/>
    <cellStyle name="Percent 19" xfId="121"/>
    <cellStyle name="Percent 2" xfId="19"/>
    <cellStyle name="Percent 2 10" xfId="122"/>
    <cellStyle name="Percent 2 11" xfId="123"/>
    <cellStyle name="Percent 2 12" xfId="124"/>
    <cellStyle name="Percent 2 13" xfId="125"/>
    <cellStyle name="Percent 2 14" xfId="126"/>
    <cellStyle name="Percent 2 15" xfId="127"/>
    <cellStyle name="Percent 2 16" xfId="128"/>
    <cellStyle name="Percent 2 17" xfId="129"/>
    <cellStyle name="Percent 2 18" xfId="130"/>
    <cellStyle name="Percent 2 19" xfId="131"/>
    <cellStyle name="Percent 2 2" xfId="20"/>
    <cellStyle name="Percent 2 2 2" xfId="132"/>
    <cellStyle name="Percent 2 20" xfId="133"/>
    <cellStyle name="Percent 2 21" xfId="134"/>
    <cellStyle name="Percent 2 3" xfId="135"/>
    <cellStyle name="Percent 2 3 2" xfId="913"/>
    <cellStyle name="Percent 2 4" xfId="136"/>
    <cellStyle name="Percent 2 5" xfId="137"/>
    <cellStyle name="Percent 2 6" xfId="138"/>
    <cellStyle name="Percent 2 7" xfId="139"/>
    <cellStyle name="Percent 2 8" xfId="140"/>
    <cellStyle name="Percent 2 9" xfId="141"/>
    <cellStyle name="Percent 22" xfId="142"/>
    <cellStyle name="Percent 3" xfId="21"/>
    <cellStyle name="Percent 3 2" xfId="211"/>
    <cellStyle name="Percent 3 2 2" xfId="914"/>
    <cellStyle name="Percent 3 3" xfId="915"/>
    <cellStyle name="Percent 3 4" xfId="916"/>
    <cellStyle name="Percent 3 5" xfId="917"/>
    <cellStyle name="Percent 3 6" xfId="918"/>
    <cellStyle name="Percent 3 7" xfId="919"/>
    <cellStyle name="Percent 3 8" xfId="920"/>
    <cellStyle name="Percent 3 9" xfId="921"/>
    <cellStyle name="Percent 4" xfId="22"/>
    <cellStyle name="Percent 4 2" xfId="922"/>
    <cellStyle name="Percent 4 2 2" xfId="923"/>
    <cellStyle name="Percent 4 3" xfId="924"/>
    <cellStyle name="Percent 5" xfId="23"/>
    <cellStyle name="Percent 6" xfId="24"/>
    <cellStyle name="Percent 6 2" xfId="925"/>
    <cellStyle name="Percent 6 2 2" xfId="926"/>
    <cellStyle name="Percent 7" xfId="185"/>
    <cellStyle name="Percent 7 2" xfId="927"/>
    <cellStyle name="Percent 8" xfId="189"/>
    <cellStyle name="Percent 9" xfId="217"/>
    <cellStyle name="Percent(0)" xfId="928"/>
    <cellStyle name="Reset  - Style7" xfId="929"/>
    <cellStyle name="SAPBEXaggData" xfId="143"/>
    <cellStyle name="SAPBEXaggDataEmph" xfId="144"/>
    <cellStyle name="SAPBEXaggItem" xfId="145"/>
    <cellStyle name="SAPBEXaggItem 2" xfId="930"/>
    <cellStyle name="SAPBEXaggItem 3" xfId="931"/>
    <cellStyle name="SAPBEXaggItem 4" xfId="932"/>
    <cellStyle name="SAPBEXaggItem 5" xfId="933"/>
    <cellStyle name="SAPBEXaggItem 6" xfId="934"/>
    <cellStyle name="SAPBEXaggItem_Copy of xSAPtemp5457" xfId="935"/>
    <cellStyle name="SAPBEXaggItemX" xfId="146"/>
    <cellStyle name="SAPBEXchaText" xfId="147"/>
    <cellStyle name="SAPBEXchaText 2" xfId="936"/>
    <cellStyle name="SAPBEXchaText 3" xfId="937"/>
    <cellStyle name="SAPBEXchaText 4" xfId="938"/>
    <cellStyle name="SAPBEXchaText 5" xfId="939"/>
    <cellStyle name="SAPBEXchaText 6" xfId="940"/>
    <cellStyle name="SAPBEXchaText_Copy of xSAPtemp5457" xfId="941"/>
    <cellStyle name="SAPBEXexcBad7" xfId="148"/>
    <cellStyle name="SAPBEXexcBad8" xfId="149"/>
    <cellStyle name="SAPBEXexcBad9" xfId="150"/>
    <cellStyle name="SAPBEXexcCritical4" xfId="151"/>
    <cellStyle name="SAPBEXexcCritical5" xfId="152"/>
    <cellStyle name="SAPBEXexcCritical6" xfId="153"/>
    <cellStyle name="SAPBEXexcGood1" xfId="154"/>
    <cellStyle name="SAPBEXexcGood2" xfId="155"/>
    <cellStyle name="SAPBEXexcGood3" xfId="156"/>
    <cellStyle name="SAPBEXfilterDrill" xfId="157"/>
    <cellStyle name="SAPBEXfilterDrill 2" xfId="942"/>
    <cellStyle name="SAPBEXfilterItem" xfId="158"/>
    <cellStyle name="SAPBEXfilterItem 2" xfId="943"/>
    <cellStyle name="SAPBEXfilterItem 3" xfId="944"/>
    <cellStyle name="SAPBEXfilterItem 4" xfId="945"/>
    <cellStyle name="SAPBEXfilterItem 5" xfId="946"/>
    <cellStyle name="SAPBEXfilterItem 6" xfId="947"/>
    <cellStyle name="SAPBEXfilterItem_Copy of xSAPtemp5457" xfId="948"/>
    <cellStyle name="SAPBEXfilterText" xfId="159"/>
    <cellStyle name="SAPBEXfilterText 2" xfId="949"/>
    <cellStyle name="SAPBEXfilterText 3" xfId="950"/>
    <cellStyle name="SAPBEXfilterText 4" xfId="951"/>
    <cellStyle name="SAPBEXfilterText 5" xfId="952"/>
    <cellStyle name="SAPBEXformats" xfId="160"/>
    <cellStyle name="SAPBEXheaderItem" xfId="161"/>
    <cellStyle name="SAPBEXheaderItem 2" xfId="953"/>
    <cellStyle name="SAPBEXheaderItem 3" xfId="954"/>
    <cellStyle name="SAPBEXheaderItem 4" xfId="955"/>
    <cellStyle name="SAPBEXheaderItem 5" xfId="956"/>
    <cellStyle name="SAPBEXheaderItem 6" xfId="957"/>
    <cellStyle name="SAPBEXheaderItem 7" xfId="958"/>
    <cellStyle name="SAPBEXheaderItem_Copy of xSAPtemp5457" xfId="959"/>
    <cellStyle name="SAPBEXheaderText" xfId="162"/>
    <cellStyle name="SAPBEXheaderText 2" xfId="960"/>
    <cellStyle name="SAPBEXheaderText 3" xfId="961"/>
    <cellStyle name="SAPBEXheaderText 4" xfId="962"/>
    <cellStyle name="SAPBEXheaderText 5" xfId="963"/>
    <cellStyle name="SAPBEXheaderText 6" xfId="964"/>
    <cellStyle name="SAPBEXheaderText 7" xfId="965"/>
    <cellStyle name="SAPBEXheaderText_Copy of xSAPtemp5457" xfId="966"/>
    <cellStyle name="SAPBEXHLevel0" xfId="163"/>
    <cellStyle name="SAPBEXHLevel0 2" xfId="967"/>
    <cellStyle name="SAPBEXHLevel0 3" xfId="968"/>
    <cellStyle name="SAPBEXHLevel0 4" xfId="969"/>
    <cellStyle name="SAPBEXHLevel0 5" xfId="970"/>
    <cellStyle name="SAPBEXHLevel0 6" xfId="971"/>
    <cellStyle name="SAPBEXHLevel0X" xfId="164"/>
    <cellStyle name="SAPBEXHLevel0X 2" xfId="972"/>
    <cellStyle name="SAPBEXHLevel0X 3" xfId="973"/>
    <cellStyle name="SAPBEXHLevel0X 4" xfId="974"/>
    <cellStyle name="SAPBEXHLevel0X 5" xfId="975"/>
    <cellStyle name="SAPBEXHLevel0X 6" xfId="976"/>
    <cellStyle name="SAPBEXHLevel1" xfId="165"/>
    <cellStyle name="SAPBEXHLevel1 2" xfId="977"/>
    <cellStyle name="SAPBEXHLevel1 3" xfId="978"/>
    <cellStyle name="SAPBEXHLevel1 4" xfId="979"/>
    <cellStyle name="SAPBEXHLevel1 5" xfId="980"/>
    <cellStyle name="SAPBEXHLevel1 6" xfId="981"/>
    <cellStyle name="SAPBEXHLevel1X" xfId="166"/>
    <cellStyle name="SAPBEXHLevel1X 2" xfId="982"/>
    <cellStyle name="SAPBEXHLevel1X 3" xfId="983"/>
    <cellStyle name="SAPBEXHLevel1X 4" xfId="984"/>
    <cellStyle name="SAPBEXHLevel1X 5" xfId="985"/>
    <cellStyle name="SAPBEXHLevel1X 6" xfId="986"/>
    <cellStyle name="SAPBEXHLevel2" xfId="167"/>
    <cellStyle name="SAPBEXHLevel2 2" xfId="987"/>
    <cellStyle name="SAPBEXHLevel2 3" xfId="988"/>
    <cellStyle name="SAPBEXHLevel2 4" xfId="989"/>
    <cellStyle name="SAPBEXHLevel2 5" xfId="990"/>
    <cellStyle name="SAPBEXHLevel2 6" xfId="991"/>
    <cellStyle name="SAPBEXHLevel2X" xfId="168"/>
    <cellStyle name="SAPBEXHLevel2X 2" xfId="992"/>
    <cellStyle name="SAPBEXHLevel2X 3" xfId="993"/>
    <cellStyle name="SAPBEXHLevel2X 4" xfId="994"/>
    <cellStyle name="SAPBEXHLevel2X 5" xfId="995"/>
    <cellStyle name="SAPBEXHLevel2X 6" xfId="996"/>
    <cellStyle name="SAPBEXHLevel3" xfId="169"/>
    <cellStyle name="SAPBEXHLevel3 2" xfId="997"/>
    <cellStyle name="SAPBEXHLevel3 3" xfId="998"/>
    <cellStyle name="SAPBEXHLevel3 4" xfId="999"/>
    <cellStyle name="SAPBEXHLevel3 5" xfId="1000"/>
    <cellStyle name="SAPBEXHLevel3 6" xfId="1001"/>
    <cellStyle name="SAPBEXHLevel3X" xfId="170"/>
    <cellStyle name="SAPBEXHLevel3X 2" xfId="1002"/>
    <cellStyle name="SAPBEXHLevel3X 3" xfId="1003"/>
    <cellStyle name="SAPBEXHLevel3X 4" xfId="1004"/>
    <cellStyle name="SAPBEXHLevel3X 5" xfId="1005"/>
    <cellStyle name="SAPBEXHLevel3X 6" xfId="1006"/>
    <cellStyle name="SAPBEXresData" xfId="171"/>
    <cellStyle name="SAPBEXresDataEmph" xfId="172"/>
    <cellStyle name="SAPBEXresItem" xfId="173"/>
    <cellStyle name="SAPBEXresItemX" xfId="174"/>
    <cellStyle name="SAPBEXstdData" xfId="175"/>
    <cellStyle name="SAPBEXstdData 2" xfId="1007"/>
    <cellStyle name="SAPBEXstdData 3" xfId="1008"/>
    <cellStyle name="SAPBEXstdData 4" xfId="1009"/>
    <cellStyle name="SAPBEXstdData 5" xfId="1010"/>
    <cellStyle name="SAPBEXstdData 6" xfId="1011"/>
    <cellStyle name="SAPBEXstdData_Copy of xSAPtemp5457" xfId="1012"/>
    <cellStyle name="SAPBEXstdDataEmph" xfId="176"/>
    <cellStyle name="SAPBEXstdItem" xfId="177"/>
    <cellStyle name="SAPBEXstdItem 2" xfId="1013"/>
    <cellStyle name="SAPBEXstdItem 3" xfId="1014"/>
    <cellStyle name="SAPBEXstdItem 4" xfId="1015"/>
    <cellStyle name="SAPBEXstdItem 5" xfId="1016"/>
    <cellStyle name="SAPBEXstdItem 6" xfId="1017"/>
    <cellStyle name="SAPBEXstdItem_Copy of xSAPtemp5457" xfId="1018"/>
    <cellStyle name="SAPBEXstdItemX" xfId="178"/>
    <cellStyle name="SAPBEXstdItemX 2" xfId="1019"/>
    <cellStyle name="SAPBEXstdItemX 3" xfId="1020"/>
    <cellStyle name="SAPBEXstdItemX 4" xfId="1021"/>
    <cellStyle name="SAPBEXstdItemX 5" xfId="1022"/>
    <cellStyle name="SAPBEXstdItemX 6" xfId="1023"/>
    <cellStyle name="SAPBEXstdItemX_Copy of xSAPtemp5457" xfId="1024"/>
    <cellStyle name="SAPBEXtitle" xfId="179"/>
    <cellStyle name="SAPBEXtitle 2" xfId="212"/>
    <cellStyle name="SAPBEXtitle 3" xfId="1025"/>
    <cellStyle name="SAPBEXtitle 4" xfId="1026"/>
    <cellStyle name="SAPBEXtitle 5" xfId="1027"/>
    <cellStyle name="SAPBEXtitle 6" xfId="1028"/>
    <cellStyle name="SAPBEXtitle 7" xfId="1029"/>
    <cellStyle name="SAPBEXtitle_Copy of xSAPtemp5457" xfId="1030"/>
    <cellStyle name="SAPBEXundefined" xfId="180"/>
    <cellStyle name="Shade" xfId="1031"/>
    <cellStyle name="Sheet Title" xfId="1032"/>
    <cellStyle name="Special" xfId="1033"/>
    <cellStyle name="Special 2" xfId="1034"/>
    <cellStyle name="Special 3" xfId="1035"/>
    <cellStyle name="STYL1 - Style1" xfId="1036"/>
    <cellStyle name="Style 1" xfId="1037"/>
    <cellStyle name="Style 21" xfId="1038"/>
    <cellStyle name="Style 22" xfId="1039"/>
    <cellStyle name="Style 24" xfId="1040"/>
    <cellStyle name="Style 27" xfId="1041"/>
    <cellStyle name="Style 35" xfId="1042"/>
    <cellStyle name="Style 35 2" xfId="1043"/>
    <cellStyle name="Style 36" xfId="1044"/>
    <cellStyle name="Style 36 2" xfId="1045"/>
    <cellStyle name="Table  - Style6" xfId="1046"/>
    <cellStyle name="Text" xfId="1047"/>
    <cellStyle name="Title  - Style1" xfId="1048"/>
    <cellStyle name="Title 2" xfId="1049"/>
    <cellStyle name="Title 3" xfId="1050"/>
    <cellStyle name="Title 4" xfId="1051"/>
    <cellStyle name="Title 5" xfId="1052"/>
    <cellStyle name="Title 6" xfId="1053"/>
    <cellStyle name="Titles" xfId="213"/>
    <cellStyle name="Titles 2" xfId="1054"/>
    <cellStyle name="Total 2" xfId="1055"/>
    <cellStyle name="Total 2 2" xfId="1056"/>
    <cellStyle name="Total 3" xfId="1057"/>
    <cellStyle name="Total 4" xfId="1058"/>
    <cellStyle name="Total 5" xfId="1059"/>
    <cellStyle name="Total2 - Style2" xfId="1060"/>
    <cellStyle name="TotCol - Style5" xfId="1061"/>
    <cellStyle name="TotRow - Style4" xfId="1062"/>
    <cellStyle name="TRANSMISSION RELIABILITY PORTION OF PROJECT" xfId="25"/>
    <cellStyle name="Tusental (0)_pldt" xfId="1063"/>
    <cellStyle name="Tusental_pldt" xfId="1064"/>
    <cellStyle name="Underl - Style4" xfId="1065"/>
    <cellStyle name="UNLocked" xfId="1066"/>
    <cellStyle name="Unprot" xfId="181"/>
    <cellStyle name="Unprot 2" xfId="1067"/>
    <cellStyle name="Unprot 3" xfId="1068"/>
    <cellStyle name="Unprot 4" xfId="1069"/>
    <cellStyle name="Unprot$" xfId="182"/>
    <cellStyle name="Unprot$ 2" xfId="1070"/>
    <cellStyle name="Unprot$ 3" xfId="1071"/>
    <cellStyle name="Unprot$ 4" xfId="1072"/>
    <cellStyle name="Unprot_Book4 (11) (2)" xfId="1073"/>
    <cellStyle name="Unprotect" xfId="183"/>
    <cellStyle name="Valuta (0)_pldt" xfId="1074"/>
    <cellStyle name="Valuta_pldt" xfId="1075"/>
    <cellStyle name="Warning Text 2" xfId="1076"/>
    <cellStyle name="Warning Text 3" xfId="1077"/>
    <cellStyle name="Warning Text 4" xfId="1078"/>
    <cellStyle name="Warning Text 5" xfId="1079"/>
    <cellStyle name="Warning Text 6" xfId="108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GULATN\PA&amp;D\CASES\Wy0902\EAST%20Blocking%20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tabSelected="1" view="pageBreakPreview" topLeftCell="C1" zoomScale="70" zoomScaleNormal="75" zoomScaleSheetLayoutView="70" workbookViewId="0">
      <selection activeCell="O57" sqref="O57"/>
    </sheetView>
  </sheetViews>
  <sheetFormatPr defaultColWidth="9" defaultRowHeight="15.75"/>
  <cols>
    <col min="1" max="1" width="4.625" style="304" customWidth="1"/>
    <col min="2" max="2" width="1.625" style="304" customWidth="1"/>
    <col min="3" max="3" width="39.375" style="304" customWidth="1"/>
    <col min="4" max="4" width="0.75" style="311" customWidth="1"/>
    <col min="5" max="5" width="7.125" style="304" bestFit="1" customWidth="1"/>
    <col min="6" max="6" width="0.75" style="311" customWidth="1"/>
    <col min="7" max="7" width="10.625" style="311" bestFit="1" customWidth="1"/>
    <col min="8" max="8" width="0.75" style="311" customWidth="1"/>
    <col min="9" max="9" width="12" style="311" bestFit="1" customWidth="1"/>
    <col min="10" max="10" width="2.125" style="311" customWidth="1"/>
    <col min="11" max="11" width="11.25" style="311" bestFit="1" customWidth="1"/>
    <col min="12" max="12" width="1.875" style="311" customWidth="1"/>
    <col min="13" max="13" width="8.625" style="311" bestFit="1" customWidth="1"/>
    <col min="14" max="14" width="1.875" style="311" customWidth="1"/>
    <col min="15" max="15" width="11.25" style="311" bestFit="1" customWidth="1"/>
    <col min="16" max="16" width="2.875" style="311" customWidth="1"/>
    <col min="17" max="17" width="11.25" style="311" bestFit="1" customWidth="1"/>
    <col min="18" max="18" width="1.875" style="311" customWidth="1"/>
    <col min="19" max="19" width="10.125" style="311" bestFit="1" customWidth="1"/>
    <col min="20" max="20" width="1.625" style="311" customWidth="1"/>
    <col min="21" max="21" width="11.25" style="311" bestFit="1" customWidth="1"/>
    <col min="22" max="22" width="2.875" style="311" customWidth="1"/>
    <col min="23" max="23" width="6.75" style="311" bestFit="1" customWidth="1"/>
    <col min="24" max="24" width="1" style="311" customWidth="1"/>
    <col min="25" max="25" width="5.375" style="312" bestFit="1" customWidth="1"/>
    <col min="26" max="26" width="2.5" style="311" customWidth="1"/>
    <col min="27" max="27" width="9.375" style="311" bestFit="1" customWidth="1"/>
    <col min="28" max="28" width="1" style="311" customWidth="1"/>
    <col min="29" max="29" width="6" style="312" bestFit="1" customWidth="1"/>
    <col min="30" max="16384" width="9" style="304"/>
  </cols>
  <sheetData>
    <row r="1" spans="1:31">
      <c r="A1" s="300" t="s">
        <v>396</v>
      </c>
      <c r="B1" s="300"/>
      <c r="C1" s="300"/>
      <c r="D1" s="301"/>
      <c r="E1" s="300"/>
      <c r="F1" s="301"/>
      <c r="G1" s="301"/>
      <c r="H1" s="301"/>
      <c r="I1" s="301"/>
      <c r="J1" s="301"/>
      <c r="K1" s="302"/>
      <c r="L1" s="301"/>
      <c r="M1" s="302"/>
      <c r="N1" s="301"/>
      <c r="O1" s="302"/>
      <c r="P1" s="301"/>
      <c r="Q1" s="302"/>
      <c r="R1" s="301"/>
      <c r="S1" s="302"/>
      <c r="T1" s="301"/>
      <c r="U1" s="302"/>
      <c r="V1" s="301"/>
      <c r="W1" s="302"/>
      <c r="X1" s="301"/>
      <c r="Y1" s="303"/>
      <c r="Z1" s="301"/>
      <c r="AA1" s="302"/>
      <c r="AB1" s="301"/>
      <c r="AC1" s="343"/>
    </row>
    <row r="2" spans="1:31" s="55" customFormat="1">
      <c r="A2" s="300" t="s">
        <v>239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6"/>
      <c r="Z2" s="305"/>
      <c r="AA2" s="305"/>
      <c r="AB2" s="305"/>
      <c r="AC2" s="344"/>
    </row>
    <row r="3" spans="1:31" s="55" customFormat="1">
      <c r="A3" s="88" t="s">
        <v>294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6"/>
      <c r="Z3" s="305"/>
      <c r="AA3" s="305"/>
      <c r="AB3" s="305"/>
      <c r="AC3" s="344"/>
    </row>
    <row r="4" spans="1:31" s="55" customFormat="1">
      <c r="A4" s="300" t="s">
        <v>240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6"/>
      <c r="Z4" s="305"/>
      <c r="AA4" s="305"/>
      <c r="AB4" s="305"/>
      <c r="AC4" s="344"/>
    </row>
    <row r="5" spans="1:31" s="55" customFormat="1">
      <c r="A5" s="300" t="s">
        <v>428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6"/>
      <c r="Z5" s="305"/>
      <c r="AA5" s="305"/>
      <c r="AB5" s="305"/>
      <c r="AC5" s="306"/>
    </row>
    <row r="6" spans="1:31">
      <c r="A6" s="300" t="s">
        <v>429</v>
      </c>
      <c r="B6" s="305"/>
      <c r="C6" s="305"/>
      <c r="D6" s="305"/>
      <c r="E6" s="305"/>
      <c r="F6" s="305"/>
      <c r="G6" s="305"/>
      <c r="H6" s="305"/>
      <c r="I6" s="305"/>
      <c r="J6" s="302"/>
      <c r="K6" s="307"/>
      <c r="L6" s="302"/>
      <c r="M6" s="307"/>
      <c r="N6" s="302"/>
      <c r="O6" s="307"/>
      <c r="P6" s="302"/>
      <c r="Q6" s="307"/>
      <c r="R6" s="302"/>
      <c r="S6" s="307"/>
      <c r="T6" s="302"/>
      <c r="U6" s="307"/>
      <c r="V6" s="302"/>
      <c r="W6" s="307"/>
      <c r="X6" s="307"/>
      <c r="Y6" s="308"/>
      <c r="Z6" s="302"/>
      <c r="AA6" s="307"/>
      <c r="AB6" s="307"/>
      <c r="AC6" s="308"/>
    </row>
    <row r="7" spans="1:31" ht="10.5" customHeight="1">
      <c r="A7" s="300"/>
      <c r="B7" s="300"/>
      <c r="C7" s="300"/>
      <c r="D7" s="301"/>
      <c r="E7" s="300"/>
      <c r="F7" s="301"/>
      <c r="G7" s="301"/>
      <c r="H7" s="301"/>
      <c r="I7" s="301"/>
      <c r="J7" s="301"/>
      <c r="K7" s="302"/>
      <c r="L7" s="301"/>
      <c r="M7" s="302"/>
      <c r="N7" s="301"/>
      <c r="O7" s="302"/>
      <c r="P7" s="301"/>
      <c r="Q7" s="302"/>
      <c r="R7" s="301"/>
      <c r="S7" s="302"/>
      <c r="T7" s="301"/>
      <c r="U7" s="302"/>
      <c r="V7" s="301"/>
      <c r="W7" s="302"/>
      <c r="X7" s="301"/>
      <c r="Y7" s="303"/>
      <c r="Z7" s="301"/>
      <c r="AA7" s="302"/>
      <c r="AB7" s="301"/>
      <c r="AC7" s="303"/>
    </row>
    <row r="8" spans="1:31">
      <c r="D8" s="309"/>
      <c r="F8" s="309"/>
      <c r="G8" s="310"/>
      <c r="H8" s="309"/>
      <c r="J8" s="309"/>
      <c r="L8" s="309"/>
      <c r="N8" s="309"/>
      <c r="P8" s="309"/>
      <c r="R8" s="309"/>
      <c r="T8" s="309"/>
      <c r="V8" s="309"/>
      <c r="Z8" s="309"/>
    </row>
    <row r="9" spans="1:31">
      <c r="D9" s="310"/>
      <c r="E9" s="313"/>
      <c r="F9" s="310"/>
      <c r="G9" s="310" t="s">
        <v>397</v>
      </c>
      <c r="H9" s="310"/>
      <c r="I9" s="310"/>
      <c r="J9" s="310"/>
      <c r="K9" s="83"/>
      <c r="L9" s="84"/>
      <c r="M9" s="85"/>
      <c r="N9" s="84"/>
      <c r="O9" s="85"/>
      <c r="P9" s="310"/>
      <c r="Q9" s="83"/>
      <c r="R9" s="84"/>
      <c r="S9" s="85"/>
      <c r="T9" s="84"/>
      <c r="U9" s="85"/>
      <c r="V9" s="84"/>
      <c r="W9" s="314" t="s">
        <v>243</v>
      </c>
      <c r="X9" s="314"/>
      <c r="Y9" s="315"/>
      <c r="Z9" s="314"/>
      <c r="AA9" s="314"/>
      <c r="AB9" s="314"/>
      <c r="AC9" s="315"/>
    </row>
    <row r="10" spans="1:31" s="316" customFormat="1">
      <c r="A10" s="316" t="s">
        <v>241</v>
      </c>
      <c r="D10" s="310"/>
      <c r="E10" s="313" t="s">
        <v>242</v>
      </c>
      <c r="F10" s="310"/>
      <c r="G10" s="317" t="s">
        <v>84</v>
      </c>
      <c r="H10" s="310"/>
      <c r="I10" s="310" t="s">
        <v>398</v>
      </c>
      <c r="J10" s="317"/>
      <c r="K10" s="314" t="s">
        <v>399</v>
      </c>
      <c r="L10" s="314"/>
      <c r="M10" s="314"/>
      <c r="N10" s="314"/>
      <c r="O10" s="314"/>
      <c r="P10" s="317"/>
      <c r="Q10" s="314" t="s">
        <v>400</v>
      </c>
      <c r="R10" s="314"/>
      <c r="S10" s="314"/>
      <c r="T10" s="314"/>
      <c r="U10" s="314"/>
      <c r="V10" s="83"/>
      <c r="W10" s="314" t="s">
        <v>401</v>
      </c>
      <c r="X10" s="314"/>
      <c r="Y10" s="315"/>
      <c r="Z10" s="83"/>
      <c r="AA10" s="314" t="s">
        <v>402</v>
      </c>
      <c r="AB10" s="314"/>
      <c r="AC10" s="315"/>
    </row>
    <row r="11" spans="1:31" s="316" customFormat="1">
      <c r="A11" s="316" t="s">
        <v>244</v>
      </c>
      <c r="C11" s="313" t="s">
        <v>245</v>
      </c>
      <c r="E11" s="318" t="s">
        <v>244</v>
      </c>
      <c r="G11" s="319" t="s">
        <v>246</v>
      </c>
      <c r="I11" s="319" t="s">
        <v>246</v>
      </c>
      <c r="K11" s="86" t="s">
        <v>401</v>
      </c>
      <c r="L11" s="87"/>
      <c r="M11" s="86" t="s">
        <v>403</v>
      </c>
      <c r="N11" s="87"/>
      <c r="O11" s="86" t="s">
        <v>402</v>
      </c>
      <c r="Q11" s="86" t="s">
        <v>401</v>
      </c>
      <c r="R11" s="87"/>
      <c r="S11" s="86" t="s">
        <v>403</v>
      </c>
      <c r="T11" s="87"/>
      <c r="U11" s="86" t="s">
        <v>402</v>
      </c>
      <c r="V11" s="87"/>
      <c r="W11" s="86" t="s">
        <v>247</v>
      </c>
      <c r="X11" s="87"/>
      <c r="Y11" s="320" t="s">
        <v>404</v>
      </c>
      <c r="Z11" s="87"/>
      <c r="AA11" s="86" t="s">
        <v>247</v>
      </c>
      <c r="AB11" s="87"/>
      <c r="AC11" s="320" t="s">
        <v>404</v>
      </c>
    </row>
    <row r="12" spans="1:31" s="316" customFormat="1">
      <c r="C12" s="56">
        <v>-1</v>
      </c>
      <c r="D12" s="57"/>
      <c r="E12" s="56">
        <f>MIN($A12:D12)-1</f>
        <v>-2</v>
      </c>
      <c r="F12" s="57"/>
      <c r="G12" s="56">
        <f>MIN($A12:F12)-1</f>
        <v>-3</v>
      </c>
      <c r="H12" s="57"/>
      <c r="I12" s="56">
        <f>MIN($A12:H12)-1</f>
        <v>-4</v>
      </c>
      <c r="J12" s="57"/>
      <c r="K12" s="56">
        <f>MIN($A12:J12)-1</f>
        <v>-5</v>
      </c>
      <c r="L12" s="57"/>
      <c r="M12" s="56">
        <f>MIN($A12:L12)-1</f>
        <v>-6</v>
      </c>
      <c r="N12" s="57"/>
      <c r="O12" s="56">
        <f>MIN($A12:N12)-1</f>
        <v>-7</v>
      </c>
      <c r="P12" s="57"/>
      <c r="Q12" s="56">
        <f>MIN($A12:P12)-1</f>
        <v>-8</v>
      </c>
      <c r="R12" s="57"/>
      <c r="S12" s="56">
        <f>MIN($A12:R12)-1</f>
        <v>-9</v>
      </c>
      <c r="T12" s="57"/>
      <c r="U12" s="56">
        <f>MIN($A12:T12)-1</f>
        <v>-10</v>
      </c>
      <c r="V12" s="57"/>
      <c r="W12" s="56">
        <f>MIN($A12:V12)-1</f>
        <v>-11</v>
      </c>
      <c r="X12" s="57"/>
      <c r="Y12" s="56">
        <f>MIN($A12:X12)-1</f>
        <v>-12</v>
      </c>
      <c r="Z12" s="57"/>
      <c r="AA12" s="56">
        <f>MIN($A12:Z12)-1</f>
        <v>-13</v>
      </c>
      <c r="AB12" s="57"/>
      <c r="AC12" s="56">
        <f>MIN($A12:AB12)-1</f>
        <v>-14</v>
      </c>
    </row>
    <row r="13" spans="1:31" s="316" customFormat="1">
      <c r="D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2"/>
      <c r="Z13" s="321"/>
      <c r="AA13" s="321"/>
      <c r="AB13" s="321"/>
      <c r="AC13" s="322"/>
    </row>
    <row r="14" spans="1:31">
      <c r="C14" s="316" t="s">
        <v>248</v>
      </c>
    </row>
    <row r="15" spans="1:31">
      <c r="A15" s="304">
        <v>1</v>
      </c>
      <c r="C15" s="304" t="s">
        <v>248</v>
      </c>
      <c r="E15" s="323" t="s">
        <v>249</v>
      </c>
      <c r="G15" s="58">
        <v>740189</v>
      </c>
      <c r="I15" s="58">
        <v>6200666.1794248829</v>
      </c>
      <c r="J15" s="60"/>
      <c r="K15" s="59">
        <f>SUM('Exhibit-RMP(RMM-2)'!G29,'Exhibit-RMP(RMM-2)'!G49)/1000</f>
        <v>684504.94400000002</v>
      </c>
      <c r="L15" s="60"/>
      <c r="M15" s="59">
        <f>SUM('Exhibit-RMP(RMM-2)'!K29,'Exhibit-RMP(RMM-2)'!K49)/1000</f>
        <v>4037.9171839999999</v>
      </c>
      <c r="N15" s="60"/>
      <c r="O15" s="59">
        <f>K15+M15</f>
        <v>688542.86118400004</v>
      </c>
      <c r="P15" s="60"/>
      <c r="Q15" s="59">
        <f>K15</f>
        <v>684504.94400000002</v>
      </c>
      <c r="R15" s="60"/>
      <c r="S15" s="345">
        <f>SUM('Exhibit-RMP(RMM-2)'!O29,'Exhibit-RMP(RMM-2)'!O49)/1000+M15</f>
        <v>2145.1435039999997</v>
      </c>
      <c r="T15" s="60"/>
      <c r="U15" s="59">
        <f>Q15+S15</f>
        <v>686650.08750400005</v>
      </c>
      <c r="V15" s="60"/>
      <c r="W15" s="59">
        <f>Q15-K15</f>
        <v>0</v>
      </c>
      <c r="X15" s="60"/>
      <c r="Y15" s="324">
        <f>W15/K15</f>
        <v>0</v>
      </c>
      <c r="Z15" s="60"/>
      <c r="AA15" s="59">
        <f>U15-O15</f>
        <v>-1892.7736799999839</v>
      </c>
      <c r="AB15" s="60"/>
      <c r="AC15" s="324">
        <f>AA15/O15</f>
        <v>-2.7489554923933427E-3</v>
      </c>
    </row>
    <row r="16" spans="1:31">
      <c r="A16" s="304">
        <f>MAX(A$14:A15)+1</f>
        <v>2</v>
      </c>
      <c r="C16" s="304" t="s">
        <v>250</v>
      </c>
      <c r="E16" s="304">
        <v>2</v>
      </c>
      <c r="G16" s="58">
        <v>447</v>
      </c>
      <c r="I16" s="58">
        <v>3185.6706103628849</v>
      </c>
      <c r="J16" s="60"/>
      <c r="K16" s="59">
        <f>'Exhibit-RMP(RMM-2)'!G71/1000</f>
        <v>351.48899999999998</v>
      </c>
      <c r="L16" s="60"/>
      <c r="M16" s="59">
        <f>'Exhibit-RMP(RMM-2)'!K71/1000</f>
        <v>2.0636928000000001</v>
      </c>
      <c r="N16" s="60"/>
      <c r="O16" s="59">
        <f t="shared" ref="O16:O17" si="0">K16+M16</f>
        <v>353.55269279999999</v>
      </c>
      <c r="P16" s="60"/>
      <c r="Q16" s="59">
        <f t="shared" ref="Q16:Q17" si="1">K16</f>
        <v>351.48899999999998</v>
      </c>
      <c r="R16" s="60"/>
      <c r="S16" s="345">
        <f>'Exhibit-RMP(RMM-2)'!O71/1000+M16</f>
        <v>1.0963368</v>
      </c>
      <c r="T16" s="60"/>
      <c r="U16" s="59">
        <f t="shared" ref="U16:U17" si="2">Q16+S16</f>
        <v>352.58533679999999</v>
      </c>
      <c r="V16" s="60"/>
      <c r="W16" s="59">
        <f t="shared" ref="W16:W17" si="3">Q16-K16</f>
        <v>0</v>
      </c>
      <c r="X16" s="60"/>
      <c r="Y16" s="324">
        <f t="shared" ref="Y16:Y18" si="4">W16/K16</f>
        <v>0</v>
      </c>
      <c r="Z16" s="60"/>
      <c r="AA16" s="59">
        <f t="shared" ref="AA16:AA17" si="5">U16-O16</f>
        <v>-0.96735599999999522</v>
      </c>
      <c r="AB16" s="60"/>
      <c r="AC16" s="324">
        <f t="shared" ref="AC16:AC17" si="6">AA16/O16</f>
        <v>-2.7361013498127013E-3</v>
      </c>
      <c r="AD16" s="145" t="s">
        <v>462</v>
      </c>
      <c r="AE16" s="145"/>
    </row>
    <row r="17" spans="1:31">
      <c r="A17" s="304">
        <f>MAX(A$14:A16)+1</f>
        <v>3</v>
      </c>
      <c r="C17" s="325" t="s">
        <v>251</v>
      </c>
      <c r="E17" s="326" t="s">
        <v>252</v>
      </c>
      <c r="G17" s="342"/>
      <c r="I17" s="327"/>
      <c r="J17" s="60"/>
      <c r="K17" s="61">
        <f>'Exhibit-RMP(RMM-2)'!G504/1000</f>
        <v>33.04027</v>
      </c>
      <c r="L17" s="60"/>
      <c r="M17" s="61"/>
      <c r="N17" s="60"/>
      <c r="O17" s="61">
        <f t="shared" si="0"/>
        <v>33.04027</v>
      </c>
      <c r="P17" s="60"/>
      <c r="Q17" s="61">
        <f t="shared" si="1"/>
        <v>33.04027</v>
      </c>
      <c r="R17" s="60"/>
      <c r="S17" s="61"/>
      <c r="T17" s="60"/>
      <c r="U17" s="61">
        <f t="shared" si="2"/>
        <v>33.04027</v>
      </c>
      <c r="V17" s="60"/>
      <c r="W17" s="61">
        <f t="shared" si="3"/>
        <v>0</v>
      </c>
      <c r="X17" s="60"/>
      <c r="Y17" s="328">
        <f t="shared" si="4"/>
        <v>0</v>
      </c>
      <c r="Z17" s="60"/>
      <c r="AA17" s="61">
        <f t="shared" si="5"/>
        <v>0</v>
      </c>
      <c r="AB17" s="60"/>
      <c r="AC17" s="328">
        <f t="shared" si="6"/>
        <v>0</v>
      </c>
      <c r="AD17" s="479" t="s">
        <v>377</v>
      </c>
      <c r="AE17" s="479" t="s">
        <v>243</v>
      </c>
    </row>
    <row r="18" spans="1:31">
      <c r="A18" s="304">
        <f>MAX(A$14:A17)+1</f>
        <v>4</v>
      </c>
      <c r="C18" s="316" t="s">
        <v>253</v>
      </c>
      <c r="G18" s="58">
        <v>740636</v>
      </c>
      <c r="I18" s="58">
        <v>6203851.8500352455</v>
      </c>
      <c r="J18" s="60"/>
      <c r="K18" s="59">
        <f>SUM(K15:K17)</f>
        <v>684889.47326999996</v>
      </c>
      <c r="L18" s="60"/>
      <c r="M18" s="59">
        <f>SUM(M15:M17)</f>
        <v>4039.9808767999998</v>
      </c>
      <c r="N18" s="60"/>
      <c r="O18" s="59">
        <f>SUM(O15:O17)</f>
        <v>688929.45414679998</v>
      </c>
      <c r="P18" s="60"/>
      <c r="Q18" s="59">
        <f>SUM(Q15:Q17)</f>
        <v>684889.47326999996</v>
      </c>
      <c r="R18" s="60"/>
      <c r="S18" s="59">
        <f>SUM(S15:S17)</f>
        <v>2146.2398407999995</v>
      </c>
      <c r="T18" s="60"/>
      <c r="U18" s="59">
        <f>SUM(U15:U17)</f>
        <v>687035.71311080002</v>
      </c>
      <c r="V18" s="60"/>
      <c r="W18" s="59">
        <f>SUM(W15:W17)</f>
        <v>0</v>
      </c>
      <c r="X18" s="60"/>
      <c r="Y18" s="324">
        <f t="shared" si="4"/>
        <v>0</v>
      </c>
      <c r="Z18" s="60"/>
      <c r="AA18" s="59">
        <f>SUM(AA15:AA17)</f>
        <v>-1893.741035999984</v>
      </c>
      <c r="AB18" s="60"/>
      <c r="AC18" s="324">
        <f>AA18/O18</f>
        <v>-2.748817058990858E-3</v>
      </c>
      <c r="AD18" s="58">
        <f>I18/G18/12*1000</f>
        <v>698.03203485869415</v>
      </c>
      <c r="AE18" s="345">
        <f>AA18/(G18*12)*1000</f>
        <v>-0.21307599549576131</v>
      </c>
    </row>
    <row r="19" spans="1:31" ht="24.95" customHeight="1">
      <c r="C19" s="316" t="s">
        <v>254</v>
      </c>
      <c r="G19" s="58"/>
      <c r="I19" s="58"/>
      <c r="J19" s="60"/>
      <c r="K19" s="59"/>
      <c r="L19" s="60"/>
      <c r="M19" s="59"/>
      <c r="N19" s="60"/>
      <c r="O19" s="59"/>
      <c r="P19" s="60"/>
      <c r="Q19" s="59"/>
      <c r="R19" s="60"/>
      <c r="S19" s="59"/>
      <c r="T19" s="60"/>
      <c r="U19" s="59"/>
      <c r="V19" s="60"/>
      <c r="W19" s="59"/>
      <c r="X19" s="60"/>
      <c r="Y19" s="324"/>
      <c r="Z19" s="60"/>
      <c r="AA19" s="59"/>
      <c r="AB19" s="60"/>
      <c r="AC19" s="324"/>
    </row>
    <row r="20" spans="1:31">
      <c r="A20" s="304">
        <f>MAX(A$14:A19)+1</f>
        <v>5</v>
      </c>
      <c r="C20" s="304" t="s">
        <v>255</v>
      </c>
      <c r="E20" s="329">
        <v>6</v>
      </c>
      <c r="G20" s="58">
        <v>13072</v>
      </c>
      <c r="I20" s="58">
        <v>5783806.2612344306</v>
      </c>
      <c r="J20" s="60"/>
      <c r="K20" s="59">
        <f>'Exhibit-RMP(RMM-2)'!G86/1000</f>
        <v>494681.46600000001</v>
      </c>
      <c r="L20" s="60"/>
      <c r="M20" s="59">
        <f>'Exhibit-RMP(RMM-2)'!K86/1000</f>
        <v>3569.0403755000002</v>
      </c>
      <c r="N20" s="60"/>
      <c r="O20" s="59">
        <f t="shared" ref="O20:O22" si="7">K20+M20</f>
        <v>498250.5063755</v>
      </c>
      <c r="P20" s="60"/>
      <c r="Q20" s="59">
        <f t="shared" ref="Q20:Q22" si="8">K20</f>
        <v>494681.46600000001</v>
      </c>
      <c r="R20" s="60"/>
      <c r="S20" s="345">
        <f>'Exhibit-RMP(RMM-2)'!O86/1000+M20</f>
        <v>1889.4919635000001</v>
      </c>
      <c r="T20" s="60"/>
      <c r="U20" s="59">
        <f t="shared" ref="U20:U22" si="9">Q20+S20</f>
        <v>496570.9579635</v>
      </c>
      <c r="V20" s="60"/>
      <c r="W20" s="59">
        <f t="shared" ref="W20:W22" si="10">Q20-K20</f>
        <v>0</v>
      </c>
      <c r="X20" s="60"/>
      <c r="Y20" s="324">
        <f t="shared" ref="Y20:Y38" si="11">W20/K20</f>
        <v>0</v>
      </c>
      <c r="Z20" s="60"/>
      <c r="AA20" s="59">
        <f t="shared" ref="AA20:AA22" si="12">U20-O20</f>
        <v>-1679.5484120000037</v>
      </c>
      <c r="AB20" s="60"/>
      <c r="AC20" s="324">
        <f t="shared" ref="AC20:AC38" si="13">AA20/O20</f>
        <v>-3.3708915304829293E-3</v>
      </c>
    </row>
    <row r="21" spans="1:31">
      <c r="A21" s="304">
        <f>MAX(A$14:A20)+1</f>
        <v>6</v>
      </c>
      <c r="C21" s="304" t="s">
        <v>256</v>
      </c>
      <c r="E21" s="330" t="s">
        <v>257</v>
      </c>
      <c r="G21" s="58">
        <v>2276</v>
      </c>
      <c r="I21" s="58">
        <v>292031.09985016566</v>
      </c>
      <c r="J21" s="60"/>
      <c r="K21" s="62">
        <f>'Exhibit-RMP(RMM-2)'!G113/1000</f>
        <v>34227.404000000002</v>
      </c>
      <c r="L21" s="60"/>
      <c r="M21" s="59">
        <f>'Exhibit-RMP(RMM-2)'!K113/1000</f>
        <v>247.68727459999999</v>
      </c>
      <c r="N21" s="60"/>
      <c r="O21" s="59">
        <f t="shared" si="7"/>
        <v>34475.091274600003</v>
      </c>
      <c r="P21" s="60"/>
      <c r="Q21" s="59">
        <f t="shared" si="8"/>
        <v>34227.404000000002</v>
      </c>
      <c r="R21" s="60"/>
      <c r="S21" s="345">
        <f>'Exhibit-RMP(RMM-2)'!O113/1000+M21</f>
        <v>132.23981609999998</v>
      </c>
      <c r="T21" s="60"/>
      <c r="U21" s="59">
        <f t="shared" si="9"/>
        <v>34359.643816100004</v>
      </c>
      <c r="V21" s="60"/>
      <c r="W21" s="59">
        <f t="shared" si="10"/>
        <v>0</v>
      </c>
      <c r="X21" s="60"/>
      <c r="Y21" s="324">
        <f t="shared" si="11"/>
        <v>0</v>
      </c>
      <c r="Z21" s="60"/>
      <c r="AA21" s="59">
        <f t="shared" si="12"/>
        <v>-115.4474584999989</v>
      </c>
      <c r="AB21" s="60"/>
      <c r="AC21" s="324">
        <f t="shared" si="13"/>
        <v>-3.3487208947596435E-3</v>
      </c>
    </row>
    <row r="22" spans="1:31">
      <c r="A22" s="304">
        <f>MAX(A$14:A21)+1</f>
        <v>7</v>
      </c>
      <c r="C22" s="304" t="s">
        <v>258</v>
      </c>
      <c r="E22" s="330" t="s">
        <v>259</v>
      </c>
      <c r="G22" s="331">
        <v>37</v>
      </c>
      <c r="I22" s="331">
        <v>3907.4969999999998</v>
      </c>
      <c r="J22" s="60"/>
      <c r="K22" s="61">
        <f>'Exhibit-RMP(RMM-2)'!G101/1000</f>
        <v>345.71800000000002</v>
      </c>
      <c r="L22" s="60"/>
      <c r="M22" s="61">
        <f>'Exhibit-RMP(RMM-2)'!K101/1000</f>
        <v>2.3773990000000005</v>
      </c>
      <c r="N22" s="60"/>
      <c r="O22" s="61">
        <f t="shared" si="7"/>
        <v>348.09539900000004</v>
      </c>
      <c r="P22" s="60"/>
      <c r="Q22" s="61">
        <f t="shared" si="8"/>
        <v>345.71800000000002</v>
      </c>
      <c r="R22" s="60"/>
      <c r="S22" s="560">
        <f>'Exhibit-RMP(RMM-2)'!O101/1000+M22</f>
        <v>1.2586230000000005</v>
      </c>
      <c r="T22" s="60"/>
      <c r="U22" s="61">
        <f t="shared" si="9"/>
        <v>346.97662300000002</v>
      </c>
      <c r="V22" s="60"/>
      <c r="W22" s="61">
        <f t="shared" si="10"/>
        <v>0</v>
      </c>
      <c r="X22" s="60"/>
      <c r="Y22" s="328">
        <f t="shared" si="11"/>
        <v>0</v>
      </c>
      <c r="Z22" s="60"/>
      <c r="AA22" s="61">
        <f t="shared" si="12"/>
        <v>-1.1187760000000253</v>
      </c>
      <c r="AB22" s="60"/>
      <c r="AC22" s="328">
        <f t="shared" si="13"/>
        <v>-3.2139924952010791E-3</v>
      </c>
    </row>
    <row r="23" spans="1:31">
      <c r="A23" s="304">
        <f>MAX(A$14:A22)+1</f>
        <v>8</v>
      </c>
      <c r="C23" s="332" t="s">
        <v>260</v>
      </c>
      <c r="G23" s="58">
        <v>15385</v>
      </c>
      <c r="I23" s="58">
        <v>6079744.8580845967</v>
      </c>
      <c r="J23" s="60"/>
      <c r="K23" s="59">
        <f>SUM(K20:K22)</f>
        <v>529254.58799999999</v>
      </c>
      <c r="L23" s="60"/>
      <c r="M23" s="59">
        <f>SUM(M20:M22)</f>
        <v>3819.1050491000001</v>
      </c>
      <c r="N23" s="60"/>
      <c r="O23" s="59">
        <f>SUM(O20:O22)</f>
        <v>533073.69304909999</v>
      </c>
      <c r="P23" s="60"/>
      <c r="Q23" s="59">
        <f>SUM(Q20:Q22)</f>
        <v>529254.58799999999</v>
      </c>
      <c r="R23" s="60"/>
      <c r="S23" s="59">
        <f>SUM(S20:S22)</f>
        <v>2022.9904026000002</v>
      </c>
      <c r="T23" s="60"/>
      <c r="U23" s="59">
        <f>SUM(U20:U22)</f>
        <v>531277.57840260002</v>
      </c>
      <c r="V23" s="60"/>
      <c r="W23" s="59">
        <f>SUM(W20:W22)</f>
        <v>0</v>
      </c>
      <c r="X23" s="60"/>
      <c r="Y23" s="324">
        <f t="shared" si="11"/>
        <v>0</v>
      </c>
      <c r="Z23" s="60"/>
      <c r="AA23" s="59">
        <f>SUM(AA20:AA22)</f>
        <v>-1796.1146465000027</v>
      </c>
      <c r="AB23" s="60"/>
      <c r="AC23" s="324">
        <f t="shared" si="13"/>
        <v>-3.3693552503529138E-3</v>
      </c>
    </row>
    <row r="24" spans="1:31" ht="21.95" customHeight="1">
      <c r="A24" s="304">
        <f>MAX(A$14:A23)+1</f>
        <v>9</v>
      </c>
      <c r="C24" s="325" t="s">
        <v>261</v>
      </c>
      <c r="E24" s="330">
        <v>8</v>
      </c>
      <c r="F24" s="58"/>
      <c r="G24" s="58">
        <v>274</v>
      </c>
      <c r="I24" s="58">
        <v>2187047.3255884075</v>
      </c>
      <c r="J24" s="60"/>
      <c r="K24" s="62">
        <f>'Exhibit-RMP(RMM-2)'!G165/1000</f>
        <v>167313.40900000001</v>
      </c>
      <c r="L24" s="60"/>
      <c r="M24" s="59">
        <f>'Exhibit-RMP(RMM-2)'!K165/1000</f>
        <v>1339.9359319999999</v>
      </c>
      <c r="N24" s="60"/>
      <c r="O24" s="59">
        <f t="shared" ref="O24:O26" si="14">K24+M24</f>
        <v>168653.34493200001</v>
      </c>
      <c r="P24" s="60"/>
      <c r="Q24" s="59">
        <f t="shared" ref="Q24:Q26" si="15">K24</f>
        <v>167313.40900000001</v>
      </c>
      <c r="R24" s="60"/>
      <c r="S24" s="345">
        <f>'Exhibit-RMP(RMM-2)'!O165/1000+M24</f>
        <v>713.66152899999986</v>
      </c>
      <c r="T24" s="60"/>
      <c r="U24" s="59">
        <f t="shared" ref="U24:U26" si="16">Q24+S24</f>
        <v>168027.07052900002</v>
      </c>
      <c r="V24" s="60"/>
      <c r="W24" s="59">
        <f t="shared" ref="W24:W26" si="17">Q24-K24</f>
        <v>0</v>
      </c>
      <c r="X24" s="60"/>
      <c r="Y24" s="324">
        <f t="shared" si="11"/>
        <v>0</v>
      </c>
      <c r="Z24" s="60"/>
      <c r="AA24" s="59">
        <f t="shared" ref="AA24:AA26" si="18">U24-O24</f>
        <v>-626.27440299998852</v>
      </c>
      <c r="AB24" s="60"/>
      <c r="AC24" s="324">
        <f t="shared" si="13"/>
        <v>-3.7133826385269651E-3</v>
      </c>
    </row>
    <row r="25" spans="1:31" ht="21.95" customHeight="1">
      <c r="A25" s="304">
        <f>MAX(A$14:A24)+1</f>
        <v>10</v>
      </c>
      <c r="C25" s="304" t="s">
        <v>262</v>
      </c>
      <c r="E25" s="304">
        <v>9</v>
      </c>
      <c r="G25" s="58">
        <v>149</v>
      </c>
      <c r="I25" s="58">
        <v>5027435.5407653069</v>
      </c>
      <c r="J25" s="60"/>
      <c r="K25" s="62">
        <f>'Exhibit-RMP(RMM-2)'!G176/1000</f>
        <v>284876.45199999999</v>
      </c>
      <c r="L25" s="60"/>
      <c r="M25" s="59">
        <f>'Exhibit-RMP(RMM-2)'!K176/1000</f>
        <v>2960.3144815999999</v>
      </c>
      <c r="N25" s="60"/>
      <c r="O25" s="59">
        <f t="shared" si="14"/>
        <v>287836.7664816</v>
      </c>
      <c r="P25" s="60"/>
      <c r="Q25" s="59">
        <f t="shared" si="15"/>
        <v>284876.45199999999</v>
      </c>
      <c r="R25" s="60"/>
      <c r="S25" s="345">
        <f>'Exhibit-RMP(RMM-2)'!O176/1000+M25</f>
        <v>1585.8827579999997</v>
      </c>
      <c r="T25" s="60"/>
      <c r="U25" s="59">
        <f t="shared" si="16"/>
        <v>286462.33475799998</v>
      </c>
      <c r="V25" s="60"/>
      <c r="W25" s="59">
        <f t="shared" si="17"/>
        <v>0</v>
      </c>
      <c r="X25" s="60"/>
      <c r="Y25" s="324">
        <f t="shared" si="11"/>
        <v>0</v>
      </c>
      <c r="Z25" s="60"/>
      <c r="AA25" s="59">
        <f t="shared" si="18"/>
        <v>-1374.4317236000206</v>
      </c>
      <c r="AB25" s="60"/>
      <c r="AC25" s="324">
        <f t="shared" si="13"/>
        <v>-4.7750387846574194E-3</v>
      </c>
    </row>
    <row r="26" spans="1:31">
      <c r="A26" s="304">
        <f>MAX(A$14:A25)+1</f>
        <v>11</v>
      </c>
      <c r="C26" s="304" t="s">
        <v>263</v>
      </c>
      <c r="E26" s="330" t="s">
        <v>264</v>
      </c>
      <c r="G26" s="331">
        <v>9</v>
      </c>
      <c r="I26" s="331">
        <v>42590.781425473026</v>
      </c>
      <c r="J26" s="60"/>
      <c r="K26" s="61">
        <f>'Exhibit-RMP(RMM-2)'!G184/1000</f>
        <v>3292.5839999999998</v>
      </c>
      <c r="L26" s="60"/>
      <c r="M26" s="61">
        <f>'Exhibit-RMP(RMM-2)'!K184/1000</f>
        <v>34.008859999999999</v>
      </c>
      <c r="N26" s="60"/>
      <c r="O26" s="61">
        <f t="shared" si="14"/>
        <v>3326.5928599999997</v>
      </c>
      <c r="P26" s="60"/>
      <c r="Q26" s="61">
        <f t="shared" si="15"/>
        <v>3292.5839999999998</v>
      </c>
      <c r="R26" s="60"/>
      <c r="S26" s="560">
        <f>'Exhibit-RMP(RMM-2)'!O184/1000+M26</f>
        <v>18.101489999999998</v>
      </c>
      <c r="T26" s="60"/>
      <c r="U26" s="61">
        <f t="shared" si="16"/>
        <v>3310.6854899999998</v>
      </c>
      <c r="V26" s="60"/>
      <c r="W26" s="61">
        <f t="shared" si="17"/>
        <v>0</v>
      </c>
      <c r="X26" s="60"/>
      <c r="Y26" s="328">
        <f t="shared" si="11"/>
        <v>0</v>
      </c>
      <c r="Z26" s="60"/>
      <c r="AA26" s="61">
        <f t="shared" si="18"/>
        <v>-15.907369999999901</v>
      </c>
      <c r="AB26" s="60"/>
      <c r="AC26" s="328">
        <f t="shared" si="13"/>
        <v>-4.7818806416845081E-3</v>
      </c>
    </row>
    <row r="27" spans="1:31">
      <c r="A27" s="304">
        <f>MAX(A$14:A26)+1</f>
        <v>12</v>
      </c>
      <c r="C27" s="332" t="s">
        <v>265</v>
      </c>
      <c r="G27" s="58">
        <v>158</v>
      </c>
      <c r="I27" s="58">
        <v>5070026.3221907802</v>
      </c>
      <c r="J27" s="60"/>
      <c r="K27" s="59">
        <f>SUM(K25:K26)</f>
        <v>288169.03599999996</v>
      </c>
      <c r="L27" s="60"/>
      <c r="M27" s="59">
        <f>SUM(M25:M26)</f>
        <v>2994.3233415999998</v>
      </c>
      <c r="N27" s="60"/>
      <c r="O27" s="59">
        <f>SUM(O25:O26)</f>
        <v>291163.35934159998</v>
      </c>
      <c r="P27" s="60"/>
      <c r="Q27" s="59">
        <f>SUM(Q25:Q26)</f>
        <v>288169.03599999996</v>
      </c>
      <c r="R27" s="60"/>
      <c r="S27" s="59">
        <f>SUM(S25:S26)</f>
        <v>1603.9842479999998</v>
      </c>
      <c r="T27" s="60"/>
      <c r="U27" s="59">
        <f>SUM(U25:U26)</f>
        <v>289773.02024799999</v>
      </c>
      <c r="V27" s="60"/>
      <c r="W27" s="59">
        <f>SUM(W25:W26)</f>
        <v>0</v>
      </c>
      <c r="X27" s="60"/>
      <c r="Y27" s="324">
        <f t="shared" si="11"/>
        <v>0</v>
      </c>
      <c r="Z27" s="60"/>
      <c r="AA27" s="59">
        <f>SUM(AA25:AA26)</f>
        <v>-1390.3390936000205</v>
      </c>
      <c r="AB27" s="60"/>
      <c r="AC27" s="324">
        <f t="shared" si="13"/>
        <v>-4.7751169540836379E-3</v>
      </c>
    </row>
    <row r="28" spans="1:31" ht="21.95" customHeight="1">
      <c r="A28" s="304">
        <f>MAX(A$14:A27)+1</f>
        <v>13</v>
      </c>
      <c r="C28" s="304" t="s">
        <v>266</v>
      </c>
      <c r="E28" s="330">
        <v>10</v>
      </c>
      <c r="G28" s="58">
        <v>2784.3333333333335</v>
      </c>
      <c r="I28" s="58">
        <v>173133.39199999999</v>
      </c>
      <c r="J28" s="60"/>
      <c r="K28" s="62">
        <f>'Exhibit-RMP(RMM-2)'!G200/1000</f>
        <v>13209.986000000001</v>
      </c>
      <c r="L28" s="60"/>
      <c r="M28" s="59">
        <f>'Exhibit-RMP(RMM-2)'!K200/1000</f>
        <v>105.50105240000002</v>
      </c>
      <c r="N28" s="60"/>
      <c r="O28" s="59">
        <f t="shared" ref="O28:O29" si="19">K28+M28</f>
        <v>13315.487052400002</v>
      </c>
      <c r="P28" s="60"/>
      <c r="Q28" s="59">
        <f t="shared" ref="Q28:Q29" si="20">K28</f>
        <v>13209.986000000001</v>
      </c>
      <c r="R28" s="60"/>
      <c r="S28" s="345">
        <f>'Exhibit-RMP(RMM-2)'!O200/1000+M28</f>
        <v>55.323722600000025</v>
      </c>
      <c r="T28" s="60"/>
      <c r="U28" s="59">
        <f t="shared" ref="U28:U29" si="21">Q28+S28</f>
        <v>13265.309722600001</v>
      </c>
      <c r="V28" s="60"/>
      <c r="W28" s="59">
        <f t="shared" ref="W28:W29" si="22">Q28-K28</f>
        <v>0</v>
      </c>
      <c r="X28" s="60"/>
      <c r="Y28" s="324">
        <f t="shared" si="11"/>
        <v>0</v>
      </c>
      <c r="Z28" s="60"/>
      <c r="AA28" s="59">
        <f t="shared" ref="AA28:AA29" si="23">U28-O28</f>
        <v>-50.177329800000734</v>
      </c>
      <c r="AB28" s="60"/>
      <c r="AC28" s="324">
        <f t="shared" si="13"/>
        <v>-3.7683435538286751E-3</v>
      </c>
    </row>
    <row r="29" spans="1:31">
      <c r="A29" s="304">
        <f>MAX(A$14:A28)+1</f>
        <v>14</v>
      </c>
      <c r="C29" s="304" t="s">
        <v>267</v>
      </c>
      <c r="E29" s="330" t="s">
        <v>268</v>
      </c>
      <c r="G29" s="331">
        <v>261</v>
      </c>
      <c r="I29" s="331">
        <v>16756.608</v>
      </c>
      <c r="J29" s="60"/>
      <c r="K29" s="61">
        <f>'Exhibit-RMP(RMM-2)'!G216/1000</f>
        <v>1285.6210000000001</v>
      </c>
      <c r="L29" s="60"/>
      <c r="M29" s="61">
        <f>'Exhibit-RMP(RMM-2)'!K216/1000</f>
        <v>10.2779784</v>
      </c>
      <c r="N29" s="60"/>
      <c r="O29" s="61">
        <f t="shared" si="19"/>
        <v>1295.8989784</v>
      </c>
      <c r="P29" s="60"/>
      <c r="Q29" s="61">
        <f t="shared" si="20"/>
        <v>1285.6210000000001</v>
      </c>
      <c r="R29" s="60"/>
      <c r="S29" s="560">
        <f>'Exhibit-RMP(RMM-2)'!O216/1000+M29</f>
        <v>5.3896716000000007</v>
      </c>
      <c r="T29" s="60"/>
      <c r="U29" s="61">
        <f t="shared" si="21"/>
        <v>1291.0106716</v>
      </c>
      <c r="V29" s="60"/>
      <c r="W29" s="61">
        <f t="shared" si="22"/>
        <v>0</v>
      </c>
      <c r="X29" s="60"/>
      <c r="Y29" s="328">
        <f t="shared" si="11"/>
        <v>0</v>
      </c>
      <c r="Z29" s="60"/>
      <c r="AA29" s="61">
        <f t="shared" si="23"/>
        <v>-4.8883068000000094</v>
      </c>
      <c r="AB29" s="60"/>
      <c r="AC29" s="328">
        <f t="shared" si="13"/>
        <v>-3.77213569998753E-3</v>
      </c>
    </row>
    <row r="30" spans="1:31">
      <c r="A30" s="304">
        <f>MAX(A$14:A29)+1</f>
        <v>15</v>
      </c>
      <c r="C30" s="332" t="s">
        <v>269</v>
      </c>
      <c r="G30" s="58">
        <v>3045.3333333333335</v>
      </c>
      <c r="I30" s="58">
        <v>189890</v>
      </c>
      <c r="J30" s="60"/>
      <c r="K30" s="59">
        <f>SUM(K28:K29)</f>
        <v>14495.607</v>
      </c>
      <c r="L30" s="60"/>
      <c r="M30" s="59">
        <f>SUM(M28:M29)</f>
        <v>115.77903080000002</v>
      </c>
      <c r="N30" s="60"/>
      <c r="O30" s="59">
        <f>SUM(O28:O29)</f>
        <v>14611.386030800002</v>
      </c>
      <c r="P30" s="60"/>
      <c r="Q30" s="59">
        <f>SUM(Q28:Q29)</f>
        <v>14495.607</v>
      </c>
      <c r="R30" s="60"/>
      <c r="S30" s="59">
        <f>SUM(S28:S29)</f>
        <v>60.713394200000025</v>
      </c>
      <c r="T30" s="60"/>
      <c r="U30" s="59">
        <f>SUM(U28:U29)</f>
        <v>14556.3203942</v>
      </c>
      <c r="V30" s="60"/>
      <c r="W30" s="59">
        <f>SUM(W28:W29)</f>
        <v>0</v>
      </c>
      <c r="X30" s="60"/>
      <c r="Y30" s="324">
        <f t="shared" si="11"/>
        <v>0</v>
      </c>
      <c r="Z30" s="60"/>
      <c r="AA30" s="59">
        <f>SUM(AA28:AA29)</f>
        <v>-55.065636600000744</v>
      </c>
      <c r="AB30" s="60"/>
      <c r="AC30" s="324">
        <f t="shared" si="13"/>
        <v>-3.7686798832037832E-3</v>
      </c>
    </row>
    <row r="31" spans="1:31" ht="21.95" customHeight="1">
      <c r="A31" s="304">
        <f>MAX(A$14:A30)+1</f>
        <v>16</v>
      </c>
      <c r="C31" s="304" t="s">
        <v>270</v>
      </c>
      <c r="E31" s="304">
        <v>21</v>
      </c>
      <c r="G31" s="58">
        <v>5</v>
      </c>
      <c r="I31" s="58">
        <v>4048.7003377015881</v>
      </c>
      <c r="J31" s="60"/>
      <c r="K31" s="62">
        <f>'Exhibit-RMP(RMM-2)'!G383/1000</f>
        <v>475.92599999999999</v>
      </c>
      <c r="L31" s="60"/>
      <c r="M31" s="59">
        <f>'Exhibit-RMP(RMM-2)'!K383/1000</f>
        <v>4.8998474999999999</v>
      </c>
      <c r="N31" s="60"/>
      <c r="O31" s="59">
        <f t="shared" ref="O31:O37" si="24">K31+M31</f>
        <v>480.82584750000001</v>
      </c>
      <c r="P31" s="60"/>
      <c r="Q31" s="59">
        <f t="shared" ref="Q31:Q37" si="25">K31</f>
        <v>475.92599999999999</v>
      </c>
      <c r="R31" s="60"/>
      <c r="S31" s="345">
        <f>'Exhibit-RMP(RMM-2)'!O383/1000+M31</f>
        <v>2.5914749000000001</v>
      </c>
      <c r="T31" s="60"/>
      <c r="U31" s="59">
        <f t="shared" ref="U31:U37" si="26">Q31+S31</f>
        <v>478.51747489999997</v>
      </c>
      <c r="V31" s="60"/>
      <c r="W31" s="59">
        <f t="shared" ref="W31:W37" si="27">Q31-K31</f>
        <v>0</v>
      </c>
      <c r="X31" s="60"/>
      <c r="Y31" s="324">
        <f t="shared" si="11"/>
        <v>0</v>
      </c>
      <c r="Z31" s="60"/>
      <c r="AA31" s="59">
        <f t="shared" ref="AA31:AA37" si="28">U31-O31</f>
        <v>-2.3083726000000411</v>
      </c>
      <c r="AB31" s="60"/>
      <c r="AC31" s="324">
        <f t="shared" si="13"/>
        <v>-4.8008496465033338E-3</v>
      </c>
    </row>
    <row r="32" spans="1:31">
      <c r="A32" s="304">
        <f>MAX(A$14:A31)+1</f>
        <v>17</v>
      </c>
      <c r="C32" s="304" t="s">
        <v>271</v>
      </c>
      <c r="E32" s="329">
        <v>23</v>
      </c>
      <c r="G32" s="58">
        <v>82668</v>
      </c>
      <c r="I32" s="58">
        <v>1390888.2107534346</v>
      </c>
      <c r="J32" s="60"/>
      <c r="K32" s="62">
        <f>'Exhibit-RMP(RMM-2)'!G396/1000</f>
        <v>139102.851</v>
      </c>
      <c r="L32" s="60"/>
      <c r="M32" s="59">
        <f>'Exhibit-RMP(RMM-2)'!K396/1000</f>
        <v>891.38371050000001</v>
      </c>
      <c r="N32" s="60"/>
      <c r="O32" s="59">
        <f t="shared" si="24"/>
        <v>139994.23471049999</v>
      </c>
      <c r="P32" s="60"/>
      <c r="Q32" s="59">
        <f t="shared" si="25"/>
        <v>139102.851</v>
      </c>
      <c r="R32" s="60"/>
      <c r="S32" s="345">
        <f>'Exhibit-RMP(RMM-2)'!O396/1000+M32</f>
        <v>465.06976200000003</v>
      </c>
      <c r="T32" s="60"/>
      <c r="U32" s="59">
        <f t="shared" si="26"/>
        <v>139567.92076199999</v>
      </c>
      <c r="V32" s="60"/>
      <c r="W32" s="59">
        <f t="shared" si="27"/>
        <v>0</v>
      </c>
      <c r="X32" s="60"/>
      <c r="Y32" s="324">
        <f t="shared" si="11"/>
        <v>0</v>
      </c>
      <c r="Z32" s="60"/>
      <c r="AA32" s="59">
        <f t="shared" si="28"/>
        <v>-426.31394849999924</v>
      </c>
      <c r="AB32" s="60"/>
      <c r="AC32" s="324">
        <f t="shared" si="13"/>
        <v>-3.0452250364566219E-3</v>
      </c>
    </row>
    <row r="33" spans="1:31">
      <c r="A33" s="304">
        <f>MAX(A$14:A32)+1</f>
        <v>18</v>
      </c>
      <c r="C33" s="304" t="s">
        <v>272</v>
      </c>
      <c r="E33" s="304">
        <v>31</v>
      </c>
      <c r="G33" s="58">
        <v>4</v>
      </c>
      <c r="I33" s="58">
        <v>56282.44502511515</v>
      </c>
      <c r="J33" s="60"/>
      <c r="K33" s="62">
        <f>'Exhibit-RMP(RMM-2)'!G457/1000</f>
        <v>4575.5919999999996</v>
      </c>
      <c r="L33" s="60"/>
      <c r="M33" s="59">
        <f>'Exhibit-RMP(RMM-2)'!K457/1000</f>
        <v>35.524301999999999</v>
      </c>
      <c r="N33" s="60"/>
      <c r="O33" s="59">
        <f t="shared" si="24"/>
        <v>4611.1163019999995</v>
      </c>
      <c r="P33" s="60"/>
      <c r="Q33" s="59">
        <f t="shared" si="25"/>
        <v>4575.5919999999996</v>
      </c>
      <c r="R33" s="60"/>
      <c r="S33" s="345">
        <f>'Exhibit-RMP(RMM-2)'!O457/1000+M33</f>
        <v>19.0149045</v>
      </c>
      <c r="T33" s="60"/>
      <c r="U33" s="59">
        <f t="shared" si="26"/>
        <v>4594.6069044999995</v>
      </c>
      <c r="V33" s="60"/>
      <c r="W33" s="59">
        <f t="shared" si="27"/>
        <v>0</v>
      </c>
      <c r="X33" s="60"/>
      <c r="Y33" s="324">
        <f t="shared" si="11"/>
        <v>0</v>
      </c>
      <c r="Z33" s="60"/>
      <c r="AA33" s="59">
        <f t="shared" si="28"/>
        <v>-16.509397499999977</v>
      </c>
      <c r="AB33" s="60"/>
      <c r="AC33" s="324">
        <f t="shared" si="13"/>
        <v>-3.580347234538258E-3</v>
      </c>
    </row>
    <row r="34" spans="1:31">
      <c r="A34" s="304">
        <f>MAX(A$14:A33)+1</f>
        <v>19</v>
      </c>
      <c r="C34" s="325" t="s">
        <v>273</v>
      </c>
      <c r="E34" s="330" t="s">
        <v>252</v>
      </c>
      <c r="G34" s="58">
        <v>1</v>
      </c>
      <c r="I34" s="58">
        <v>535721.17000000004</v>
      </c>
      <c r="J34" s="60"/>
      <c r="K34" s="62">
        <f>'Exhibit-RMP(RMM-2)'!G465/1000</f>
        <v>27958.751</v>
      </c>
      <c r="L34" s="60"/>
      <c r="M34" s="59">
        <f>'Exhibit-RMP(RMM-2)'!K465/1000</f>
        <v>204.35101512948827</v>
      </c>
      <c r="N34" s="60"/>
      <c r="O34" s="59">
        <f t="shared" si="24"/>
        <v>28163.102015129487</v>
      </c>
      <c r="P34" s="60"/>
      <c r="Q34" s="59">
        <f t="shared" si="25"/>
        <v>27958.751</v>
      </c>
      <c r="R34" s="60"/>
      <c r="S34" s="345">
        <f>'Exhibit-RMP(RMM-2)'!O465/1000+M34</f>
        <v>110.03516199280136</v>
      </c>
      <c r="T34" s="60"/>
      <c r="U34" s="59">
        <f t="shared" si="26"/>
        <v>28068.786161992801</v>
      </c>
      <c r="V34" s="60"/>
      <c r="W34" s="59">
        <f t="shared" si="27"/>
        <v>0</v>
      </c>
      <c r="X34" s="60"/>
      <c r="Y34" s="324">
        <f t="shared" si="11"/>
        <v>0</v>
      </c>
      <c r="Z34" s="60"/>
      <c r="AA34" s="59">
        <f t="shared" si="28"/>
        <v>-94.315853136686201</v>
      </c>
      <c r="AB34" s="60"/>
      <c r="AC34" s="324">
        <f t="shared" si="13"/>
        <v>-3.348915651621715E-3</v>
      </c>
    </row>
    <row r="35" spans="1:31">
      <c r="A35" s="304">
        <f>MAX(A$14:A34)+1</f>
        <v>20</v>
      </c>
      <c r="C35" s="325" t="s">
        <v>274</v>
      </c>
      <c r="E35" s="330" t="s">
        <v>252</v>
      </c>
      <c r="G35" s="58">
        <v>1</v>
      </c>
      <c r="I35" s="58">
        <v>795798.67578575748</v>
      </c>
      <c r="J35" s="60"/>
      <c r="K35" s="62">
        <f>'Exhibit-RMP(RMM-2)'!G470/1000</f>
        <v>35062.89</v>
      </c>
      <c r="L35" s="60"/>
      <c r="M35" s="59">
        <f>'Exhibit-RMP(RMM-2)'!K470/1000</f>
        <v>410.23581300000001</v>
      </c>
      <c r="N35" s="60"/>
      <c r="O35" s="59">
        <f t="shared" si="24"/>
        <v>35473.125812999999</v>
      </c>
      <c r="P35" s="60"/>
      <c r="Q35" s="59">
        <f t="shared" si="25"/>
        <v>35062.89</v>
      </c>
      <c r="R35" s="60"/>
      <c r="S35" s="345">
        <f>'Exhibit-RMP(RMM-2)'!O470/1000+M35</f>
        <v>217.38991800000002</v>
      </c>
      <c r="T35" s="60"/>
      <c r="U35" s="59">
        <f t="shared" si="26"/>
        <v>35280.279918</v>
      </c>
      <c r="V35" s="60"/>
      <c r="W35" s="59">
        <f t="shared" si="27"/>
        <v>0</v>
      </c>
      <c r="X35" s="60"/>
      <c r="Y35" s="324">
        <f t="shared" si="11"/>
        <v>0</v>
      </c>
      <c r="Z35" s="60"/>
      <c r="AA35" s="59">
        <f t="shared" si="28"/>
        <v>-192.84589499999856</v>
      </c>
      <c r="AB35" s="60"/>
      <c r="AC35" s="324">
        <f t="shared" si="13"/>
        <v>-5.4363941880003546E-3</v>
      </c>
    </row>
    <row r="36" spans="1:31">
      <c r="A36" s="304">
        <f>MAX(A$14:A35)+1</f>
        <v>21</v>
      </c>
      <c r="C36" s="325" t="s">
        <v>275</v>
      </c>
      <c r="E36" s="330" t="s">
        <v>252</v>
      </c>
      <c r="G36" s="58">
        <v>1</v>
      </c>
      <c r="I36" s="58">
        <v>621809.33325000003</v>
      </c>
      <c r="J36" s="60"/>
      <c r="K36" s="62">
        <f>'Exhibit-RMP(RMM-2)'!G492/1000</f>
        <v>30035.48</v>
      </c>
      <c r="L36" s="60"/>
      <c r="M36" s="59">
        <f>'Exhibit-RMP(RMM-2)'!K492/1000</f>
        <v>306.19387680000006</v>
      </c>
      <c r="N36" s="60"/>
      <c r="O36" s="59">
        <f t="shared" si="24"/>
        <v>30341.6738768</v>
      </c>
      <c r="P36" s="60"/>
      <c r="Q36" s="59">
        <f t="shared" si="25"/>
        <v>30035.48</v>
      </c>
      <c r="R36" s="60"/>
      <c r="S36" s="345">
        <f>'Exhibit-RMP(RMM-2)'!O492/1000+M36</f>
        <v>306.19387680000006</v>
      </c>
      <c r="T36" s="60"/>
      <c r="U36" s="59">
        <f t="shared" si="26"/>
        <v>30341.6738768</v>
      </c>
      <c r="V36" s="60"/>
      <c r="W36" s="59">
        <f t="shared" si="27"/>
        <v>0</v>
      </c>
      <c r="X36" s="60"/>
      <c r="Y36" s="324">
        <f t="shared" si="11"/>
        <v>0</v>
      </c>
      <c r="Z36" s="60"/>
      <c r="AA36" s="59">
        <f t="shared" si="28"/>
        <v>0</v>
      </c>
      <c r="AB36" s="60"/>
      <c r="AC36" s="324">
        <f t="shared" si="13"/>
        <v>0</v>
      </c>
    </row>
    <row r="37" spans="1:31">
      <c r="A37" s="304">
        <f>MAX(A$14:A36)+1</f>
        <v>22</v>
      </c>
      <c r="C37" s="325" t="s">
        <v>251</v>
      </c>
      <c r="E37" s="326" t="s">
        <v>252</v>
      </c>
      <c r="G37" s="342"/>
      <c r="I37" s="327"/>
      <c r="J37" s="60"/>
      <c r="K37" s="61">
        <f>SUM('Exhibit-RMP(RMM-2)'!G505:G507)/1000</f>
        <v>2927.6937100000005</v>
      </c>
      <c r="L37" s="60"/>
      <c r="M37" s="61"/>
      <c r="N37" s="60"/>
      <c r="O37" s="61">
        <f t="shared" si="24"/>
        <v>2927.6937100000005</v>
      </c>
      <c r="P37" s="60"/>
      <c r="Q37" s="61">
        <f t="shared" si="25"/>
        <v>2927.6937100000005</v>
      </c>
      <c r="R37" s="60"/>
      <c r="S37" s="61"/>
      <c r="T37" s="60"/>
      <c r="U37" s="61">
        <f t="shared" si="26"/>
        <v>2927.6937100000005</v>
      </c>
      <c r="V37" s="60"/>
      <c r="W37" s="61">
        <f t="shared" si="27"/>
        <v>0</v>
      </c>
      <c r="X37" s="60"/>
      <c r="Y37" s="328">
        <f t="shared" si="11"/>
        <v>0</v>
      </c>
      <c r="Z37" s="60"/>
      <c r="AA37" s="61">
        <f t="shared" si="28"/>
        <v>0</v>
      </c>
      <c r="AB37" s="60"/>
      <c r="AC37" s="328">
        <f t="shared" si="13"/>
        <v>0</v>
      </c>
    </row>
    <row r="38" spans="1:31">
      <c r="A38" s="304">
        <f>MAX(A$14:A37)+1</f>
        <v>23</v>
      </c>
      <c r="C38" s="316" t="s">
        <v>276</v>
      </c>
      <c r="G38" s="58">
        <v>101542.33333333333</v>
      </c>
      <c r="I38" s="58">
        <v>16931257.041015793</v>
      </c>
      <c r="J38" s="60"/>
      <c r="K38" s="59">
        <f>SUM(K20:K22,K24:K26,K28:K29,K31:K37)</f>
        <v>1239371.8237099999</v>
      </c>
      <c r="L38" s="60"/>
      <c r="M38" s="59">
        <f>SUM(M20:M22,M24:M26,M28:M29,M31:M37)</f>
        <v>10121.731918429488</v>
      </c>
      <c r="N38" s="60"/>
      <c r="O38" s="59">
        <f>SUM(O20:O22,O24:O26,O28:O29,O31:O37)</f>
        <v>1249493.5556284296</v>
      </c>
      <c r="P38" s="60"/>
      <c r="Q38" s="59">
        <f>SUM(Q20:Q22,Q24:Q26,Q28:Q29,Q31:Q37)</f>
        <v>1239371.8237099999</v>
      </c>
      <c r="R38" s="60"/>
      <c r="S38" s="59">
        <f>SUM(S20:S22,S24:S26,S28:S29,S31:S37)</f>
        <v>5521.6446719928008</v>
      </c>
      <c r="T38" s="60"/>
      <c r="U38" s="59">
        <f>SUM(U20:U22,U24:U26,U28:U29,U31:U37)</f>
        <v>1244893.4683819928</v>
      </c>
      <c r="V38" s="60"/>
      <c r="W38" s="59">
        <f>SUM(W20:W22,W24:W26,W28:W29,W31:W37)</f>
        <v>0</v>
      </c>
      <c r="X38" s="60"/>
      <c r="Y38" s="324">
        <f t="shared" si="11"/>
        <v>0</v>
      </c>
      <c r="Z38" s="60"/>
      <c r="AA38" s="59">
        <f>SUM(AA20:AA22,AA24:AA26,AA28:AA29,AA31:AA37)</f>
        <v>-4600.0872464366967</v>
      </c>
      <c r="AB38" s="60"/>
      <c r="AC38" s="324">
        <f t="shared" si="13"/>
        <v>-3.6815614019898601E-3</v>
      </c>
    </row>
    <row r="39" spans="1:31" ht="24.95" customHeight="1">
      <c r="C39" s="316" t="s">
        <v>277</v>
      </c>
      <c r="G39" s="58"/>
      <c r="I39" s="58"/>
      <c r="J39" s="60"/>
      <c r="K39" s="59"/>
      <c r="L39" s="60"/>
      <c r="M39" s="59"/>
      <c r="N39" s="60"/>
      <c r="O39" s="59"/>
      <c r="P39" s="60"/>
      <c r="Q39" s="59"/>
      <c r="R39" s="60"/>
      <c r="S39" s="59"/>
      <c r="T39" s="60"/>
      <c r="U39" s="59"/>
      <c r="V39" s="60"/>
      <c r="W39" s="59"/>
      <c r="X39" s="60"/>
      <c r="Y39" s="324"/>
      <c r="Z39" s="60"/>
      <c r="AA39" s="59"/>
      <c r="AB39" s="60"/>
      <c r="AC39" s="324"/>
    </row>
    <row r="40" spans="1:31">
      <c r="A40" s="304">
        <f>MAX(A$14:A39)+1</f>
        <v>24</v>
      </c>
      <c r="C40" s="304" t="s">
        <v>278</v>
      </c>
      <c r="E40" s="304">
        <v>7</v>
      </c>
      <c r="G40" s="58">
        <v>8046</v>
      </c>
      <c r="I40" s="58">
        <v>12440.930563737753</v>
      </c>
      <c r="J40" s="60"/>
      <c r="K40" s="62">
        <f>'Exhibit-RMP(RMM-2)'!G153/1000</f>
        <v>2999.06</v>
      </c>
      <c r="L40" s="60"/>
      <c r="M40" s="59">
        <f>'Exhibit-RMP(RMM-2)'!K153/1000</f>
        <v>11.996240000000006</v>
      </c>
      <c r="N40" s="60"/>
      <c r="O40" s="59">
        <f t="shared" ref="O40:O44" si="29">K40+M40</f>
        <v>3011.0562399999999</v>
      </c>
      <c r="P40" s="60"/>
      <c r="Q40" s="59">
        <f t="shared" ref="Q40:Q44" si="30">K40</f>
        <v>2999.06</v>
      </c>
      <c r="R40" s="60"/>
      <c r="S40" s="345">
        <f>'Exhibit-RMP(RMM-2)'!O153/1000+M40</f>
        <v>6.2980260000000046</v>
      </c>
      <c r="T40" s="60"/>
      <c r="U40" s="59">
        <f t="shared" ref="U40:U44" si="31">Q40+S40</f>
        <v>3005.3580259999999</v>
      </c>
      <c r="V40" s="60"/>
      <c r="W40" s="59">
        <f t="shared" ref="W40:W44" si="32">Q40-K40</f>
        <v>0</v>
      </c>
      <c r="X40" s="60"/>
      <c r="Y40" s="324">
        <f t="shared" ref="Y40:Y49" si="33">W40/K40</f>
        <v>0</v>
      </c>
      <c r="Z40" s="60"/>
      <c r="AA40" s="59">
        <f t="shared" ref="AA40:AA44" si="34">U40-O40</f>
        <v>-5.6982140000000072</v>
      </c>
      <c r="AB40" s="60"/>
      <c r="AC40" s="324">
        <f t="shared" ref="AC40:AC49" si="35">AA40/O40</f>
        <v>-1.8924302788844646E-3</v>
      </c>
    </row>
    <row r="41" spans="1:31">
      <c r="A41" s="304">
        <f>MAX(A$14:A40)+1</f>
        <v>25</v>
      </c>
      <c r="C41" s="304" t="s">
        <v>279</v>
      </c>
      <c r="E41" s="333">
        <v>11</v>
      </c>
      <c r="G41" s="58">
        <v>809.41666666666663</v>
      </c>
      <c r="I41" s="58">
        <v>16496.197391013095</v>
      </c>
      <c r="J41" s="60"/>
      <c r="K41" s="62">
        <f>'Exhibit-RMP(RMM-2)'!G268/1000</f>
        <v>4979.3900000000003</v>
      </c>
      <c r="L41" s="60"/>
      <c r="M41" s="59">
        <f>'Exhibit-RMP(RMM-2)'!K268/1000</f>
        <v>19.917559999999998</v>
      </c>
      <c r="N41" s="60"/>
      <c r="O41" s="59">
        <f t="shared" si="29"/>
        <v>4999.3075600000002</v>
      </c>
      <c r="P41" s="60"/>
      <c r="Q41" s="59">
        <f t="shared" si="30"/>
        <v>4979.3900000000003</v>
      </c>
      <c r="R41" s="60"/>
      <c r="S41" s="345">
        <f>'Exhibit-RMP(RMM-2)'!O268/1000+M41</f>
        <v>10.456718999999998</v>
      </c>
      <c r="T41" s="60"/>
      <c r="U41" s="59">
        <f t="shared" si="31"/>
        <v>4989.8467190000001</v>
      </c>
      <c r="V41" s="60"/>
      <c r="W41" s="59">
        <f t="shared" si="32"/>
        <v>0</v>
      </c>
      <c r="X41" s="60"/>
      <c r="Y41" s="324">
        <f t="shared" si="33"/>
        <v>0</v>
      </c>
      <c r="Z41" s="60"/>
      <c r="AA41" s="59">
        <f t="shared" si="34"/>
        <v>-9.4608410000000731</v>
      </c>
      <c r="AB41" s="60"/>
      <c r="AC41" s="324">
        <f t="shared" si="35"/>
        <v>-1.8924302788844768E-3</v>
      </c>
    </row>
    <row r="42" spans="1:31">
      <c r="A42" s="304">
        <f>MAX(A$14:A41)+1</f>
        <v>26</v>
      </c>
      <c r="C42" s="304" t="s">
        <v>280</v>
      </c>
      <c r="E42" s="333">
        <v>12</v>
      </c>
      <c r="G42" s="58">
        <v>839</v>
      </c>
      <c r="I42" s="334">
        <v>56516.774129293255</v>
      </c>
      <c r="J42" s="60"/>
      <c r="K42" s="62">
        <f>'Exhibit-RMP(RMM-2)'!G351/1000</f>
        <v>4144.8670000000002</v>
      </c>
      <c r="L42" s="60"/>
      <c r="M42" s="59">
        <f>'Exhibit-RMP(RMM-2)'!K351/1000</f>
        <v>16.579468000000002</v>
      </c>
      <c r="N42" s="60"/>
      <c r="O42" s="59">
        <f t="shared" si="29"/>
        <v>4161.4464680000001</v>
      </c>
      <c r="P42" s="60"/>
      <c r="Q42" s="59">
        <f t="shared" si="30"/>
        <v>4144.8670000000002</v>
      </c>
      <c r="R42" s="60"/>
      <c r="S42" s="345">
        <f>'Exhibit-RMP(RMM-2)'!O351/1000+M42</f>
        <v>8.7042207000000005</v>
      </c>
      <c r="T42" s="60"/>
      <c r="U42" s="59">
        <f t="shared" si="31"/>
        <v>4153.5712207000006</v>
      </c>
      <c r="V42" s="60"/>
      <c r="W42" s="59">
        <f t="shared" si="32"/>
        <v>0</v>
      </c>
      <c r="X42" s="60"/>
      <c r="Y42" s="324">
        <f t="shared" si="33"/>
        <v>0</v>
      </c>
      <c r="Z42" s="60"/>
      <c r="AA42" s="59">
        <f t="shared" si="34"/>
        <v>-7.8752472999995007</v>
      </c>
      <c r="AB42" s="60"/>
      <c r="AC42" s="324">
        <f t="shared" si="35"/>
        <v>-1.8924302788843421E-3</v>
      </c>
    </row>
    <row r="43" spans="1:31" s="335" customFormat="1">
      <c r="A43" s="335">
        <f>MAX(A$14:A42)+1</f>
        <v>27</v>
      </c>
      <c r="C43" s="335" t="s">
        <v>281</v>
      </c>
      <c r="D43" s="336"/>
      <c r="E43" s="335">
        <v>15</v>
      </c>
      <c r="F43" s="336"/>
      <c r="G43" s="337">
        <v>2466</v>
      </c>
      <c r="H43" s="336"/>
      <c r="I43" s="337">
        <v>6177.9471587633907</v>
      </c>
      <c r="J43" s="63"/>
      <c r="K43" s="62">
        <f>'Exhibit-RMP(RMM-2)'!G360/1000</f>
        <v>1234.6020000000001</v>
      </c>
      <c r="L43" s="63"/>
      <c r="M43" s="62">
        <f>'Exhibit-RMP(RMM-2)'!K360/1000</f>
        <v>10.026916499999999</v>
      </c>
      <c r="N43" s="63"/>
      <c r="O43" s="62">
        <f t="shared" si="29"/>
        <v>1244.6289165000001</v>
      </c>
      <c r="P43" s="63"/>
      <c r="Q43" s="62">
        <f t="shared" si="30"/>
        <v>1234.6020000000001</v>
      </c>
      <c r="R43" s="63"/>
      <c r="S43" s="561">
        <f>'Exhibit-RMP(RMM-2)'!O360/1000+M43</f>
        <v>5.2477319999999983</v>
      </c>
      <c r="T43" s="63"/>
      <c r="U43" s="62">
        <f t="shared" si="31"/>
        <v>1239.8497320000001</v>
      </c>
      <c r="V43" s="63"/>
      <c r="W43" s="62">
        <f t="shared" si="32"/>
        <v>0</v>
      </c>
      <c r="X43" s="63"/>
      <c r="Y43" s="338">
        <f t="shared" si="33"/>
        <v>0</v>
      </c>
      <c r="Z43" s="63"/>
      <c r="AA43" s="62">
        <f t="shared" si="34"/>
        <v>-4.7791844999999284</v>
      </c>
      <c r="AB43" s="63"/>
      <c r="AC43" s="338">
        <f t="shared" si="35"/>
        <v>-3.8398469107076448E-3</v>
      </c>
    </row>
    <row r="44" spans="1:31">
      <c r="A44" s="304">
        <f>MAX(A$14:A43)+1</f>
        <v>28</v>
      </c>
      <c r="C44" s="304" t="s">
        <v>282</v>
      </c>
      <c r="E44" s="304">
        <v>15</v>
      </c>
      <c r="G44" s="331">
        <v>515</v>
      </c>
      <c r="I44" s="331">
        <v>17536.444611929484</v>
      </c>
      <c r="J44" s="60"/>
      <c r="K44" s="61">
        <f>'Exhibit-RMP(RMM-2)'!G366/1000</f>
        <v>682.02800000000002</v>
      </c>
      <c r="L44" s="60"/>
      <c r="M44" s="61">
        <f>'Exhibit-RMP(RMM-2)'!K366/1000</f>
        <v>3.7905250000000001</v>
      </c>
      <c r="N44" s="60"/>
      <c r="O44" s="61">
        <f t="shared" si="29"/>
        <v>685.81852500000002</v>
      </c>
      <c r="P44" s="60"/>
      <c r="Q44" s="61">
        <f t="shared" si="30"/>
        <v>682.02800000000002</v>
      </c>
      <c r="R44" s="60"/>
      <c r="S44" s="560">
        <f>'Exhibit-RMP(RMM-2)'!O366/1000+M44</f>
        <v>2.0250750000000002</v>
      </c>
      <c r="T44" s="60"/>
      <c r="U44" s="61">
        <f t="shared" si="31"/>
        <v>684.05307500000004</v>
      </c>
      <c r="V44" s="60"/>
      <c r="W44" s="61">
        <f t="shared" si="32"/>
        <v>0</v>
      </c>
      <c r="X44" s="60"/>
      <c r="Y44" s="328">
        <f t="shared" si="33"/>
        <v>0</v>
      </c>
      <c r="Z44" s="60"/>
      <c r="AA44" s="61">
        <f t="shared" si="34"/>
        <v>-1.7654499999999871</v>
      </c>
      <c r="AB44" s="60"/>
      <c r="AC44" s="328">
        <f t="shared" si="35"/>
        <v>-2.5742232611753774E-3</v>
      </c>
    </row>
    <row r="45" spans="1:31">
      <c r="A45" s="304">
        <f>MAX(A$14:A44)+1</f>
        <v>29</v>
      </c>
      <c r="C45" s="332" t="s">
        <v>283</v>
      </c>
      <c r="D45" s="64"/>
      <c r="F45" s="64"/>
      <c r="G45" s="58">
        <v>12675.416666666666</v>
      </c>
      <c r="H45" s="64"/>
      <c r="I45" s="58">
        <v>109168.29385473697</v>
      </c>
      <c r="J45" s="59"/>
      <c r="K45" s="59">
        <f>SUM(K40:K44)</f>
        <v>14039.947000000002</v>
      </c>
      <c r="L45" s="59"/>
      <c r="M45" s="59">
        <f>SUM(M40:M44)</f>
        <v>62.310709500000002</v>
      </c>
      <c r="N45" s="59"/>
      <c r="O45" s="59">
        <f>SUM(O40:O44)</f>
        <v>14102.257709500002</v>
      </c>
      <c r="P45" s="59"/>
      <c r="Q45" s="59">
        <f>SUM(Q40:Q44)</f>
        <v>14039.947000000002</v>
      </c>
      <c r="R45" s="59"/>
      <c r="S45" s="59">
        <f>SUM(S40:S44)</f>
        <v>32.7317727</v>
      </c>
      <c r="T45" s="59"/>
      <c r="U45" s="59">
        <f>SUM(U40:U44)</f>
        <v>14072.678772700001</v>
      </c>
      <c r="V45" s="59"/>
      <c r="W45" s="59">
        <f>SUM(W40:W44)</f>
        <v>0</v>
      </c>
      <c r="X45" s="59"/>
      <c r="Y45" s="324">
        <f t="shared" si="33"/>
        <v>0</v>
      </c>
      <c r="Z45" s="59"/>
      <c r="AA45" s="59">
        <f>SUM(AA40:AA44)</f>
        <v>-29.578936799999497</v>
      </c>
      <c r="AB45" s="59"/>
      <c r="AC45" s="324">
        <f t="shared" si="35"/>
        <v>-2.097461088097519E-3</v>
      </c>
    </row>
    <row r="46" spans="1:31" ht="21.95" customHeight="1">
      <c r="A46" s="304">
        <f>MAX(A$14:A45)+1</f>
        <v>30</v>
      </c>
      <c r="C46" s="325" t="s">
        <v>284</v>
      </c>
      <c r="E46" s="330" t="s">
        <v>252</v>
      </c>
      <c r="G46" s="58">
        <v>5</v>
      </c>
      <c r="I46" s="58">
        <v>7.7366128294616923</v>
      </c>
      <c r="J46" s="60"/>
      <c r="K46" s="62">
        <f>'Exhibit-RMP(RMM-2)'!G501/1000</f>
        <v>0.58299999999999996</v>
      </c>
      <c r="L46" s="60"/>
      <c r="M46" s="59">
        <f>'Exhibit-RMP(RMM-2)'!K501/1000</f>
        <v>0</v>
      </c>
      <c r="N46" s="60"/>
      <c r="O46" s="59">
        <f t="shared" ref="O46:O47" si="36">K46+M46</f>
        <v>0.58299999999999996</v>
      </c>
      <c r="P46" s="60"/>
      <c r="Q46" s="59">
        <f t="shared" ref="Q46:Q47" si="37">K46</f>
        <v>0.58299999999999996</v>
      </c>
      <c r="R46" s="60"/>
      <c r="S46" s="59">
        <f>'Exhibit-RMP(RMM-2)'!O501/1000+M46</f>
        <v>0</v>
      </c>
      <c r="T46" s="60"/>
      <c r="U46" s="59">
        <f t="shared" ref="U46:U47" si="38">Q46+S46</f>
        <v>0.58299999999999996</v>
      </c>
      <c r="V46" s="60"/>
      <c r="W46" s="59">
        <f t="shared" ref="W46" si="39">Q46-K46</f>
        <v>0</v>
      </c>
      <c r="X46" s="60"/>
      <c r="Y46" s="324">
        <f t="shared" si="33"/>
        <v>0</v>
      </c>
      <c r="Z46" s="60"/>
      <c r="AA46" s="59">
        <f t="shared" ref="AA46:AA47" si="40">U46-O46</f>
        <v>0</v>
      </c>
      <c r="AB46" s="60"/>
      <c r="AC46" s="324">
        <f t="shared" si="35"/>
        <v>0</v>
      </c>
    </row>
    <row r="47" spans="1:31">
      <c r="A47" s="304">
        <f>MAX(A$14:A46)+1</f>
        <v>31</v>
      </c>
      <c r="C47" s="325" t="s">
        <v>251</v>
      </c>
      <c r="D47" s="65"/>
      <c r="E47" s="326" t="s">
        <v>252</v>
      </c>
      <c r="F47" s="65"/>
      <c r="G47" s="339"/>
      <c r="H47" s="65"/>
      <c r="I47" s="339"/>
      <c r="J47" s="60"/>
      <c r="K47" s="61">
        <f>'Exhibit-RMP(RMM-2)'!G508/1000</f>
        <v>4.6616400000000002</v>
      </c>
      <c r="L47" s="60"/>
      <c r="M47" s="61"/>
      <c r="N47" s="60"/>
      <c r="O47" s="61">
        <f t="shared" si="36"/>
        <v>4.6616400000000002</v>
      </c>
      <c r="P47" s="60"/>
      <c r="Q47" s="61">
        <f t="shared" si="37"/>
        <v>4.6616400000000002</v>
      </c>
      <c r="R47" s="60"/>
      <c r="S47" s="61"/>
      <c r="T47" s="60"/>
      <c r="U47" s="61">
        <f t="shared" si="38"/>
        <v>4.6616400000000002</v>
      </c>
      <c r="V47" s="60"/>
      <c r="W47" s="61"/>
      <c r="X47" s="60"/>
      <c r="Y47" s="328">
        <f t="shared" si="33"/>
        <v>0</v>
      </c>
      <c r="Z47" s="60"/>
      <c r="AA47" s="61">
        <f t="shared" si="40"/>
        <v>0</v>
      </c>
      <c r="AB47" s="60"/>
      <c r="AC47" s="328">
        <f t="shared" si="35"/>
        <v>0</v>
      </c>
      <c r="AD47" s="566" t="s">
        <v>517</v>
      </c>
      <c r="AE47" s="566"/>
    </row>
    <row r="48" spans="1:31" ht="21.95" customHeight="1">
      <c r="A48" s="304">
        <f>MAX(A$14:A47)+1</f>
        <v>32</v>
      </c>
      <c r="C48" s="316" t="s">
        <v>285</v>
      </c>
      <c r="E48" s="335"/>
      <c r="G48" s="331">
        <v>12680.416666666666</v>
      </c>
      <c r="I48" s="331">
        <v>109176.03046756644</v>
      </c>
      <c r="J48" s="60"/>
      <c r="K48" s="61">
        <f>SUM(K45:K47)</f>
        <v>14045.191640000003</v>
      </c>
      <c r="L48" s="60"/>
      <c r="M48" s="61">
        <f>SUM(M45:M47)</f>
        <v>62.310709500000002</v>
      </c>
      <c r="N48" s="60"/>
      <c r="O48" s="61">
        <f>SUM(O45:O47)</f>
        <v>14107.502349500002</v>
      </c>
      <c r="P48" s="60"/>
      <c r="Q48" s="61">
        <f>SUM(Q45:Q47)</f>
        <v>14045.191640000003</v>
      </c>
      <c r="R48" s="60"/>
      <c r="S48" s="61">
        <f>SUM(S45:S47)</f>
        <v>32.7317727</v>
      </c>
      <c r="T48" s="60"/>
      <c r="U48" s="61">
        <f>SUM(U45:U47)</f>
        <v>14077.923412700002</v>
      </c>
      <c r="V48" s="60"/>
      <c r="W48" s="61">
        <f>SUM(W45:W47)</f>
        <v>0</v>
      </c>
      <c r="X48" s="60"/>
      <c r="Y48" s="328">
        <f t="shared" si="33"/>
        <v>0</v>
      </c>
      <c r="Z48" s="60"/>
      <c r="AA48" s="61">
        <f>SUM(AA45:AA47)</f>
        <v>-29.578936799999497</v>
      </c>
      <c r="AB48" s="60"/>
      <c r="AC48" s="328">
        <f t="shared" si="35"/>
        <v>-2.0966813307706331E-3</v>
      </c>
      <c r="AD48" s="564">
        <v>2015</v>
      </c>
      <c r="AE48" s="564">
        <v>2016</v>
      </c>
    </row>
    <row r="49" spans="1:31" ht="24.95" customHeight="1" thickBot="1">
      <c r="A49" s="304">
        <f>MAX(A$14:A48)+1</f>
        <v>33</v>
      </c>
      <c r="C49" s="316" t="s">
        <v>286</v>
      </c>
      <c r="E49" s="335"/>
      <c r="G49" s="340">
        <v>854858.75</v>
      </c>
      <c r="I49" s="340">
        <v>23244284.921518605</v>
      </c>
      <c r="J49" s="60"/>
      <c r="K49" s="66">
        <f>K48+K38+K18</f>
        <v>1938306.48862</v>
      </c>
      <c r="L49" s="60"/>
      <c r="M49" s="66">
        <f>M48+M38+M18</f>
        <v>14224.023504729488</v>
      </c>
      <c r="N49" s="60"/>
      <c r="O49" s="66">
        <f>O48+O38+O18</f>
        <v>1952530.5121247298</v>
      </c>
      <c r="P49" s="60"/>
      <c r="Q49" s="66">
        <f>Q48+Q38+Q18</f>
        <v>1938306.48862</v>
      </c>
      <c r="R49" s="60"/>
      <c r="S49" s="66">
        <f>S48+S38+S18</f>
        <v>7700.6162854928007</v>
      </c>
      <c r="T49" s="60"/>
      <c r="U49" s="66">
        <f>U48+U38+U18</f>
        <v>1946007.1049054926</v>
      </c>
      <c r="V49" s="60"/>
      <c r="W49" s="66">
        <f>W48+W38+W18</f>
        <v>0</v>
      </c>
      <c r="X49" s="60"/>
      <c r="Y49" s="341">
        <f t="shared" si="33"/>
        <v>0</v>
      </c>
      <c r="Z49" s="60"/>
      <c r="AA49" s="66">
        <f>AA48+AA38+AA18</f>
        <v>-6523.4072192366802</v>
      </c>
      <c r="AB49" s="60"/>
      <c r="AC49" s="341">
        <f t="shared" si="35"/>
        <v>-3.3410014228858094E-3</v>
      </c>
      <c r="AD49" s="565">
        <f>ROUND(M49/S49,2)</f>
        <v>1.85</v>
      </c>
      <c r="AE49" s="565">
        <f>1-AD49</f>
        <v>-0.85000000000000009</v>
      </c>
    </row>
    <row r="50" spans="1:31" ht="16.5" thickTop="1">
      <c r="E50" s="335"/>
    </row>
    <row r="51" spans="1:31">
      <c r="C51" s="325"/>
    </row>
    <row r="52" spans="1:31">
      <c r="C52" s="325"/>
    </row>
  </sheetData>
  <printOptions horizontalCentered="1"/>
  <pageMargins left="0.5" right="0.5" top="1" bottom="0.5" header="0.5" footer="0.25"/>
  <pageSetup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view="pageBreakPreview" zoomScale="80" zoomScaleNormal="70" zoomScaleSheetLayoutView="80" workbookViewId="0">
      <selection activeCell="R54" sqref="R54"/>
    </sheetView>
  </sheetViews>
  <sheetFormatPr defaultColWidth="9" defaultRowHeight="15.75"/>
  <cols>
    <col min="1" max="1" width="4.625" style="144" customWidth="1"/>
    <col min="2" max="2" width="1.625" style="144" customWidth="1"/>
    <col min="3" max="3" width="35.625" style="144" customWidth="1"/>
    <col min="4" max="4" width="1.5" style="146" customWidth="1"/>
    <col min="5" max="5" width="7.5" style="144" bestFit="1" customWidth="1"/>
    <col min="6" max="6" width="2.125" style="146" customWidth="1"/>
    <col min="7" max="7" width="15.25" style="146" customWidth="1"/>
    <col min="8" max="8" width="1.75" style="146" customWidth="1"/>
    <col min="9" max="9" width="18.75" style="189" bestFit="1" customWidth="1"/>
    <col min="10" max="10" width="2.75" style="144" customWidth="1"/>
    <col min="11" max="11" width="11.375" style="146" bestFit="1" customWidth="1"/>
    <col min="12" max="12" width="2.375" style="146" customWidth="1"/>
    <col min="13" max="13" width="6.5" style="146" bestFit="1" customWidth="1"/>
    <col min="14" max="16384" width="9" style="144"/>
  </cols>
  <sheetData>
    <row r="1" spans="1:13">
      <c r="A1" s="88" t="s">
        <v>314</v>
      </c>
      <c r="B1" s="88"/>
      <c r="C1" s="88"/>
      <c r="D1" s="142"/>
      <c r="E1" s="88"/>
      <c r="F1" s="142"/>
      <c r="G1" s="143"/>
      <c r="H1" s="142"/>
      <c r="I1" s="184"/>
      <c r="J1" s="145"/>
      <c r="K1" s="143"/>
      <c r="L1" s="143"/>
      <c r="M1" s="142"/>
    </row>
    <row r="2" spans="1:13" s="55" customFormat="1">
      <c r="A2" s="88" t="s">
        <v>239</v>
      </c>
      <c r="B2" s="88"/>
      <c r="C2" s="88"/>
      <c r="D2" s="142"/>
      <c r="E2" s="88"/>
      <c r="F2" s="142"/>
      <c r="G2" s="143"/>
      <c r="H2" s="142"/>
      <c r="I2" s="184"/>
      <c r="J2" s="145"/>
      <c r="K2" s="143"/>
      <c r="L2" s="143"/>
      <c r="M2" s="142"/>
    </row>
    <row r="3" spans="1:13" s="55" customFormat="1">
      <c r="A3" s="88" t="s">
        <v>294</v>
      </c>
      <c r="B3" s="88"/>
      <c r="C3" s="88"/>
      <c r="D3" s="142"/>
      <c r="E3" s="88"/>
      <c r="F3" s="142"/>
      <c r="G3" s="143"/>
      <c r="H3" s="142"/>
      <c r="I3" s="184"/>
      <c r="J3" s="145"/>
      <c r="K3" s="143"/>
      <c r="L3" s="143"/>
      <c r="M3" s="142"/>
    </row>
    <row r="4" spans="1:13" s="55" customFormat="1">
      <c r="A4" s="88" t="s">
        <v>240</v>
      </c>
      <c r="B4" s="88"/>
      <c r="C4" s="88"/>
      <c r="D4" s="142"/>
      <c r="E4" s="88"/>
      <c r="F4" s="142"/>
      <c r="G4" s="143"/>
      <c r="H4" s="142"/>
      <c r="I4" s="184"/>
      <c r="J4" s="145"/>
      <c r="K4" s="143"/>
      <c r="L4" s="143"/>
      <c r="M4" s="142"/>
    </row>
    <row r="5" spans="1:13" s="55" customFormat="1">
      <c r="A5" s="88" t="s">
        <v>428</v>
      </c>
      <c r="B5" s="88"/>
      <c r="C5" s="88"/>
      <c r="D5" s="142"/>
      <c r="E5" s="88"/>
      <c r="F5" s="142"/>
      <c r="G5" s="143"/>
      <c r="H5" s="142"/>
      <c r="I5" s="184"/>
      <c r="J5" s="145"/>
      <c r="K5" s="143"/>
      <c r="L5" s="143"/>
      <c r="M5" s="142"/>
    </row>
    <row r="6" spans="1:13">
      <c r="A6" s="88" t="s">
        <v>429</v>
      </c>
      <c r="B6" s="88"/>
      <c r="C6" s="88"/>
      <c r="D6" s="142"/>
      <c r="E6" s="88"/>
      <c r="F6" s="142"/>
      <c r="G6" s="143"/>
      <c r="H6" s="142"/>
      <c r="I6" s="184"/>
      <c r="J6" s="145"/>
      <c r="K6" s="143"/>
      <c r="L6" s="143"/>
      <c r="M6" s="142"/>
    </row>
    <row r="7" spans="1:13">
      <c r="A7" s="88"/>
      <c r="B7" s="88"/>
      <c r="C7" s="88"/>
      <c r="D7" s="142"/>
      <c r="E7" s="88"/>
      <c r="F7" s="142"/>
      <c r="G7" s="143"/>
      <c r="H7" s="142"/>
      <c r="I7" s="185"/>
      <c r="K7" s="180"/>
      <c r="L7" s="180"/>
      <c r="M7" s="85"/>
    </row>
    <row r="8" spans="1:13">
      <c r="A8" s="88"/>
      <c r="B8" s="88"/>
      <c r="C8" s="88"/>
      <c r="D8" s="142"/>
      <c r="E8" s="88"/>
      <c r="F8" s="142"/>
      <c r="G8" s="142"/>
      <c r="H8" s="179"/>
      <c r="I8" s="186"/>
      <c r="K8" s="85"/>
      <c r="L8" s="85"/>
      <c r="M8" s="85"/>
    </row>
    <row r="9" spans="1:13">
      <c r="D9" s="84"/>
      <c r="E9" s="147"/>
      <c r="F9" s="84"/>
      <c r="G9" s="83" t="s">
        <v>311</v>
      </c>
      <c r="H9" s="84"/>
      <c r="I9" s="182" t="s">
        <v>452</v>
      </c>
      <c r="K9" s="314" t="s">
        <v>453</v>
      </c>
      <c r="L9" s="314"/>
      <c r="M9" s="314"/>
    </row>
    <row r="10" spans="1:13" s="87" customFormat="1" ht="18.75">
      <c r="A10" s="87" t="s">
        <v>241</v>
      </c>
      <c r="D10" s="84"/>
      <c r="E10" s="147" t="s">
        <v>242</v>
      </c>
      <c r="F10" s="84"/>
      <c r="G10" s="84" t="s">
        <v>295</v>
      </c>
      <c r="H10" s="83"/>
      <c r="I10" s="458" t="s">
        <v>458</v>
      </c>
      <c r="K10" s="459" t="s">
        <v>499</v>
      </c>
      <c r="L10" s="457"/>
      <c r="M10" s="457"/>
    </row>
    <row r="11" spans="1:13" s="87" customFormat="1">
      <c r="A11" s="473" t="s">
        <v>244</v>
      </c>
      <c r="C11" s="148" t="s">
        <v>245</v>
      </c>
      <c r="E11" s="148" t="s">
        <v>244</v>
      </c>
      <c r="G11" s="86" t="s">
        <v>247</v>
      </c>
      <c r="I11" s="187" t="s">
        <v>247</v>
      </c>
      <c r="K11" s="187" t="s">
        <v>247</v>
      </c>
      <c r="L11" s="453"/>
      <c r="M11" s="67" t="s">
        <v>287</v>
      </c>
    </row>
    <row r="12" spans="1:13" s="87" customFormat="1">
      <c r="C12" s="56">
        <v>-1</v>
      </c>
      <c r="D12" s="57"/>
      <c r="E12" s="56">
        <f>MIN($A12:D12)-1</f>
        <v>-2</v>
      </c>
      <c r="F12" s="57"/>
      <c r="G12" s="56">
        <v>-3</v>
      </c>
      <c r="H12" s="57"/>
      <c r="I12" s="56">
        <v>-4</v>
      </c>
      <c r="K12" s="56">
        <v>-5</v>
      </c>
      <c r="M12" s="56">
        <v>-6</v>
      </c>
    </row>
    <row r="13" spans="1:13" s="87" customFormat="1">
      <c r="D13" s="149"/>
      <c r="F13" s="149"/>
      <c r="G13" s="149"/>
      <c r="H13" s="149"/>
      <c r="I13" s="188"/>
      <c r="K13" s="84"/>
      <c r="L13" s="84"/>
      <c r="M13" s="149"/>
    </row>
    <row r="14" spans="1:13" ht="18.75" customHeight="1">
      <c r="C14" s="87" t="s">
        <v>248</v>
      </c>
    </row>
    <row r="15" spans="1:13">
      <c r="A15" s="144">
        <v>1</v>
      </c>
      <c r="C15" s="144" t="s">
        <v>248</v>
      </c>
      <c r="E15" s="150" t="s">
        <v>249</v>
      </c>
      <c r="G15" s="59">
        <f>('Exhibit-RMP(RMM-2)'!G29+'Exhibit-RMP(RMM-2)'!G49)/1000</f>
        <v>684504.94400000002</v>
      </c>
      <c r="H15" s="60"/>
      <c r="I15" s="190"/>
      <c r="J15" s="467"/>
      <c r="K15" s="59">
        <f>K18*$G15/SUM($G15:$G16)</f>
        <v>-1899.5086554705567</v>
      </c>
      <c r="L15" s="345"/>
      <c r="M15" s="68">
        <f>K15/$G15</f>
        <v>-2.7750108631363758E-3</v>
      </c>
    </row>
    <row r="16" spans="1:13">
      <c r="A16" s="144">
        <f>MAX(A$14:A15)+1</f>
        <v>2</v>
      </c>
      <c r="C16" s="144" t="s">
        <v>250</v>
      </c>
      <c r="E16" s="151">
        <v>2</v>
      </c>
      <c r="G16" s="59">
        <f>'Exhibit-RMP(RMM-2)'!G71/1000</f>
        <v>351.48899999999998</v>
      </c>
      <c r="H16" s="60"/>
      <c r="I16" s="190"/>
      <c r="J16" s="467"/>
      <c r="K16" s="59">
        <f>K18-K15</f>
        <v>-0.97538579327283514</v>
      </c>
      <c r="L16" s="59"/>
      <c r="M16" s="192">
        <f>K16/$G16</f>
        <v>-2.7750108631360731E-3</v>
      </c>
    </row>
    <row r="17" spans="1:15">
      <c r="A17" s="144">
        <f>MAX(A$14:A16)+1</f>
        <v>3</v>
      </c>
      <c r="C17" s="152" t="s">
        <v>251</v>
      </c>
      <c r="E17" s="153" t="s">
        <v>252</v>
      </c>
      <c r="G17" s="61">
        <f>'Exhibit-RMP(RMM-2)'!G504/1000</f>
        <v>33.04027</v>
      </c>
      <c r="H17" s="60"/>
      <c r="I17" s="191"/>
      <c r="J17" s="467"/>
      <c r="K17" s="61"/>
      <c r="L17" s="61"/>
      <c r="M17" s="193"/>
    </row>
    <row r="18" spans="1:15">
      <c r="A18" s="144">
        <f>MAX(A$14:A17)+1</f>
        <v>4</v>
      </c>
      <c r="C18" s="87" t="s">
        <v>253</v>
      </c>
      <c r="G18" s="59">
        <f>SUM(G15:G17)</f>
        <v>684889.47326999996</v>
      </c>
      <c r="H18" s="60"/>
      <c r="I18" s="190">
        <f>'Allocator-2014'!F33/1000</f>
        <v>170320.71556135381</v>
      </c>
      <c r="J18" s="467"/>
      <c r="K18" s="59">
        <f>I18/($I$49-$I$34)*($K$54-$G$34*$K$55)*$K$56</f>
        <v>-1900.4840412638296</v>
      </c>
      <c r="L18" s="59"/>
      <c r="M18" s="192">
        <f>K18/$G18</f>
        <v>-2.7748769917428895E-3</v>
      </c>
      <c r="O18" s="462">
        <f>I18/$I$49</f>
        <v>0.28920276165275521</v>
      </c>
    </row>
    <row r="19" spans="1:15" ht="24.75" customHeight="1">
      <c r="C19" s="87" t="s">
        <v>254</v>
      </c>
      <c r="G19" s="59"/>
      <c r="H19" s="60"/>
      <c r="I19" s="190"/>
      <c r="J19" s="467"/>
      <c r="K19" s="59"/>
      <c r="L19" s="154"/>
      <c r="M19" s="192"/>
      <c r="O19" s="462"/>
    </row>
    <row r="20" spans="1:15">
      <c r="A20" s="144">
        <f>MAX(A$14:A19)+1</f>
        <v>5</v>
      </c>
      <c r="C20" s="144" t="s">
        <v>255</v>
      </c>
      <c r="E20" s="155">
        <v>6</v>
      </c>
      <c r="G20" s="59">
        <f>'Exhibit-RMP(RMM-2)'!G86/1000</f>
        <v>494681.46600000001</v>
      </c>
      <c r="H20" s="60"/>
      <c r="I20" s="190"/>
      <c r="J20" s="467"/>
      <c r="K20" s="59">
        <f>K$23*$G20/$G$23</f>
        <v>-1679.3777479016442</v>
      </c>
      <c r="L20" s="345"/>
      <c r="M20" s="192">
        <f t="shared" ref="M20:M36" si="0">K20/$G20</f>
        <v>-3.3948669261476719E-3</v>
      </c>
      <c r="O20" s="462"/>
    </row>
    <row r="21" spans="1:15">
      <c r="A21" s="144">
        <f>MAX(A$14:A20)+1</f>
        <v>6</v>
      </c>
      <c r="C21" s="144" t="s">
        <v>256</v>
      </c>
      <c r="E21" s="151" t="s">
        <v>257</v>
      </c>
      <c r="G21" s="59">
        <f>'Exhibit-RMP(RMM-2)'!G113/1000</f>
        <v>34227.404000000002</v>
      </c>
      <c r="H21" s="60"/>
      <c r="I21" s="190"/>
      <c r="J21" s="467"/>
      <c r="K21" s="59">
        <f>K$23*$G21/$G$23</f>
        <v>-116.19748180749454</v>
      </c>
      <c r="L21" s="59"/>
      <c r="M21" s="192">
        <f t="shared" si="0"/>
        <v>-3.3948669261476719E-3</v>
      </c>
      <c r="O21" s="462"/>
    </row>
    <row r="22" spans="1:15">
      <c r="A22" s="144">
        <f>MAX(A$14:A21)+1</f>
        <v>7</v>
      </c>
      <c r="C22" s="144" t="s">
        <v>258</v>
      </c>
      <c r="E22" s="151" t="s">
        <v>259</v>
      </c>
      <c r="G22" s="61">
        <f>'Exhibit-RMP(RMM-2)'!G101/1000</f>
        <v>345.71800000000002</v>
      </c>
      <c r="H22" s="60"/>
      <c r="I22" s="191"/>
      <c r="J22" s="467"/>
      <c r="K22" s="61">
        <f>K23-K20-K21</f>
        <v>-1.1736666039737713</v>
      </c>
      <c r="L22" s="61"/>
      <c r="M22" s="193">
        <f t="shared" si="0"/>
        <v>-3.3948669261472391E-3</v>
      </c>
      <c r="O22" s="462"/>
    </row>
    <row r="23" spans="1:15">
      <c r="A23" s="144">
        <f>MAX(A$14:A22)+1</f>
        <v>8</v>
      </c>
      <c r="C23" s="156" t="s">
        <v>260</v>
      </c>
      <c r="G23" s="59">
        <f>SUM(G20:G22)</f>
        <v>529254.58799999999</v>
      </c>
      <c r="H23" s="60"/>
      <c r="I23" s="190">
        <f>'Allocator-2014'!G33/1000</f>
        <v>161024.00812616933</v>
      </c>
      <c r="J23" s="467"/>
      <c r="K23" s="59">
        <f>I23/($I$49-$I$34)*($K$54-$G$34*$K$55)*$K$56</f>
        <v>-1796.7488963131125</v>
      </c>
      <c r="L23" s="59"/>
      <c r="M23" s="192">
        <f t="shared" si="0"/>
        <v>-3.3948669261476719E-3</v>
      </c>
      <c r="O23" s="462">
        <f>I23/$I$49</f>
        <v>0.27341705140798739</v>
      </c>
    </row>
    <row r="24" spans="1:15" ht="23.1" customHeight="1">
      <c r="A24" s="144">
        <f>MAX(A$14:A23)+1</f>
        <v>9</v>
      </c>
      <c r="C24" s="152" t="s">
        <v>261</v>
      </c>
      <c r="E24" s="144">
        <v>8</v>
      </c>
      <c r="F24" s="58"/>
      <c r="G24" s="59">
        <f>'Exhibit-RMP(RMM-2)'!G165/1000</f>
        <v>167313.40900000001</v>
      </c>
      <c r="H24" s="60"/>
      <c r="I24" s="190">
        <f>'Allocator-2014'!H33/1000</f>
        <v>56650.65884333758</v>
      </c>
      <c r="J24" s="467"/>
      <c r="K24" s="59">
        <f>I24/($I$49-$I$34)*($K$54-$G$34*$K$55)*$K$56</f>
        <v>-632.12318421749205</v>
      </c>
      <c r="L24" s="59"/>
      <c r="M24" s="192">
        <f t="shared" si="0"/>
        <v>-3.7780784456880679E-3</v>
      </c>
      <c r="O24" s="462">
        <f>I24/$I$49</f>
        <v>9.6192215567809478E-2</v>
      </c>
    </row>
    <row r="25" spans="1:15" ht="23.1" customHeight="1">
      <c r="A25" s="144">
        <f>MAX(A$14:A24)+1</f>
        <v>10</v>
      </c>
      <c r="C25" s="144" t="s">
        <v>262</v>
      </c>
      <c r="E25" s="144">
        <v>9</v>
      </c>
      <c r="G25" s="59">
        <f>'Exhibit-RMP(RMM-2)'!G176/1000</f>
        <v>284876.45199999999</v>
      </c>
      <c r="H25" s="60"/>
      <c r="I25" s="190"/>
      <c r="J25" s="467"/>
      <c r="K25" s="59">
        <f>K27*$G25/$G$27</f>
        <v>-1380.877126519171</v>
      </c>
      <c r="L25" s="59"/>
      <c r="M25" s="192">
        <f t="shared" si="0"/>
        <v>-4.8472842062746947E-3</v>
      </c>
      <c r="O25" s="462"/>
    </row>
    <row r="26" spans="1:15">
      <c r="A26" s="144">
        <f>MAX(A$14:A25)+1</f>
        <v>11</v>
      </c>
      <c r="C26" s="144" t="s">
        <v>263</v>
      </c>
      <c r="E26" s="151" t="s">
        <v>264</v>
      </c>
      <c r="G26" s="61">
        <f>'Exhibit-RMP(RMM-2)'!G184/1000</f>
        <v>3292.5839999999998</v>
      </c>
      <c r="H26" s="60"/>
      <c r="I26" s="191"/>
      <c r="J26" s="467"/>
      <c r="K26" s="61">
        <f>K27-K25</f>
        <v>-15.960090421032646</v>
      </c>
      <c r="L26" s="61"/>
      <c r="M26" s="193">
        <f t="shared" si="0"/>
        <v>-4.8472842062746609E-3</v>
      </c>
      <c r="O26" s="462"/>
    </row>
    <row r="27" spans="1:15">
      <c r="A27" s="144">
        <f>MAX(A$14:A26)+1</f>
        <v>12</v>
      </c>
      <c r="C27" s="156" t="s">
        <v>265</v>
      </c>
      <c r="G27" s="59">
        <f>SUM(G25:G26)</f>
        <v>288169.03599999996</v>
      </c>
      <c r="H27" s="60"/>
      <c r="I27" s="190">
        <f>'Allocator-2014'!J33/1000</f>
        <v>125184.06318938315</v>
      </c>
      <c r="J27" s="467"/>
      <c r="K27" s="59">
        <f>I27/($I$49-$I$34)*($K$54-$G$34*$K$55)*$K$56</f>
        <v>-1396.8372169402037</v>
      </c>
      <c r="L27" s="59"/>
      <c r="M27" s="192">
        <f t="shared" si="0"/>
        <v>-4.8472842062746947E-3</v>
      </c>
      <c r="O27" s="462">
        <f>I27/$I$49</f>
        <v>0.21256120648601423</v>
      </c>
    </row>
    <row r="28" spans="1:15" ht="23.1" customHeight="1">
      <c r="A28" s="144">
        <f>MAX(A$14:A27)+1</f>
        <v>13</v>
      </c>
      <c r="C28" s="144" t="s">
        <v>266</v>
      </c>
      <c r="E28" s="151">
        <v>10</v>
      </c>
      <c r="G28" s="59">
        <f>'Exhibit-RMP(RMM-2)'!G200/1000</f>
        <v>13209.986000000001</v>
      </c>
      <c r="H28" s="60"/>
      <c r="I28" s="190"/>
      <c r="J28" s="467"/>
      <c r="K28" s="59">
        <f>K30*$G28/$G$30</f>
        <v>-49.799557997562935</v>
      </c>
      <c r="L28" s="59"/>
      <c r="M28" s="192">
        <f t="shared" si="0"/>
        <v>-3.7698418452194373E-3</v>
      </c>
      <c r="O28" s="462"/>
    </row>
    <row r="29" spans="1:15">
      <c r="A29" s="144">
        <f>MAX(A$14:A28)+1</f>
        <v>14</v>
      </c>
      <c r="C29" s="144" t="s">
        <v>267</v>
      </c>
      <c r="E29" s="151" t="s">
        <v>268</v>
      </c>
      <c r="G29" s="61">
        <f>'Exhibit-RMP(RMM-2)'!G216/1000</f>
        <v>1285.6210000000001</v>
      </c>
      <c r="H29" s="60"/>
      <c r="I29" s="191"/>
      <c r="J29" s="467"/>
      <c r="K29" s="61">
        <f>K30-K28</f>
        <v>-4.846587842892859</v>
      </c>
      <c r="L29" s="61"/>
      <c r="M29" s="193">
        <f t="shared" si="0"/>
        <v>-3.7698418452194377E-3</v>
      </c>
      <c r="O29" s="462"/>
    </row>
    <row r="30" spans="1:15">
      <c r="A30" s="144">
        <f>MAX(A$14:A29)+1</f>
        <v>15</v>
      </c>
      <c r="C30" s="156" t="s">
        <v>269</v>
      </c>
      <c r="G30" s="59">
        <f>SUM(G28:G29)</f>
        <v>14495.607</v>
      </c>
      <c r="H30" s="60"/>
      <c r="I30" s="190">
        <f>'Allocator-2014'!K33/1000</f>
        <v>4897.3684914644637</v>
      </c>
      <c r="J30" s="467"/>
      <c r="K30" s="59">
        <f>I30/($I$49-$I$34)*($K$54-$G$34*$K$55)*$K$56</f>
        <v>-54.646145840455794</v>
      </c>
      <c r="L30" s="59"/>
      <c r="M30" s="192">
        <f t="shared" si="0"/>
        <v>-3.7698418452194373E-3</v>
      </c>
      <c r="O30" s="462">
        <f>I30/$I$49</f>
        <v>8.3156795572087178E-3</v>
      </c>
    </row>
    <row r="31" spans="1:15" ht="23.1" customHeight="1">
      <c r="A31" s="144">
        <f>MAX(A$14:A30)+1</f>
        <v>16</v>
      </c>
      <c r="C31" s="144" t="s">
        <v>270</v>
      </c>
      <c r="E31" s="144">
        <v>21</v>
      </c>
      <c r="G31" s="59">
        <f>'Exhibit-RMP(RMM-2)'!G383/1000</f>
        <v>475.92599999999999</v>
      </c>
      <c r="H31" s="60"/>
      <c r="I31" s="190"/>
      <c r="J31" s="467"/>
      <c r="K31" s="59">
        <f>G31*$M$25</f>
        <v>-2.3069485831554903</v>
      </c>
      <c r="L31" s="59"/>
      <c r="M31" s="192">
        <f t="shared" si="0"/>
        <v>-4.8472842062746947E-3</v>
      </c>
      <c r="O31" s="462"/>
    </row>
    <row r="32" spans="1:15">
      <c r="A32" s="144">
        <f>MAX(A$14:A31)+1</f>
        <v>17</v>
      </c>
      <c r="C32" s="144" t="s">
        <v>271</v>
      </c>
      <c r="E32" s="155">
        <v>23</v>
      </c>
      <c r="G32" s="59">
        <f>'Exhibit-RMP(RMM-2)'!G396/1000</f>
        <v>139102.851</v>
      </c>
      <c r="H32" s="60"/>
      <c r="I32" s="190">
        <f>'Allocator-2014'!N33/1000</f>
        <v>37646.168832798976</v>
      </c>
      <c r="J32" s="467"/>
      <c r="K32" s="59">
        <f>I32/($I$49-$I$34)*($K$54-$G$34*$K$55)*$K$56</f>
        <v>-420.0660080933348</v>
      </c>
      <c r="L32" s="59"/>
      <c r="M32" s="192">
        <f t="shared" si="0"/>
        <v>-3.0198231385878266E-3</v>
      </c>
      <c r="O32" s="462">
        <f>I32/$I$49</f>
        <v>6.3922793866900099E-2</v>
      </c>
    </row>
    <row r="33" spans="1:16">
      <c r="A33" s="144">
        <f>MAX(A$14:A32)+1</f>
        <v>18</v>
      </c>
      <c r="C33" s="144" t="s">
        <v>272</v>
      </c>
      <c r="E33" s="144">
        <v>31</v>
      </c>
      <c r="G33" s="59">
        <f>'Exhibit-RMP(RMM-2)'!G457/1000</f>
        <v>4575.5919999999996</v>
      </c>
      <c r="H33" s="60"/>
      <c r="I33" s="190"/>
      <c r="J33" s="467"/>
      <c r="K33" s="59">
        <f>G33*$M$25</f>
        <v>-22.179194835956842</v>
      </c>
      <c r="L33" s="59"/>
      <c r="M33" s="192">
        <f t="shared" si="0"/>
        <v>-4.8472842062746947E-3</v>
      </c>
      <c r="O33" s="462"/>
    </row>
    <row r="34" spans="1:16">
      <c r="A34" s="144">
        <f>MAX(A$14:A33)+1</f>
        <v>19</v>
      </c>
      <c r="C34" s="152" t="s">
        <v>273</v>
      </c>
      <c r="E34" s="151" t="s">
        <v>252</v>
      </c>
      <c r="G34" s="59">
        <f>'Exhibit-RMP(RMM-2)'!G465/1000</f>
        <v>27958.751</v>
      </c>
      <c r="H34" s="60"/>
      <c r="I34" s="190">
        <f>'Allocator-2014'!O33/1000</f>
        <v>13217.424165390406</v>
      </c>
      <c r="J34" s="467"/>
      <c r="K34" s="59">
        <f>G34*K55</f>
        <v>-94.375973383380057</v>
      </c>
      <c r="L34" s="59"/>
      <c r="M34" s="192">
        <f t="shared" si="0"/>
        <v>-3.3755432559694834E-3</v>
      </c>
      <c r="O34" s="462">
        <f>I34/$I$49</f>
        <v>2.2443045509574568E-2</v>
      </c>
    </row>
    <row r="35" spans="1:16">
      <c r="A35" s="144">
        <f>MAX(A$14:A34)+1</f>
        <v>20</v>
      </c>
      <c r="C35" s="152" t="s">
        <v>274</v>
      </c>
      <c r="E35" s="151" t="s">
        <v>252</v>
      </c>
      <c r="G35" s="59">
        <f>'Exhibit-RMP(RMM-2)'!G470/1000</f>
        <v>35062.89</v>
      </c>
      <c r="H35" s="60"/>
      <c r="I35" s="190">
        <f>'Allocator-2014'!P33/1000</f>
        <v>17353.819534399088</v>
      </c>
      <c r="J35" s="467"/>
      <c r="K35" s="59">
        <f>I35/($I$49-$I$34)*($K$54-$G$34*$K$55)*$K$56</f>
        <v>-193.63855401498421</v>
      </c>
      <c r="L35" s="59"/>
      <c r="M35" s="192">
        <f t="shared" si="0"/>
        <v>-5.5226067792753025E-3</v>
      </c>
      <c r="O35" s="462">
        <f>I35/$I$49</f>
        <v>2.9466600806781245E-2</v>
      </c>
    </row>
    <row r="36" spans="1:16">
      <c r="A36" s="144">
        <f>MAX(A$14:A35)+1</f>
        <v>21</v>
      </c>
      <c r="C36" s="152" t="s">
        <v>275</v>
      </c>
      <c r="E36" s="151" t="s">
        <v>252</v>
      </c>
      <c r="G36" s="59">
        <f>'Exhibit-RMP(RMM-2)'!G492/1000</f>
        <v>30035.48</v>
      </c>
      <c r="H36" s="60"/>
      <c r="I36" s="190"/>
      <c r="J36" s="467"/>
      <c r="K36" s="59">
        <v>0</v>
      </c>
      <c r="L36" s="59"/>
      <c r="M36" s="192">
        <f t="shared" si="0"/>
        <v>0</v>
      </c>
      <c r="O36" s="462"/>
    </row>
    <row r="37" spans="1:16">
      <c r="A37" s="144">
        <f>MAX(A$14:A36)+1</f>
        <v>22</v>
      </c>
      <c r="C37" s="152" t="s">
        <v>251</v>
      </c>
      <c r="E37" s="153" t="s">
        <v>252</v>
      </c>
      <c r="G37" s="61">
        <f>('Exhibit-RMP(RMM-2)'!G505+'Exhibit-RMP(RMM-2)'!G506+'Exhibit-RMP(RMM-2)'!G507+'Exhibit-RMP(RMM-2)'!G509)/1000</f>
        <v>2927.6937100000005</v>
      </c>
      <c r="H37" s="60"/>
      <c r="I37" s="191"/>
      <c r="J37" s="467"/>
      <c r="K37" s="61"/>
      <c r="L37" s="61"/>
      <c r="M37" s="193"/>
      <c r="O37" s="462"/>
    </row>
    <row r="38" spans="1:16">
      <c r="A38" s="144">
        <f>MAX(A$14:A37)+1</f>
        <v>23</v>
      </c>
      <c r="C38" s="87" t="s">
        <v>276</v>
      </c>
      <c r="G38" s="59">
        <f>SUM(G20:G22,G24:G26,G28:G29,G31:G37)</f>
        <v>1239371.8237099999</v>
      </c>
      <c r="H38" s="60"/>
      <c r="I38" s="59">
        <f>SUM(I20:I37)</f>
        <v>415973.51118294301</v>
      </c>
      <c r="J38" s="467"/>
      <c r="K38" s="59">
        <f>SUM(K20:K22,K24:K26,K28:K29,K31:K37)</f>
        <v>-4612.9221222220758</v>
      </c>
      <c r="L38" s="59"/>
      <c r="M38" s="192">
        <f>K38/$G38</f>
        <v>-3.7219840196249707E-3</v>
      </c>
      <c r="O38" s="462">
        <f>I38/$I$49</f>
        <v>0.70631859320227575</v>
      </c>
    </row>
    <row r="39" spans="1:16" ht="28.5" customHeight="1">
      <c r="C39" s="87" t="s">
        <v>277</v>
      </c>
      <c r="G39" s="59"/>
      <c r="H39" s="60"/>
      <c r="I39" s="190"/>
      <c r="J39" s="467"/>
      <c r="K39" s="59"/>
      <c r="L39" s="59"/>
      <c r="M39" s="192"/>
      <c r="O39" s="462">
        <f>SUM(I40:I42)/$I$49</f>
        <v>3.4880389816249408E-3</v>
      </c>
    </row>
    <row r="40" spans="1:16">
      <c r="A40" s="144">
        <f>MAX(A$14:A39)+1</f>
        <v>24</v>
      </c>
      <c r="C40" s="144" t="s">
        <v>278</v>
      </c>
      <c r="E40" s="144">
        <v>7</v>
      </c>
      <c r="G40" s="59">
        <f>'Exhibit-RMP(RMM-2)'!G153/1000</f>
        <v>2999.06</v>
      </c>
      <c r="H40" s="60"/>
      <c r="I40" s="190">
        <f>G40/SUM($G$40:$G$42)*'Allocator-2014'!$I$33/1000</f>
        <v>508.1712140829631</v>
      </c>
      <c r="J40" s="467"/>
      <c r="K40" s="59">
        <f t="shared" ref="K40:K44" si="1">I40/($I$49-$I$34)*($K$54-$G$34*$K$55)*$K$56</f>
        <v>-5.6703101522987751</v>
      </c>
      <c r="L40" s="59"/>
      <c r="M40" s="192">
        <f t="shared" ref="M40:M45" si="2">K40/$G40</f>
        <v>-1.8906958021175887E-3</v>
      </c>
      <c r="O40" s="462">
        <f t="shared" ref="O40:O45" si="3">I40/$I$49</f>
        <v>8.6286931111609919E-4</v>
      </c>
      <c r="P40" s="59"/>
    </row>
    <row r="41" spans="1:16">
      <c r="A41" s="144">
        <f>MAX(A$14:A40)+1</f>
        <v>25</v>
      </c>
      <c r="C41" s="144" t="s">
        <v>279</v>
      </c>
      <c r="E41" s="144">
        <v>11</v>
      </c>
      <c r="G41" s="59">
        <f>'Exhibit-RMP(RMM-2)'!G268/1000</f>
        <v>4979.3900000000003</v>
      </c>
      <c r="H41" s="60"/>
      <c r="I41" s="190">
        <f>G41/SUM($G$40:$G$42)*'Allocator-2014'!$I$33/1000</f>
        <v>843.72525447725832</v>
      </c>
      <c r="J41" s="467"/>
      <c r="K41" s="59">
        <f t="shared" si="1"/>
        <v>-9.4145117701063015</v>
      </c>
      <c r="L41" s="59"/>
      <c r="M41" s="192">
        <f t="shared" si="2"/>
        <v>-1.8906958021175889E-3</v>
      </c>
      <c r="O41" s="462">
        <f t="shared" si="3"/>
        <v>1.4326364991291919E-3</v>
      </c>
    </row>
    <row r="42" spans="1:16">
      <c r="A42" s="144">
        <f>MAX(A$14:A41)+1</f>
        <v>26</v>
      </c>
      <c r="C42" s="144" t="s">
        <v>280</v>
      </c>
      <c r="E42" s="144">
        <v>12</v>
      </c>
      <c r="G42" s="59">
        <f>'Exhibit-RMP(RMM-2)'!G351/1000</f>
        <v>4144.8670000000002</v>
      </c>
      <c r="H42" s="60"/>
      <c r="I42" s="190">
        <f>G42/SUM($G$40:$G$42)*'Allocator-2014'!$I$33/1000</f>
        <v>702.32075903863517</v>
      </c>
      <c r="J42" s="467"/>
      <c r="K42" s="59">
        <f t="shared" si="1"/>
        <v>-7.8366826372357226</v>
      </c>
      <c r="L42" s="59"/>
      <c r="M42" s="192">
        <f t="shared" si="2"/>
        <v>-1.8906958021175885E-3</v>
      </c>
      <c r="O42" s="462">
        <f t="shared" si="3"/>
        <v>1.1925331713796498E-3</v>
      </c>
    </row>
    <row r="43" spans="1:16">
      <c r="A43" s="157">
        <f>MAX(A$14:A42)+1</f>
        <v>27</v>
      </c>
      <c r="B43" s="157"/>
      <c r="C43" s="157" t="s">
        <v>281</v>
      </c>
      <c r="D43" s="158"/>
      <c r="E43" s="157">
        <v>15</v>
      </c>
      <c r="F43" s="158"/>
      <c r="G43" s="62">
        <f>'Exhibit-RMP(RMM-2)'!G360/1000</f>
        <v>1234.6020000000001</v>
      </c>
      <c r="H43" s="63"/>
      <c r="I43" s="190">
        <f>'Allocator-2014'!M33/1000</f>
        <v>424.60365694151704</v>
      </c>
      <c r="J43" s="467"/>
      <c r="K43" s="62">
        <f t="shared" si="1"/>
        <v>-4.7378410266772892</v>
      </c>
      <c r="L43" s="62"/>
      <c r="M43" s="194">
        <f t="shared" si="2"/>
        <v>-3.8375452386091137E-3</v>
      </c>
      <c r="O43" s="462">
        <f t="shared" si="3"/>
        <v>7.2097248881690726E-4</v>
      </c>
    </row>
    <row r="44" spans="1:16">
      <c r="A44" s="144">
        <f>MAX(A$14:A43)+1</f>
        <v>28</v>
      </c>
      <c r="C44" s="144" t="s">
        <v>282</v>
      </c>
      <c r="E44" s="144">
        <v>15</v>
      </c>
      <c r="G44" s="61">
        <f>'Exhibit-RMP(RMM-2)'!G366/1000</f>
        <v>682.02800000000002</v>
      </c>
      <c r="H44" s="60"/>
      <c r="I44" s="191">
        <f>'Allocator-2014'!L33/1000</f>
        <v>158.79585700516043</v>
      </c>
      <c r="J44" s="467"/>
      <c r="K44" s="61">
        <f t="shared" si="1"/>
        <v>-1.7718865909085997</v>
      </c>
      <c r="L44" s="61"/>
      <c r="M44" s="193">
        <f t="shared" si="2"/>
        <v>-2.5979675187948288E-3</v>
      </c>
      <c r="O44" s="462">
        <f t="shared" si="3"/>
        <v>2.696336745271914E-4</v>
      </c>
    </row>
    <row r="45" spans="1:16">
      <c r="A45" s="144">
        <f>MAX(A$14:A44)+1</f>
        <v>29</v>
      </c>
      <c r="C45" s="156" t="s">
        <v>283</v>
      </c>
      <c r="D45" s="64"/>
      <c r="F45" s="64"/>
      <c r="G45" s="59">
        <f>SUM(G40:G44)</f>
        <v>14039.947000000002</v>
      </c>
      <c r="H45" s="59"/>
      <c r="I45" s="190">
        <f>SUM(I40:I44)</f>
        <v>2637.6167415455338</v>
      </c>
      <c r="J45" s="467"/>
      <c r="K45" s="59">
        <f>SUM(K40:K44)</f>
        <v>-29.43123217722669</v>
      </c>
      <c r="L45" s="59"/>
      <c r="M45" s="192">
        <f t="shared" si="2"/>
        <v>-2.0962495212572159E-3</v>
      </c>
      <c r="O45" s="462">
        <f t="shared" si="3"/>
        <v>4.4786451449690392E-3</v>
      </c>
    </row>
    <row r="46" spans="1:16" ht="23.1" customHeight="1">
      <c r="A46" s="144">
        <f>MAX(A$14:A45)+1</f>
        <v>30</v>
      </c>
      <c r="C46" s="152" t="s">
        <v>284</v>
      </c>
      <c r="E46" s="151" t="s">
        <v>252</v>
      </c>
      <c r="G46" s="59">
        <f>'Exhibit-RMP(RMM-2)'!G501/1000</f>
        <v>0.58299999999999996</v>
      </c>
      <c r="H46" s="60"/>
      <c r="I46" s="190">
        <v>0</v>
      </c>
      <c r="J46" s="467"/>
      <c r="K46" s="59"/>
      <c r="L46" s="59"/>
      <c r="M46" s="192"/>
      <c r="O46" s="462"/>
    </row>
    <row r="47" spans="1:16">
      <c r="A47" s="144">
        <f>MAX(A$14:A46)+1</f>
        <v>31</v>
      </c>
      <c r="C47" s="152" t="s">
        <v>251</v>
      </c>
      <c r="D47" s="65"/>
      <c r="E47" s="153" t="s">
        <v>252</v>
      </c>
      <c r="F47" s="65"/>
      <c r="G47" s="61">
        <f>'Exhibit-RMP(RMM-2)'!G508/1000</f>
        <v>4.6616400000000002</v>
      </c>
      <c r="H47" s="60"/>
      <c r="I47" s="191">
        <v>0</v>
      </c>
      <c r="J47" s="467"/>
      <c r="K47" s="61"/>
      <c r="L47" s="61"/>
      <c r="M47" s="193"/>
      <c r="O47" s="462"/>
    </row>
    <row r="48" spans="1:16">
      <c r="A48" s="144">
        <f>MAX(A$14:A47)+1</f>
        <v>32</v>
      </c>
      <c r="C48" s="87" t="s">
        <v>285</v>
      </c>
      <c r="E48" s="157"/>
      <c r="G48" s="61">
        <f>SUM(G45:G47)</f>
        <v>14045.191640000003</v>
      </c>
      <c r="H48" s="60"/>
      <c r="I48" s="61">
        <f>SUM(I45:I47)</f>
        <v>2637.6167415455338</v>
      </c>
      <c r="J48" s="467"/>
      <c r="K48" s="61">
        <f>SUM(K45:K47)</f>
        <v>-29.43123217722669</v>
      </c>
      <c r="L48" s="61"/>
      <c r="M48" s="193">
        <f>K48/$G48</f>
        <v>-2.0954667569937609E-3</v>
      </c>
      <c r="O48" s="462">
        <f>I48/$I$49</f>
        <v>4.4786451449690392E-3</v>
      </c>
    </row>
    <row r="49" spans="1:15" ht="27.75" customHeight="1" thickBot="1">
      <c r="A49" s="144">
        <f>MAX(A$14:A48)+1</f>
        <v>33</v>
      </c>
      <c r="C49" s="87" t="s">
        <v>286</v>
      </c>
      <c r="E49" s="157"/>
      <c r="G49" s="66">
        <f>G18+G38+G48</f>
        <v>1938306.48862</v>
      </c>
      <c r="H49" s="60"/>
      <c r="I49" s="181">
        <f>I18+I38+I48</f>
        <v>588931.84348584234</v>
      </c>
      <c r="J49" s="468"/>
      <c r="K49" s="181">
        <f>K18+K38+K48</f>
        <v>-6542.8373956631322</v>
      </c>
      <c r="L49" s="181"/>
      <c r="M49" s="195">
        <f>K49/$G49</f>
        <v>-3.3755432559694838E-3</v>
      </c>
      <c r="O49" s="462">
        <f>I49/$I$49</f>
        <v>1</v>
      </c>
    </row>
    <row r="50" spans="1:15" ht="9.75" customHeight="1" thickTop="1">
      <c r="C50" s="87"/>
      <c r="E50" s="157"/>
      <c r="G50" s="62"/>
      <c r="H50" s="60"/>
      <c r="I50" s="370"/>
      <c r="J50" s="183"/>
      <c r="K50" s="370"/>
      <c r="L50" s="370"/>
      <c r="M50" s="194"/>
    </row>
    <row r="51" spans="1:15">
      <c r="A51" s="460" t="s">
        <v>455</v>
      </c>
      <c r="B51" s="460"/>
      <c r="C51" s="460"/>
    </row>
    <row r="52" spans="1:15" ht="16.5">
      <c r="C52" s="461" t="s">
        <v>459</v>
      </c>
      <c r="H52" s="210"/>
      <c r="I52" s="463" t="s">
        <v>500</v>
      </c>
      <c r="J52" s="475"/>
      <c r="K52" s="465">
        <f>'(Exh.1) Comm Ord Methd'!S66/1000</f>
        <v>-6542.8373956631312</v>
      </c>
    </row>
    <row r="53" spans="1:15" ht="16.5">
      <c r="C53" s="461" t="s">
        <v>515</v>
      </c>
      <c r="H53" s="210"/>
      <c r="I53" s="463" t="s">
        <v>501</v>
      </c>
      <c r="J53" s="475"/>
      <c r="K53" s="465">
        <v>0</v>
      </c>
    </row>
    <row r="54" spans="1:15">
      <c r="H54" s="210"/>
      <c r="I54" s="463" t="s">
        <v>454</v>
      </c>
      <c r="J54" s="466"/>
      <c r="K54" s="451">
        <f>SUM(K52:K53)</f>
        <v>-6542.8373956631312</v>
      </c>
    </row>
    <row r="55" spans="1:15" s="146" customFormat="1">
      <c r="A55" s="144"/>
      <c r="B55" s="144"/>
      <c r="C55" s="144"/>
      <c r="E55" s="144"/>
      <c r="I55" s="463" t="s">
        <v>460</v>
      </c>
      <c r="J55" s="454"/>
      <c r="K55" s="480">
        <f>K54/G49</f>
        <v>-3.3755432559694834E-3</v>
      </c>
    </row>
    <row r="56" spans="1:15">
      <c r="E56" s="474"/>
      <c r="F56" s="210"/>
      <c r="G56" s="210"/>
      <c r="H56" s="210"/>
      <c r="I56" s="463" t="s">
        <v>26</v>
      </c>
      <c r="J56" s="180"/>
      <c r="K56" s="452">
        <v>0.99620279291204084</v>
      </c>
      <c r="L56" s="454"/>
      <c r="M56" s="573">
        <f>K49-K54</f>
        <v>0</v>
      </c>
    </row>
    <row r="57" spans="1:15">
      <c r="E57" s="474"/>
      <c r="F57" s="210"/>
      <c r="L57" s="451"/>
    </row>
    <row r="58" spans="1:15">
      <c r="E58" s="474"/>
      <c r="F58" s="210"/>
      <c r="L58" s="455"/>
    </row>
    <row r="59" spans="1:15">
      <c r="E59" s="474"/>
      <c r="F59" s="210"/>
      <c r="L59" s="456"/>
    </row>
    <row r="60" spans="1:15">
      <c r="E60" s="474"/>
      <c r="F60" s="210"/>
      <c r="G60" s="463"/>
      <c r="H60" s="210"/>
      <c r="I60" s="452"/>
      <c r="J60" s="464"/>
      <c r="K60" s="476"/>
    </row>
    <row r="61" spans="1:15">
      <c r="E61" s="474"/>
      <c r="F61" s="210"/>
      <c r="G61" s="463"/>
      <c r="H61" s="210"/>
      <c r="I61" s="477"/>
      <c r="J61" s="454"/>
      <c r="K61" s="456"/>
    </row>
    <row r="62" spans="1:15">
      <c r="E62" s="157"/>
      <c r="F62" s="158"/>
      <c r="G62" s="158"/>
      <c r="H62" s="158"/>
      <c r="I62" s="478"/>
      <c r="J62" s="180"/>
      <c r="K62" s="158"/>
    </row>
    <row r="63" spans="1:15">
      <c r="E63" s="157"/>
      <c r="F63" s="158"/>
      <c r="G63" s="158"/>
      <c r="H63" s="158"/>
      <c r="I63" s="478"/>
      <c r="J63" s="401"/>
      <c r="K63" s="451"/>
    </row>
    <row r="64" spans="1:15">
      <c r="E64" s="157"/>
      <c r="F64" s="158"/>
      <c r="G64" s="158"/>
      <c r="H64" s="158"/>
      <c r="I64" s="478"/>
      <c r="J64" s="402"/>
      <c r="K64" s="451"/>
    </row>
  </sheetData>
  <printOptions horizontalCentered="1"/>
  <pageMargins left="0.25" right="0.25" top="1" bottom="0.5" header="0.25" footer="0.25"/>
  <pageSetup scale="55" orientation="landscape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X514"/>
  <sheetViews>
    <sheetView view="pageBreakPreview" topLeftCell="A8" zoomScale="80" zoomScaleNormal="70" zoomScaleSheetLayoutView="80" workbookViewId="0">
      <pane xSplit="1" ySplit="3" topLeftCell="D476" activePane="bottomRight" state="frozen"/>
      <selection activeCell="A8" sqref="A8"/>
      <selection pane="topRight" activeCell="B8" sqref="B8"/>
      <selection pane="bottomLeft" activeCell="A11" sqref="A11"/>
      <selection pane="bottomRight" activeCell="S28" sqref="S28"/>
    </sheetView>
  </sheetViews>
  <sheetFormatPr defaultColWidth="9" defaultRowHeight="15.75"/>
  <cols>
    <col min="1" max="1" width="33.25" style="168" customWidth="1"/>
    <col min="2" max="2" width="4.125" style="168" bestFit="1" customWidth="1"/>
    <col min="3" max="3" width="18.5" style="168" bestFit="1" customWidth="1"/>
    <col min="4" max="4" width="1" style="167" customWidth="1"/>
    <col min="5" max="5" width="11" style="168" bestFit="1" customWidth="1"/>
    <col min="6" max="6" width="2.25" style="167" customWidth="1"/>
    <col min="7" max="7" width="14" style="168" bestFit="1" customWidth="1"/>
    <col min="8" max="8" width="1" style="5" customWidth="1"/>
    <col min="9" max="9" width="8.125" style="91" customWidth="1"/>
    <col min="10" max="10" width="2.125" style="5" customWidth="1"/>
    <col min="11" max="11" width="11.625" style="92" bestFit="1" customWidth="1"/>
    <col min="12" max="12" width="1" style="5" customWidth="1"/>
    <col min="13" max="13" width="8.125" style="91" customWidth="1"/>
    <col min="14" max="14" width="2.125" style="5" customWidth="1"/>
    <col min="15" max="15" width="11.625" style="92" bestFit="1" customWidth="1"/>
    <col min="16" max="16" width="2.25" style="159" customWidth="1"/>
    <col min="17" max="17" width="19.75" style="159" bestFit="1" customWidth="1"/>
    <col min="18" max="18" width="13.625" style="159" bestFit="1" customWidth="1"/>
    <col min="19" max="20" width="10.5" style="159" bestFit="1" customWidth="1"/>
    <col min="21" max="21" width="12.375" style="159" bestFit="1" customWidth="1"/>
    <col min="22" max="16384" width="9" style="159"/>
  </cols>
  <sheetData>
    <row r="1" spans="1:20" ht="18.75">
      <c r="A1" s="378" t="s">
        <v>430</v>
      </c>
      <c r="B1" s="371"/>
      <c r="C1" s="165"/>
      <c r="D1" s="166"/>
      <c r="E1" s="165"/>
      <c r="F1" s="166"/>
      <c r="G1" s="196"/>
      <c r="H1" s="1"/>
      <c r="I1" s="89"/>
      <c r="J1" s="1"/>
      <c r="K1" s="90"/>
      <c r="L1" s="1"/>
      <c r="M1" s="89"/>
      <c r="N1" s="1"/>
      <c r="O1" s="90"/>
    </row>
    <row r="2" spans="1:20" ht="18.75">
      <c r="A2" s="378" t="s">
        <v>0</v>
      </c>
      <c r="B2" s="371"/>
      <c r="C2" s="165"/>
      <c r="D2" s="166"/>
      <c r="E2" s="165"/>
      <c r="F2" s="166"/>
      <c r="G2" s="196"/>
      <c r="H2" s="1"/>
      <c r="I2" s="89"/>
      <c r="J2" s="1"/>
      <c r="K2" s="90"/>
      <c r="L2" s="1"/>
      <c r="M2" s="89"/>
      <c r="N2" s="1"/>
      <c r="O2" s="90"/>
    </row>
    <row r="3" spans="1:20" ht="18.75">
      <c r="A3" s="378" t="s">
        <v>427</v>
      </c>
      <c r="B3" s="371"/>
      <c r="C3" s="165"/>
      <c r="D3" s="166"/>
      <c r="E3" s="165"/>
      <c r="F3" s="166"/>
      <c r="G3" s="196"/>
      <c r="H3" s="1"/>
      <c r="I3" s="89"/>
      <c r="J3" s="1"/>
      <c r="K3" s="90"/>
      <c r="L3" s="1"/>
      <c r="M3" s="89"/>
      <c r="N3" s="1"/>
      <c r="O3" s="90"/>
    </row>
    <row r="4" spans="1:20" ht="18.75">
      <c r="A4" s="378" t="s">
        <v>428</v>
      </c>
      <c r="B4" s="371"/>
      <c r="C4" s="165"/>
      <c r="D4" s="166"/>
      <c r="E4" s="165"/>
      <c r="F4" s="166"/>
      <c r="G4" s="196"/>
      <c r="H4" s="1"/>
      <c r="I4" s="89"/>
      <c r="J4" s="1"/>
      <c r="K4" s="90"/>
      <c r="L4" s="1"/>
      <c r="M4" s="89"/>
      <c r="N4" s="1"/>
      <c r="O4" s="90"/>
    </row>
    <row r="5" spans="1:20" ht="18.75">
      <c r="A5" s="378" t="s">
        <v>429</v>
      </c>
      <c r="B5" s="371"/>
      <c r="C5" s="165"/>
      <c r="D5" s="166"/>
      <c r="E5" s="165"/>
      <c r="F5" s="166"/>
      <c r="G5" s="196"/>
      <c r="H5" s="1"/>
      <c r="I5" s="89"/>
      <c r="J5" s="1"/>
      <c r="K5" s="90"/>
      <c r="L5" s="1"/>
      <c r="M5" s="89"/>
      <c r="N5" s="1"/>
      <c r="O5" s="90"/>
    </row>
    <row r="6" spans="1:20">
      <c r="A6" s="160"/>
      <c r="B6" s="372"/>
      <c r="C6" s="4"/>
    </row>
    <row r="7" spans="1:20" ht="32.25" customHeight="1">
      <c r="A7" s="160"/>
      <c r="B7" s="372"/>
      <c r="C7" s="6"/>
      <c r="F7" s="197"/>
      <c r="G7" s="170"/>
      <c r="J7" s="93"/>
      <c r="K7" s="94"/>
      <c r="N7" s="93"/>
      <c r="O7" s="94"/>
    </row>
    <row r="8" spans="1:20">
      <c r="A8" s="160"/>
      <c r="B8" s="372"/>
      <c r="C8" s="7"/>
      <c r="E8" s="375" t="s">
        <v>431</v>
      </c>
      <c r="F8" s="375"/>
      <c r="G8" s="169"/>
      <c r="I8" s="96" t="s">
        <v>293</v>
      </c>
      <c r="J8" s="95"/>
      <c r="K8" s="97"/>
      <c r="M8" s="96" t="s">
        <v>291</v>
      </c>
      <c r="N8" s="95"/>
      <c r="O8" s="97"/>
    </row>
    <row r="9" spans="1:20">
      <c r="A9" s="160"/>
      <c r="B9" s="372"/>
      <c r="C9" s="9" t="s">
        <v>1</v>
      </c>
      <c r="E9" s="170" t="s">
        <v>311</v>
      </c>
      <c r="F9" s="197"/>
      <c r="G9" s="170" t="s">
        <v>2</v>
      </c>
      <c r="I9" s="98"/>
      <c r="J9" s="93"/>
      <c r="K9" s="170" t="s">
        <v>2</v>
      </c>
      <c r="M9" s="98"/>
      <c r="N9" s="93"/>
      <c r="O9" s="170" t="s">
        <v>2</v>
      </c>
    </row>
    <row r="10" spans="1:20">
      <c r="A10" s="160"/>
      <c r="B10" s="372"/>
      <c r="C10" s="10" t="s">
        <v>3</v>
      </c>
      <c r="E10" s="379" t="s">
        <v>4</v>
      </c>
      <c r="F10" s="197"/>
      <c r="G10" s="171" t="s">
        <v>5</v>
      </c>
      <c r="I10" s="99" t="s">
        <v>4</v>
      </c>
      <c r="J10" s="93"/>
      <c r="K10" s="171" t="s">
        <v>5</v>
      </c>
      <c r="M10" s="99" t="s">
        <v>4</v>
      </c>
      <c r="N10" s="93"/>
      <c r="O10" s="171" t="s">
        <v>5</v>
      </c>
    </row>
    <row r="11" spans="1:20">
      <c r="A11" s="376" t="s">
        <v>6</v>
      </c>
      <c r="B11" s="372"/>
      <c r="C11" s="380"/>
      <c r="K11" s="168"/>
      <c r="O11" s="168"/>
    </row>
    <row r="12" spans="1:20">
      <c r="A12" s="377" t="s">
        <v>296</v>
      </c>
      <c r="B12" s="372"/>
      <c r="C12" s="13">
        <v>8511800.0101599023</v>
      </c>
      <c r="E12" s="14"/>
      <c r="F12" s="100"/>
      <c r="G12" s="15"/>
      <c r="I12" s="31"/>
      <c r="J12" s="100"/>
      <c r="K12" s="15"/>
      <c r="M12" s="31"/>
      <c r="N12" s="100"/>
      <c r="O12" s="15"/>
      <c r="Q12" s="140" t="s">
        <v>288</v>
      </c>
      <c r="R12" s="141">
        <v>4</v>
      </c>
      <c r="S12" s="12"/>
      <c r="T12" s="12"/>
    </row>
    <row r="13" spans="1:20">
      <c r="A13" s="377" t="s">
        <v>8</v>
      </c>
      <c r="B13" s="372"/>
      <c r="C13" s="16">
        <v>8398777</v>
      </c>
      <c r="E13" s="14">
        <v>6</v>
      </c>
      <c r="F13" s="100"/>
      <c r="G13" s="15">
        <f t="shared" ref="G13:G14" si="0">ROUND(E13*$C13,0)</f>
        <v>50392662</v>
      </c>
      <c r="I13" s="31"/>
      <c r="J13" s="100"/>
      <c r="K13" s="15"/>
      <c r="M13" s="31"/>
      <c r="N13" s="100"/>
      <c r="O13" s="15"/>
      <c r="Q13" s="8"/>
      <c r="R13" s="2"/>
      <c r="S13" s="12" t="s">
        <v>292</v>
      </c>
      <c r="T13" s="12" t="s">
        <v>292</v>
      </c>
    </row>
    <row r="14" spans="1:20">
      <c r="A14" s="377" t="s">
        <v>9</v>
      </c>
      <c r="B14" s="372"/>
      <c r="C14" s="16">
        <v>14094</v>
      </c>
      <c r="E14" s="14">
        <v>12</v>
      </c>
      <c r="F14" s="100"/>
      <c r="G14" s="15">
        <f t="shared" si="0"/>
        <v>169128</v>
      </c>
      <c r="I14" s="31"/>
      <c r="J14" s="100"/>
      <c r="K14" s="15"/>
      <c r="M14" s="31"/>
      <c r="N14" s="100"/>
      <c r="O14" s="15"/>
      <c r="S14" s="139"/>
      <c r="T14" s="139"/>
    </row>
    <row r="15" spans="1:20">
      <c r="A15" s="377" t="s">
        <v>434</v>
      </c>
      <c r="B15" s="372"/>
      <c r="C15" s="16">
        <v>23932</v>
      </c>
      <c r="E15" s="14"/>
      <c r="F15" s="100"/>
      <c r="G15" s="15"/>
      <c r="I15" s="31"/>
      <c r="J15" s="100"/>
      <c r="K15" s="15"/>
      <c r="M15" s="31"/>
      <c r="N15" s="100"/>
      <c r="O15" s="15"/>
      <c r="Q15" s="69" t="s">
        <v>12</v>
      </c>
      <c r="R15" s="77"/>
      <c r="S15" s="139"/>
      <c r="T15" s="139"/>
    </row>
    <row r="16" spans="1:20">
      <c r="A16" s="377" t="s">
        <v>10</v>
      </c>
      <c r="B16" s="372"/>
      <c r="C16" s="13">
        <v>1274636742</v>
      </c>
      <c r="E16" s="101">
        <v>8.8498000000000001</v>
      </c>
      <c r="F16" s="102" t="s">
        <v>11</v>
      </c>
      <c r="G16" s="15">
        <f>ROUND(E16*$C16/100,0)</f>
        <v>112802802</v>
      </c>
      <c r="I16" s="103">
        <v>6.4000000000000003E-3</v>
      </c>
      <c r="J16" s="102"/>
      <c r="K16" s="15">
        <f>$G16*I16</f>
        <v>721937.93280000007</v>
      </c>
      <c r="M16" s="103">
        <f>$R$20</f>
        <v>-3.0000000000000001E-3</v>
      </c>
      <c r="N16" s="102"/>
      <c r="O16" s="15">
        <f>$G16*M16</f>
        <v>-338408.40600000002</v>
      </c>
      <c r="Q16" s="71" t="s">
        <v>14</v>
      </c>
      <c r="R16" s="18">
        <f>O29+O49+O71</f>
        <v>-1893741.0359999998</v>
      </c>
      <c r="S16" s="138">
        <f>G16*I16-K16</f>
        <v>0</v>
      </c>
      <c r="T16" s="139">
        <f>G16*M16-O16</f>
        <v>0</v>
      </c>
    </row>
    <row r="17" spans="1:20">
      <c r="A17" s="377" t="s">
        <v>13</v>
      </c>
      <c r="B17" s="372"/>
      <c r="C17" s="13">
        <v>1040456011</v>
      </c>
      <c r="E17" s="101">
        <v>11.542899999999999</v>
      </c>
      <c r="F17" s="102" t="s">
        <v>11</v>
      </c>
      <c r="G17" s="15">
        <f>ROUND(E17*$C17/100,0)</f>
        <v>120098797</v>
      </c>
      <c r="I17" s="103">
        <v>6.4000000000000003E-3</v>
      </c>
      <c r="J17" s="102"/>
      <c r="K17" s="15">
        <f t="shared" ref="K17:K18" si="1">$G17*I17</f>
        <v>768632.30080000008</v>
      </c>
      <c r="M17" s="103">
        <f t="shared" ref="M17:M18" si="2">$R$20</f>
        <v>-3.0000000000000001E-3</v>
      </c>
      <c r="N17" s="102"/>
      <c r="O17" s="15">
        <f t="shared" ref="O17:O18" si="3">$G17*M17</f>
        <v>-360296.391</v>
      </c>
      <c r="Q17" s="71" t="s">
        <v>16</v>
      </c>
      <c r="R17" s="18">
        <f>'Exhibit-RMP(RMM-1) page 2'!K18*1000</f>
        <v>-1900484.0412638295</v>
      </c>
      <c r="S17" s="138">
        <f t="shared" ref="S17:S20" si="4">G17*I17-K17</f>
        <v>0</v>
      </c>
      <c r="T17" s="139">
        <f t="shared" ref="T17:T20" si="5">G17*M17-O17</f>
        <v>0</v>
      </c>
    </row>
    <row r="18" spans="1:20">
      <c r="A18" s="377" t="s">
        <v>15</v>
      </c>
      <c r="B18" s="372"/>
      <c r="C18" s="13">
        <v>358873906</v>
      </c>
      <c r="E18" s="101">
        <v>14.450799999999999</v>
      </c>
      <c r="F18" s="102" t="s">
        <v>11</v>
      </c>
      <c r="G18" s="15">
        <f>ROUND(E18*$C18/100,0)</f>
        <v>51860150</v>
      </c>
      <c r="I18" s="103">
        <v>6.4000000000000003E-3</v>
      </c>
      <c r="J18" s="102"/>
      <c r="K18" s="15">
        <f t="shared" si="1"/>
        <v>331904.96000000002</v>
      </c>
      <c r="M18" s="103">
        <f t="shared" si="2"/>
        <v>-3.0000000000000001E-3</v>
      </c>
      <c r="N18" s="102"/>
      <c r="O18" s="15">
        <f t="shared" si="3"/>
        <v>-155580.45000000001</v>
      </c>
      <c r="Q18" s="72" t="s">
        <v>18</v>
      </c>
      <c r="R18" s="19">
        <f>R17-R16</f>
        <v>-6743.0052638296038</v>
      </c>
      <c r="S18" s="138">
        <f t="shared" si="4"/>
        <v>0</v>
      </c>
      <c r="T18" s="139">
        <f t="shared" si="5"/>
        <v>0</v>
      </c>
    </row>
    <row r="19" spans="1:20">
      <c r="A19" s="377" t="s">
        <v>17</v>
      </c>
      <c r="B19" s="372"/>
      <c r="C19" s="13"/>
      <c r="E19" s="104"/>
      <c r="F19" s="102"/>
      <c r="G19" s="15"/>
      <c r="J19" s="102"/>
      <c r="K19" s="15"/>
      <c r="N19" s="102"/>
      <c r="O19" s="15"/>
      <c r="Q19" s="73"/>
      <c r="R19" s="74"/>
      <c r="S19" s="138"/>
      <c r="T19" s="139"/>
    </row>
    <row r="20" spans="1:20">
      <c r="A20" s="381" t="s">
        <v>297</v>
      </c>
      <c r="B20" s="382"/>
      <c r="C20" s="13">
        <v>1613094234</v>
      </c>
      <c r="D20" s="172"/>
      <c r="E20" s="104">
        <v>8.8498000000000001</v>
      </c>
      <c r="F20" s="102" t="s">
        <v>11</v>
      </c>
      <c r="G20" s="199">
        <f t="shared" ref="G20:G21" si="6">ROUND(E20*$C20/100,0)</f>
        <v>142755614</v>
      </c>
      <c r="I20" s="103">
        <v>6.4000000000000003E-3</v>
      </c>
      <c r="J20" s="102"/>
      <c r="K20" s="199">
        <f t="shared" ref="K20:K21" si="7">$G20*I20</f>
        <v>913635.92960000003</v>
      </c>
      <c r="M20" s="103">
        <f t="shared" ref="M20:M21" si="8">$R$20</f>
        <v>-3.0000000000000001E-3</v>
      </c>
      <c r="N20" s="102"/>
      <c r="O20" s="199">
        <f t="shared" ref="O20:O21" si="9">$G20*M20</f>
        <v>-428266.842</v>
      </c>
      <c r="Q20" s="75" t="s">
        <v>21</v>
      </c>
      <c r="R20" s="76">
        <f>ROUND(R17/SUM(G16:G21,G36:G41,G58:G63),$R$12)</f>
        <v>-3.0000000000000001E-3</v>
      </c>
      <c r="S20" s="138">
        <f t="shared" si="4"/>
        <v>0</v>
      </c>
      <c r="T20" s="139">
        <f t="shared" si="5"/>
        <v>0</v>
      </c>
    </row>
    <row r="21" spans="1:20">
      <c r="A21" s="381" t="s">
        <v>298</v>
      </c>
      <c r="B21" s="382"/>
      <c r="C21" s="13">
        <v>1704644903</v>
      </c>
      <c r="D21" s="172"/>
      <c r="E21" s="104">
        <v>10.7072</v>
      </c>
      <c r="F21" s="102" t="s">
        <v>11</v>
      </c>
      <c r="G21" s="199">
        <f t="shared" si="6"/>
        <v>182519739</v>
      </c>
      <c r="I21" s="103">
        <v>6.4000000000000003E-3</v>
      </c>
      <c r="J21" s="102"/>
      <c r="K21" s="199">
        <f t="shared" si="7"/>
        <v>1168126.3296000001</v>
      </c>
      <c r="M21" s="103">
        <f t="shared" si="8"/>
        <v>-3.0000000000000001E-3</v>
      </c>
      <c r="N21" s="102"/>
      <c r="O21" s="199">
        <f t="shared" si="9"/>
        <v>-547559.21700000006</v>
      </c>
    </row>
    <row r="22" spans="1:20">
      <c r="A22" s="377" t="s">
        <v>19</v>
      </c>
      <c r="B22" s="372"/>
      <c r="C22" s="16">
        <v>98763</v>
      </c>
      <c r="E22" s="14">
        <v>8</v>
      </c>
      <c r="F22" s="100"/>
      <c r="G22" s="15">
        <f>ROUND(E22*$C22,0)</f>
        <v>790104</v>
      </c>
      <c r="I22" s="106"/>
      <c r="J22" s="20"/>
      <c r="K22" s="15"/>
      <c r="M22" s="106"/>
      <c r="N22" s="20"/>
      <c r="O22" s="15"/>
    </row>
    <row r="23" spans="1:20">
      <c r="A23" s="377" t="s">
        <v>20</v>
      </c>
      <c r="B23" s="372"/>
      <c r="C23" s="13">
        <v>166.01015990227461</v>
      </c>
      <c r="E23" s="14">
        <v>16</v>
      </c>
      <c r="F23" s="20"/>
      <c r="G23" s="15">
        <f>ROUND(E23*$C23,0)</f>
        <v>2656</v>
      </c>
      <c r="I23" s="31"/>
      <c r="J23" s="102"/>
      <c r="K23" s="15"/>
      <c r="M23" s="31"/>
      <c r="N23" s="102"/>
      <c r="O23" s="15"/>
    </row>
    <row r="24" spans="1:20">
      <c r="A24" s="377" t="s">
        <v>22</v>
      </c>
      <c r="B24" s="372"/>
      <c r="C24" s="13">
        <v>0</v>
      </c>
      <c r="E24" s="14">
        <v>96</v>
      </c>
      <c r="F24" s="20"/>
      <c r="G24" s="21">
        <f>ROUND(E24*$C24,0)</f>
        <v>0</v>
      </c>
      <c r="I24" s="31"/>
      <c r="J24" s="102"/>
      <c r="K24" s="21"/>
      <c r="M24" s="31"/>
      <c r="N24" s="102"/>
      <c r="O24" s="21"/>
    </row>
    <row r="25" spans="1:20">
      <c r="A25" s="383" t="s">
        <v>23</v>
      </c>
      <c r="B25" s="372"/>
      <c r="C25" s="16">
        <v>501472</v>
      </c>
      <c r="E25" s="104"/>
      <c r="F25" s="102"/>
      <c r="G25" s="21"/>
      <c r="I25" s="31"/>
      <c r="J25" s="102"/>
      <c r="K25" s="21"/>
      <c r="M25" s="31"/>
      <c r="N25" s="102"/>
      <c r="O25" s="21"/>
    </row>
    <row r="26" spans="1:20">
      <c r="A26" s="383" t="s">
        <v>299</v>
      </c>
      <c r="B26" s="373"/>
      <c r="C26" s="13">
        <v>223485</v>
      </c>
      <c r="E26" s="104"/>
      <c r="F26" s="102"/>
      <c r="G26" s="15"/>
      <c r="I26" s="31"/>
      <c r="J26" s="102"/>
      <c r="K26" s="15"/>
      <c r="M26" s="31"/>
      <c r="N26" s="102"/>
      <c r="O26" s="15"/>
    </row>
    <row r="27" spans="1:20">
      <c r="A27" s="383" t="s">
        <v>300</v>
      </c>
      <c r="B27" s="373"/>
      <c r="C27" s="13">
        <v>277987</v>
      </c>
      <c r="E27" s="104"/>
      <c r="F27" s="102"/>
      <c r="G27" s="15"/>
      <c r="I27" s="31"/>
      <c r="J27" s="102"/>
      <c r="K27" s="15"/>
      <c r="M27" s="31"/>
      <c r="N27" s="102"/>
      <c r="O27" s="15"/>
    </row>
    <row r="28" spans="1:20">
      <c r="A28" s="377" t="s">
        <v>24</v>
      </c>
      <c r="B28" s="372"/>
      <c r="C28" s="23">
        <v>0</v>
      </c>
      <c r="G28" s="24">
        <v>0</v>
      </c>
      <c r="K28" s="24"/>
      <c r="O28" s="24"/>
    </row>
    <row r="29" spans="1:20" s="161" customFormat="1" ht="16.5" thickBot="1">
      <c r="A29" s="377" t="s">
        <v>25</v>
      </c>
      <c r="B29" s="372"/>
      <c r="C29" s="25">
        <v>5992207268.7140274</v>
      </c>
      <c r="D29" s="167"/>
      <c r="E29" s="173"/>
      <c r="F29" s="167"/>
      <c r="G29" s="26">
        <f>SUM(G13:G28)</f>
        <v>661391652</v>
      </c>
      <c r="H29" s="5"/>
      <c r="I29" s="107"/>
      <c r="J29" s="5"/>
      <c r="K29" s="26">
        <f>SUM(K13:K28)</f>
        <v>3904237.4528000001</v>
      </c>
      <c r="L29" s="5"/>
      <c r="M29" s="107"/>
      <c r="N29" s="5"/>
      <c r="O29" s="26">
        <f>SUM(O13:O28)</f>
        <v>-1830111.3059999999</v>
      </c>
    </row>
    <row r="30" spans="1:20" ht="16.5" thickTop="1">
      <c r="A30" s="160"/>
      <c r="B30" s="372"/>
      <c r="C30" s="27"/>
      <c r="G30" s="92"/>
      <c r="I30" s="108"/>
      <c r="J30" s="109"/>
      <c r="M30" s="108"/>
      <c r="N30" s="109"/>
    </row>
    <row r="31" spans="1:20">
      <c r="A31" s="376" t="s">
        <v>432</v>
      </c>
      <c r="B31" s="372"/>
      <c r="C31" s="4"/>
      <c r="G31" s="92"/>
    </row>
    <row r="32" spans="1:20">
      <c r="A32" s="377" t="s">
        <v>296</v>
      </c>
      <c r="B32" s="372"/>
      <c r="C32" s="16">
        <v>370465</v>
      </c>
      <c r="E32" s="14"/>
      <c r="F32" s="100"/>
      <c r="G32" s="15"/>
      <c r="K32" s="15"/>
      <c r="O32" s="15"/>
    </row>
    <row r="33" spans="1:20">
      <c r="A33" s="377" t="s">
        <v>8</v>
      </c>
      <c r="B33" s="372"/>
      <c r="C33" s="16">
        <v>369457</v>
      </c>
      <c r="E33" s="14">
        <v>6</v>
      </c>
      <c r="F33" s="100"/>
      <c r="G33" s="15">
        <f t="shared" ref="G33:G34" si="10">ROUND(E33*$C33,0)</f>
        <v>2216742</v>
      </c>
      <c r="I33" s="31"/>
      <c r="J33" s="100"/>
      <c r="K33" s="15"/>
      <c r="M33" s="31"/>
      <c r="N33" s="100"/>
      <c r="O33" s="15"/>
    </row>
    <row r="34" spans="1:20">
      <c r="A34" s="377" t="s">
        <v>9</v>
      </c>
      <c r="B34" s="372"/>
      <c r="C34" s="16">
        <v>257</v>
      </c>
      <c r="E34" s="14">
        <v>12</v>
      </c>
      <c r="F34" s="100"/>
      <c r="G34" s="15">
        <f t="shared" si="10"/>
        <v>3084</v>
      </c>
      <c r="I34" s="31"/>
      <c r="J34" s="100"/>
      <c r="K34" s="15"/>
      <c r="M34" s="31"/>
      <c r="N34" s="100"/>
      <c r="O34" s="15"/>
    </row>
    <row r="35" spans="1:20">
      <c r="A35" s="377" t="s">
        <v>434</v>
      </c>
      <c r="B35" s="372"/>
      <c r="C35" s="16">
        <v>0</v>
      </c>
      <c r="E35" s="14"/>
      <c r="F35" s="100"/>
      <c r="G35" s="15"/>
      <c r="I35" s="31"/>
      <c r="J35" s="100"/>
      <c r="K35" s="15"/>
      <c r="M35" s="31"/>
      <c r="N35" s="100"/>
      <c r="O35" s="15"/>
    </row>
    <row r="36" spans="1:20">
      <c r="A36" s="377" t="s">
        <v>10</v>
      </c>
      <c r="B36" s="372"/>
      <c r="C36" s="13">
        <v>47435117</v>
      </c>
      <c r="E36" s="104">
        <v>8.8498000000000001</v>
      </c>
      <c r="F36" s="102" t="s">
        <v>11</v>
      </c>
      <c r="G36" s="15">
        <f>ROUND(E36*$C36/100,0)</f>
        <v>4197913</v>
      </c>
      <c r="I36" s="103">
        <v>6.4000000000000003E-3</v>
      </c>
      <c r="J36" s="102"/>
      <c r="K36" s="15">
        <f t="shared" ref="K36:K38" si="11">$G36*I36</f>
        <v>26866.643200000002</v>
      </c>
      <c r="M36" s="103">
        <f t="shared" ref="M36:M38" si="12">$R$20</f>
        <v>-3.0000000000000001E-3</v>
      </c>
      <c r="N36" s="102"/>
      <c r="O36" s="15">
        <f t="shared" ref="O36:O38" si="13">$G36*M36</f>
        <v>-12593.739</v>
      </c>
      <c r="S36" s="138">
        <f t="shared" ref="S36:S41" si="14">G36*I36-K36</f>
        <v>0</v>
      </c>
      <c r="T36" s="139">
        <f t="shared" ref="T36:T41" si="15">G36*M36-O36</f>
        <v>0</v>
      </c>
    </row>
    <row r="37" spans="1:20">
      <c r="A37" s="377" t="s">
        <v>13</v>
      </c>
      <c r="B37" s="372"/>
      <c r="C37" s="13">
        <v>31907309</v>
      </c>
      <c r="E37" s="104">
        <v>11.542899999999999</v>
      </c>
      <c r="F37" s="102" t="s">
        <v>11</v>
      </c>
      <c r="G37" s="15">
        <f>ROUND(E37*$C37/100,0)</f>
        <v>3683029</v>
      </c>
      <c r="I37" s="103">
        <v>6.4000000000000003E-3</v>
      </c>
      <c r="J37" s="102"/>
      <c r="K37" s="15">
        <f t="shared" si="11"/>
        <v>23571.385600000001</v>
      </c>
      <c r="M37" s="103">
        <f t="shared" si="12"/>
        <v>-3.0000000000000001E-3</v>
      </c>
      <c r="N37" s="102"/>
      <c r="O37" s="15">
        <f t="shared" si="13"/>
        <v>-11049.087</v>
      </c>
      <c r="S37" s="138">
        <f t="shared" si="14"/>
        <v>0</v>
      </c>
      <c r="T37" s="139">
        <f t="shared" si="15"/>
        <v>0</v>
      </c>
    </row>
    <row r="38" spans="1:20">
      <c r="A38" s="377" t="s">
        <v>15</v>
      </c>
      <c r="B38" s="372"/>
      <c r="C38" s="13">
        <v>10205740</v>
      </c>
      <c r="E38" s="104">
        <v>14.450799999999999</v>
      </c>
      <c r="F38" s="102" t="s">
        <v>11</v>
      </c>
      <c r="G38" s="15">
        <f>ROUND(E38*$C38/100,0)</f>
        <v>1474811</v>
      </c>
      <c r="I38" s="103">
        <v>6.4000000000000003E-3</v>
      </c>
      <c r="J38" s="102"/>
      <c r="K38" s="15">
        <f t="shared" si="11"/>
        <v>9438.7903999999999</v>
      </c>
      <c r="M38" s="103">
        <f t="shared" si="12"/>
        <v>-3.0000000000000001E-3</v>
      </c>
      <c r="N38" s="102"/>
      <c r="O38" s="15">
        <f t="shared" si="13"/>
        <v>-4424.433</v>
      </c>
      <c r="S38" s="138">
        <f t="shared" si="14"/>
        <v>0</v>
      </c>
      <c r="T38" s="139">
        <f t="shared" si="15"/>
        <v>0</v>
      </c>
    </row>
    <row r="39" spans="1:20">
      <c r="A39" s="377" t="s">
        <v>17</v>
      </c>
      <c r="B39" s="372"/>
      <c r="C39" s="13"/>
      <c r="E39" s="104"/>
      <c r="F39" s="102"/>
      <c r="G39" s="15"/>
      <c r="J39" s="102"/>
      <c r="K39" s="15"/>
      <c r="N39" s="102"/>
      <c r="O39" s="15"/>
      <c r="S39" s="138"/>
      <c r="T39" s="139"/>
    </row>
    <row r="40" spans="1:20" s="162" customFormat="1">
      <c r="A40" s="381" t="s">
        <v>297</v>
      </c>
      <c r="B40" s="382"/>
      <c r="C40" s="13">
        <v>64598419</v>
      </c>
      <c r="D40" s="172"/>
      <c r="E40" s="104">
        <v>8.8498000000000001</v>
      </c>
      <c r="F40" s="102" t="s">
        <v>11</v>
      </c>
      <c r="G40" s="199">
        <f t="shared" ref="G40:G41" si="16">ROUND(E40*$C40/100,0)</f>
        <v>5716831</v>
      </c>
      <c r="H40" s="5"/>
      <c r="I40" s="103">
        <v>6.4000000000000003E-3</v>
      </c>
      <c r="J40" s="102"/>
      <c r="K40" s="199">
        <f t="shared" ref="K40:K41" si="17">$G40*I40</f>
        <v>36587.718400000005</v>
      </c>
      <c r="L40" s="5"/>
      <c r="M40" s="103">
        <f t="shared" ref="M40:M41" si="18">$R$20</f>
        <v>-3.0000000000000001E-3</v>
      </c>
      <c r="N40" s="102"/>
      <c r="O40" s="199">
        <f t="shared" ref="O40:O41" si="19">$G40*M40</f>
        <v>-17150.492999999999</v>
      </c>
      <c r="S40" s="138">
        <f t="shared" si="14"/>
        <v>0</v>
      </c>
      <c r="T40" s="139">
        <f t="shared" si="15"/>
        <v>0</v>
      </c>
    </row>
    <row r="41" spans="1:20" s="162" customFormat="1">
      <c r="A41" s="381" t="s">
        <v>298</v>
      </c>
      <c r="B41" s="382"/>
      <c r="C41" s="13">
        <v>54308077</v>
      </c>
      <c r="D41" s="172"/>
      <c r="E41" s="104">
        <v>10.7072</v>
      </c>
      <c r="F41" s="102" t="s">
        <v>11</v>
      </c>
      <c r="G41" s="199">
        <f t="shared" si="16"/>
        <v>5814874</v>
      </c>
      <c r="H41" s="5"/>
      <c r="I41" s="103">
        <v>6.4000000000000003E-3</v>
      </c>
      <c r="J41" s="102"/>
      <c r="K41" s="199">
        <f t="shared" si="17"/>
        <v>37215.193599999999</v>
      </c>
      <c r="L41" s="5"/>
      <c r="M41" s="103">
        <f t="shared" si="18"/>
        <v>-3.0000000000000001E-3</v>
      </c>
      <c r="N41" s="102"/>
      <c r="O41" s="199">
        <f t="shared" si="19"/>
        <v>-17444.621999999999</v>
      </c>
      <c r="S41" s="138">
        <f t="shared" si="14"/>
        <v>0</v>
      </c>
      <c r="T41" s="139">
        <f t="shared" si="15"/>
        <v>0</v>
      </c>
    </row>
    <row r="42" spans="1:20">
      <c r="A42" s="377" t="s">
        <v>19</v>
      </c>
      <c r="B42" s="372"/>
      <c r="C42" s="16">
        <v>751</v>
      </c>
      <c r="E42" s="14">
        <v>8</v>
      </c>
      <c r="F42" s="100"/>
      <c r="G42" s="15">
        <f>ROUND(E42*$C42,0)</f>
        <v>6008</v>
      </c>
      <c r="I42" s="31"/>
      <c r="J42" s="100"/>
      <c r="K42" s="15"/>
      <c r="M42" s="31"/>
      <c r="N42" s="100"/>
      <c r="O42" s="15"/>
    </row>
    <row r="43" spans="1:20">
      <c r="A43" s="377" t="s">
        <v>20</v>
      </c>
      <c r="B43" s="372"/>
      <c r="C43" s="16">
        <v>0</v>
      </c>
      <c r="E43" s="14">
        <v>16</v>
      </c>
      <c r="F43" s="100"/>
      <c r="G43" s="15">
        <f>ROUND(E43*$C43,0)</f>
        <v>0</v>
      </c>
      <c r="I43" s="31"/>
      <c r="J43" s="100"/>
      <c r="K43" s="15"/>
      <c r="M43" s="31"/>
      <c r="N43" s="100"/>
      <c r="O43" s="15"/>
    </row>
    <row r="44" spans="1:20">
      <c r="A44" s="377" t="s">
        <v>22</v>
      </c>
      <c r="B44" s="372"/>
      <c r="C44" s="16">
        <v>0</v>
      </c>
      <c r="E44" s="14">
        <v>96</v>
      </c>
      <c r="F44" s="100"/>
      <c r="G44" s="21">
        <f>ROUND(E44*$C44,0)</f>
        <v>0</v>
      </c>
      <c r="I44" s="111"/>
      <c r="J44" s="102"/>
      <c r="K44" s="21"/>
      <c r="M44" s="111"/>
      <c r="N44" s="102"/>
      <c r="O44" s="21"/>
    </row>
    <row r="45" spans="1:20">
      <c r="A45" s="383" t="s">
        <v>23</v>
      </c>
      <c r="B45" s="373"/>
      <c r="C45" s="16">
        <v>4249</v>
      </c>
      <c r="E45" s="110"/>
      <c r="F45" s="102"/>
      <c r="G45" s="21"/>
      <c r="I45" s="111"/>
      <c r="J45" s="102"/>
      <c r="K45" s="21"/>
      <c r="M45" s="111"/>
      <c r="N45" s="102"/>
      <c r="O45" s="21"/>
    </row>
    <row r="46" spans="1:20" s="161" customFormat="1">
      <c r="A46" s="383" t="s">
        <v>299</v>
      </c>
      <c r="B46" s="373"/>
      <c r="C46" s="13">
        <v>2043</v>
      </c>
      <c r="D46" s="167"/>
      <c r="E46" s="110"/>
      <c r="F46" s="102"/>
      <c r="G46" s="15"/>
      <c r="H46" s="5"/>
      <c r="I46" s="111"/>
      <c r="J46" s="102"/>
      <c r="K46" s="15"/>
      <c r="L46" s="5"/>
      <c r="M46" s="111"/>
      <c r="N46" s="102"/>
      <c r="O46" s="15"/>
    </row>
    <row r="47" spans="1:20" s="161" customFormat="1">
      <c r="A47" s="383" t="s">
        <v>300</v>
      </c>
      <c r="B47" s="372"/>
      <c r="C47" s="13">
        <v>2206</v>
      </c>
      <c r="D47" s="167"/>
      <c r="E47" s="110"/>
      <c r="F47" s="102"/>
      <c r="G47" s="15"/>
      <c r="H47" s="5"/>
      <c r="I47" s="111"/>
      <c r="J47" s="102"/>
      <c r="K47" s="15"/>
      <c r="L47" s="5"/>
      <c r="M47" s="111"/>
      <c r="N47" s="102"/>
      <c r="O47" s="15"/>
    </row>
    <row r="48" spans="1:20">
      <c r="A48" s="377" t="s">
        <v>24</v>
      </c>
      <c r="B48" s="372"/>
      <c r="C48" s="23">
        <v>0</v>
      </c>
      <c r="G48" s="24">
        <v>0</v>
      </c>
      <c r="I48" s="111"/>
      <c r="J48" s="102"/>
      <c r="K48" s="24"/>
      <c r="M48" s="111"/>
      <c r="N48" s="102"/>
      <c r="O48" s="24"/>
    </row>
    <row r="49" spans="1:20" ht="16.5" thickBot="1">
      <c r="A49" s="377" t="s">
        <v>25</v>
      </c>
      <c r="B49" s="372"/>
      <c r="C49" s="25">
        <v>208458910.71085531</v>
      </c>
      <c r="E49" s="173"/>
      <c r="G49" s="26">
        <f>SUM(G33:G48)</f>
        <v>23113292</v>
      </c>
      <c r="I49" s="107"/>
      <c r="K49" s="26">
        <f>SUM(K33:K48)</f>
        <v>133679.73120000001</v>
      </c>
      <c r="M49" s="107"/>
      <c r="O49" s="26">
        <f>SUM(O33:O48)</f>
        <v>-62662.373999999996</v>
      </c>
    </row>
    <row r="50" spans="1:20" ht="16.5" thickTop="1">
      <c r="A50" s="160"/>
      <c r="B50" s="372"/>
      <c r="C50" s="4"/>
      <c r="G50" s="92"/>
      <c r="I50" s="108"/>
      <c r="J50" s="109"/>
      <c r="M50" s="108"/>
      <c r="N50" s="109"/>
    </row>
    <row r="51" spans="1:20">
      <c r="A51" s="376" t="s">
        <v>433</v>
      </c>
      <c r="B51" s="372"/>
      <c r="C51" s="4"/>
      <c r="G51" s="92"/>
    </row>
    <row r="52" spans="1:20">
      <c r="A52" s="377" t="s">
        <v>296</v>
      </c>
      <c r="B52" s="372"/>
      <c r="C52" s="16">
        <v>5364</v>
      </c>
      <c r="E52" s="14"/>
      <c r="F52" s="100"/>
      <c r="G52" s="15"/>
      <c r="K52" s="15"/>
      <c r="O52" s="15"/>
    </row>
    <row r="53" spans="1:20">
      <c r="A53" s="377" t="s">
        <v>8</v>
      </c>
      <c r="B53" s="372"/>
      <c r="C53" s="16">
        <v>5243</v>
      </c>
      <c r="E53" s="14">
        <v>6</v>
      </c>
      <c r="F53" s="100"/>
      <c r="G53" s="15">
        <f t="shared" ref="G53:G54" si="20">ROUND(E53*$C53,0)</f>
        <v>31458</v>
      </c>
      <c r="K53" s="15"/>
      <c r="O53" s="15"/>
    </row>
    <row r="54" spans="1:20">
      <c r="A54" s="377" t="s">
        <v>9</v>
      </c>
      <c r="B54" s="372"/>
      <c r="C54" s="16">
        <v>0</v>
      </c>
      <c r="E54" s="14">
        <v>12</v>
      </c>
      <c r="F54" s="100"/>
      <c r="G54" s="15">
        <f t="shared" si="20"/>
        <v>0</v>
      </c>
      <c r="I54" s="31"/>
      <c r="J54" s="100"/>
      <c r="K54" s="15"/>
      <c r="M54" s="31"/>
      <c r="N54" s="100"/>
      <c r="O54" s="15"/>
    </row>
    <row r="55" spans="1:20">
      <c r="A55" s="377" t="s">
        <v>434</v>
      </c>
      <c r="B55" s="372"/>
      <c r="C55" s="16">
        <v>1185</v>
      </c>
      <c r="E55" s="14"/>
      <c r="F55" s="100"/>
      <c r="G55" s="15"/>
      <c r="I55" s="31"/>
      <c r="J55" s="100"/>
      <c r="K55" s="15"/>
      <c r="M55" s="31"/>
      <c r="N55" s="100"/>
      <c r="O55" s="15"/>
    </row>
    <row r="56" spans="1:20">
      <c r="A56" s="377" t="s">
        <v>27</v>
      </c>
      <c r="B56" s="372"/>
      <c r="C56" s="16">
        <v>280149</v>
      </c>
      <c r="E56" s="112">
        <v>4.3559999999999999</v>
      </c>
      <c r="F56" s="102" t="s">
        <v>11</v>
      </c>
      <c r="G56" s="15">
        <f t="shared" ref="G56:G60" si="21">ROUND(E56*$C56/100,0)</f>
        <v>12203</v>
      </c>
      <c r="I56" s="31"/>
      <c r="J56" s="100"/>
      <c r="K56" s="15"/>
      <c r="M56" s="31"/>
      <c r="N56" s="100"/>
      <c r="O56" s="15"/>
    </row>
    <row r="57" spans="1:20">
      <c r="A57" s="377" t="s">
        <v>28</v>
      </c>
      <c r="B57" s="372"/>
      <c r="C57" s="16">
        <v>954590</v>
      </c>
      <c r="E57" s="112">
        <v>-1.6334</v>
      </c>
      <c r="F57" s="102" t="s">
        <v>11</v>
      </c>
      <c r="G57" s="15">
        <f t="shared" si="21"/>
        <v>-15592</v>
      </c>
      <c r="I57" s="31"/>
      <c r="J57" s="100"/>
      <c r="K57" s="15"/>
      <c r="M57" s="31"/>
      <c r="N57" s="100"/>
      <c r="O57" s="15"/>
    </row>
    <row r="58" spans="1:20">
      <c r="A58" s="377" t="s">
        <v>10</v>
      </c>
      <c r="B58" s="372"/>
      <c r="C58" s="16">
        <v>675062</v>
      </c>
      <c r="E58" s="104">
        <v>8.8498000000000001</v>
      </c>
      <c r="F58" s="102" t="s">
        <v>11</v>
      </c>
      <c r="G58" s="15">
        <f t="shared" si="21"/>
        <v>59742</v>
      </c>
      <c r="I58" s="103">
        <v>6.4000000000000003E-3</v>
      </c>
      <c r="J58" s="102"/>
      <c r="K58" s="15">
        <f t="shared" ref="K58:K60" si="22">$G58*I58</f>
        <v>382.34880000000004</v>
      </c>
      <c r="M58" s="103">
        <f t="shared" ref="M58:M60" si="23">$R$20</f>
        <v>-3.0000000000000001E-3</v>
      </c>
      <c r="N58" s="102"/>
      <c r="O58" s="15">
        <f t="shared" ref="O58:O60" si="24">$G58*M58</f>
        <v>-179.226</v>
      </c>
      <c r="S58" s="138">
        <f t="shared" ref="S58:S63" si="25">G58*I58-K58</f>
        <v>0</v>
      </c>
      <c r="T58" s="139">
        <f t="shared" ref="T58:T63" si="26">G58*M58-O58</f>
        <v>0</v>
      </c>
    </row>
    <row r="59" spans="1:20">
      <c r="A59" s="377" t="s">
        <v>13</v>
      </c>
      <c r="B59" s="372"/>
      <c r="C59" s="16">
        <v>474415</v>
      </c>
      <c r="E59" s="104">
        <v>11.542899999999999</v>
      </c>
      <c r="F59" s="102" t="s">
        <v>11</v>
      </c>
      <c r="G59" s="15">
        <f t="shared" si="21"/>
        <v>54761</v>
      </c>
      <c r="I59" s="103">
        <v>6.4000000000000003E-3</v>
      </c>
      <c r="J59" s="102"/>
      <c r="K59" s="15">
        <f t="shared" si="22"/>
        <v>350.47040000000004</v>
      </c>
      <c r="M59" s="103">
        <f t="shared" si="23"/>
        <v>-3.0000000000000001E-3</v>
      </c>
      <c r="N59" s="102"/>
      <c r="O59" s="15">
        <f t="shared" si="24"/>
        <v>-164.28300000000002</v>
      </c>
      <c r="S59" s="138">
        <f t="shared" si="25"/>
        <v>0</v>
      </c>
      <c r="T59" s="139">
        <f t="shared" si="26"/>
        <v>0</v>
      </c>
    </row>
    <row r="60" spans="1:20">
      <c r="A60" s="377" t="s">
        <v>15</v>
      </c>
      <c r="B60" s="372"/>
      <c r="C60" s="16">
        <v>185128</v>
      </c>
      <c r="E60" s="104">
        <v>14.450799999999999</v>
      </c>
      <c r="F60" s="102" t="s">
        <v>11</v>
      </c>
      <c r="G60" s="15">
        <f t="shared" si="21"/>
        <v>26752</v>
      </c>
      <c r="I60" s="103">
        <v>6.4000000000000003E-3</v>
      </c>
      <c r="J60" s="102"/>
      <c r="K60" s="15">
        <f t="shared" si="22"/>
        <v>171.21280000000002</v>
      </c>
      <c r="M60" s="103">
        <f t="shared" si="23"/>
        <v>-3.0000000000000001E-3</v>
      </c>
      <c r="N60" s="102"/>
      <c r="O60" s="15">
        <f t="shared" si="24"/>
        <v>-80.256</v>
      </c>
      <c r="S60" s="138">
        <f t="shared" si="25"/>
        <v>0</v>
      </c>
      <c r="T60" s="139">
        <f t="shared" si="26"/>
        <v>0</v>
      </c>
    </row>
    <row r="61" spans="1:20">
      <c r="A61" s="377" t="s">
        <v>17</v>
      </c>
      <c r="B61" s="372"/>
      <c r="C61" s="16"/>
      <c r="E61" s="104"/>
      <c r="F61" s="102"/>
      <c r="G61" s="15"/>
      <c r="J61" s="102"/>
      <c r="K61" s="15"/>
      <c r="N61" s="102"/>
      <c r="O61" s="15"/>
      <c r="S61" s="138"/>
      <c r="T61" s="139"/>
    </row>
    <row r="62" spans="1:20">
      <c r="A62" s="381" t="s">
        <v>297</v>
      </c>
      <c r="B62" s="382"/>
      <c r="C62" s="16">
        <v>912816</v>
      </c>
      <c r="D62" s="172"/>
      <c r="E62" s="104">
        <v>8.8498000000000001</v>
      </c>
      <c r="F62" s="102" t="s">
        <v>11</v>
      </c>
      <c r="G62" s="199">
        <f t="shared" ref="G62:G63" si="27">ROUND(E62*$C62/100,0)</f>
        <v>80782</v>
      </c>
      <c r="I62" s="103">
        <v>6.4000000000000003E-3</v>
      </c>
      <c r="J62" s="102"/>
      <c r="K62" s="199">
        <f t="shared" ref="K62:K63" si="28">$G62*I62</f>
        <v>517.00480000000005</v>
      </c>
      <c r="M62" s="103">
        <f t="shared" ref="M62:M63" si="29">$R$20</f>
        <v>-3.0000000000000001E-3</v>
      </c>
      <c r="N62" s="102"/>
      <c r="O62" s="199">
        <f t="shared" ref="O62:O63" si="30">$G62*M62</f>
        <v>-242.346</v>
      </c>
      <c r="S62" s="138">
        <f t="shared" si="25"/>
        <v>0</v>
      </c>
      <c r="T62" s="139">
        <f t="shared" si="26"/>
        <v>0</v>
      </c>
    </row>
    <row r="63" spans="1:20">
      <c r="A63" s="381" t="s">
        <v>298</v>
      </c>
      <c r="B63" s="382"/>
      <c r="C63" s="16">
        <v>937823</v>
      </c>
      <c r="D63" s="172"/>
      <c r="E63" s="104">
        <v>10.7072</v>
      </c>
      <c r="F63" s="102" t="s">
        <v>11</v>
      </c>
      <c r="G63" s="199">
        <f t="shared" si="27"/>
        <v>100415</v>
      </c>
      <c r="I63" s="103">
        <v>6.4000000000000003E-3</v>
      </c>
      <c r="J63" s="102"/>
      <c r="K63" s="199">
        <f t="shared" si="28"/>
        <v>642.65600000000006</v>
      </c>
      <c r="M63" s="103">
        <f t="shared" si="29"/>
        <v>-3.0000000000000001E-3</v>
      </c>
      <c r="N63" s="102"/>
      <c r="O63" s="199">
        <f t="shared" si="30"/>
        <v>-301.245</v>
      </c>
      <c r="S63" s="138">
        <f t="shared" si="25"/>
        <v>0</v>
      </c>
      <c r="T63" s="139">
        <f t="shared" si="26"/>
        <v>0</v>
      </c>
    </row>
    <row r="64" spans="1:20">
      <c r="A64" s="377" t="s">
        <v>19</v>
      </c>
      <c r="B64" s="372"/>
      <c r="C64" s="16">
        <v>121</v>
      </c>
      <c r="E64" s="14">
        <v>8</v>
      </c>
      <c r="F64" s="100"/>
      <c r="G64" s="15">
        <f>ROUND(E64*$C64,0)</f>
        <v>968</v>
      </c>
      <c r="I64" s="31"/>
      <c r="J64" s="100"/>
      <c r="K64" s="15"/>
      <c r="M64" s="31"/>
      <c r="N64" s="100"/>
      <c r="O64" s="15"/>
    </row>
    <row r="65" spans="1:20" s="161" customFormat="1">
      <c r="A65" s="377" t="s">
        <v>20</v>
      </c>
      <c r="B65" s="372"/>
      <c r="C65" s="16">
        <v>0</v>
      </c>
      <c r="D65" s="167"/>
      <c r="E65" s="14">
        <v>16</v>
      </c>
      <c r="F65" s="100"/>
      <c r="G65" s="15">
        <f>ROUND(E65*$C65,0)</f>
        <v>0</v>
      </c>
      <c r="H65" s="5"/>
      <c r="I65" s="31"/>
      <c r="J65" s="100"/>
      <c r="K65" s="15"/>
      <c r="L65" s="5"/>
      <c r="M65" s="31"/>
      <c r="N65" s="100"/>
      <c r="O65" s="15"/>
    </row>
    <row r="66" spans="1:20" s="161" customFormat="1">
      <c r="A66" s="377" t="s">
        <v>22</v>
      </c>
      <c r="B66" s="372"/>
      <c r="C66" s="16">
        <v>0</v>
      </c>
      <c r="D66" s="167"/>
      <c r="E66" s="14">
        <v>96</v>
      </c>
      <c r="F66" s="100"/>
      <c r="G66" s="15">
        <f>ROUND(E66*$C66,0)</f>
        <v>0</v>
      </c>
      <c r="H66" s="5"/>
      <c r="I66" s="31"/>
      <c r="J66" s="100"/>
      <c r="K66" s="15"/>
      <c r="L66" s="5"/>
      <c r="M66" s="31"/>
      <c r="N66" s="100"/>
      <c r="O66" s="15"/>
    </row>
    <row r="67" spans="1:20" s="161" customFormat="1">
      <c r="A67" s="383" t="s">
        <v>23</v>
      </c>
      <c r="B67" s="373"/>
      <c r="C67" s="16">
        <v>428</v>
      </c>
      <c r="D67" s="167"/>
      <c r="E67" s="110"/>
      <c r="F67" s="102"/>
      <c r="G67" s="21"/>
      <c r="H67" s="5"/>
      <c r="I67" s="111"/>
      <c r="J67" s="102"/>
      <c r="K67" s="21"/>
      <c r="L67" s="5"/>
      <c r="M67" s="111"/>
      <c r="N67" s="102"/>
      <c r="O67" s="21"/>
    </row>
    <row r="68" spans="1:20">
      <c r="A68" s="383" t="s">
        <v>299</v>
      </c>
      <c r="B68" s="373"/>
      <c r="C68" s="16">
        <v>118</v>
      </c>
      <c r="E68" s="110"/>
      <c r="F68" s="102"/>
      <c r="G68" s="15"/>
      <c r="I68" s="111"/>
      <c r="J68" s="102"/>
      <c r="K68" s="15"/>
      <c r="M68" s="111"/>
      <c r="N68" s="102"/>
      <c r="O68" s="15"/>
    </row>
    <row r="69" spans="1:20">
      <c r="A69" s="383" t="s">
        <v>300</v>
      </c>
      <c r="B69" s="372"/>
      <c r="C69" s="16">
        <v>310</v>
      </c>
      <c r="E69" s="110"/>
      <c r="F69" s="102"/>
      <c r="G69" s="15"/>
      <c r="I69" s="111"/>
      <c r="J69" s="102"/>
      <c r="K69" s="15"/>
      <c r="M69" s="111"/>
      <c r="N69" s="102"/>
      <c r="O69" s="15"/>
    </row>
    <row r="70" spans="1:20">
      <c r="A70" s="377" t="s">
        <v>24</v>
      </c>
      <c r="B70" s="372"/>
      <c r="C70" s="23">
        <v>0</v>
      </c>
      <c r="G70" s="24">
        <v>0</v>
      </c>
      <c r="I70" s="111"/>
      <c r="J70" s="102"/>
      <c r="K70" s="24"/>
      <c r="M70" s="111"/>
      <c r="N70" s="102"/>
      <c r="O70" s="24"/>
    </row>
    <row r="71" spans="1:20" ht="16.5" thickBot="1">
      <c r="A71" s="377" t="s">
        <v>25</v>
      </c>
      <c r="B71" s="372"/>
      <c r="C71" s="25">
        <v>3185670.6103628851</v>
      </c>
      <c r="E71" s="174"/>
      <c r="G71" s="28">
        <f>SUM(G53:G70)</f>
        <v>351489</v>
      </c>
      <c r="I71" s="174"/>
      <c r="J71" s="102"/>
      <c r="K71" s="28">
        <f>SUM(K53:K70)</f>
        <v>2063.6928000000003</v>
      </c>
      <c r="M71" s="174"/>
      <c r="N71" s="102"/>
      <c r="O71" s="28">
        <f>SUM(O53:O70)</f>
        <v>-967.35599999999999</v>
      </c>
    </row>
    <row r="72" spans="1:20" ht="16.5" thickTop="1">
      <c r="C72" s="4"/>
      <c r="G72" s="92"/>
      <c r="I72" s="103"/>
      <c r="M72" s="103"/>
    </row>
    <row r="73" spans="1:20">
      <c r="A73" s="376" t="s">
        <v>42</v>
      </c>
      <c r="B73" s="372"/>
      <c r="C73" s="4"/>
      <c r="G73" s="92"/>
      <c r="I73" s="103"/>
      <c r="M73" s="103"/>
    </row>
    <row r="74" spans="1:20">
      <c r="A74" s="377" t="s">
        <v>7</v>
      </c>
      <c r="B74" s="372"/>
      <c r="C74" s="4">
        <v>156864.35241617297</v>
      </c>
      <c r="E74" s="14">
        <v>54</v>
      </c>
      <c r="F74" s="100"/>
      <c r="G74" s="15">
        <f>ROUND(E74*$C74,0)</f>
        <v>8470675</v>
      </c>
      <c r="I74" s="31"/>
      <c r="J74" s="109"/>
      <c r="K74" s="15"/>
      <c r="M74" s="31"/>
      <c r="N74" s="109"/>
      <c r="O74" s="15"/>
      <c r="Q74" s="79" t="s">
        <v>312</v>
      </c>
      <c r="R74" s="80"/>
      <c r="S74" s="138"/>
      <c r="T74" s="139"/>
    </row>
    <row r="75" spans="1:20">
      <c r="A75" s="377" t="s">
        <v>38</v>
      </c>
      <c r="B75" s="372"/>
      <c r="C75" s="4">
        <v>7568683</v>
      </c>
      <c r="E75" s="14"/>
      <c r="F75" s="100"/>
      <c r="G75" s="15"/>
      <c r="I75" s="31"/>
      <c r="J75" s="100"/>
      <c r="K75" s="15"/>
      <c r="M75" s="31"/>
      <c r="N75" s="100"/>
      <c r="O75" s="15"/>
      <c r="Q75" s="70" t="s">
        <v>14</v>
      </c>
      <c r="R75" s="17">
        <f>O86+O101</f>
        <v>-1680667.1880000001</v>
      </c>
      <c r="S75" s="138"/>
      <c r="T75" s="139"/>
    </row>
    <row r="76" spans="1:20">
      <c r="A76" s="377" t="s">
        <v>39</v>
      </c>
      <c r="B76" s="372"/>
      <c r="C76" s="4">
        <v>9009450</v>
      </c>
      <c r="E76" s="14"/>
      <c r="F76" s="100"/>
      <c r="G76" s="15"/>
      <c r="I76" s="31"/>
      <c r="J76" s="100"/>
      <c r="K76" s="15"/>
      <c r="M76" s="31"/>
      <c r="N76" s="100"/>
      <c r="O76" s="15"/>
      <c r="Q76" s="71" t="s">
        <v>16</v>
      </c>
      <c r="R76" s="18">
        <f>('Exhibit-RMP(RMM-1) page 2'!K20+'Exhibit-RMP(RMM-1) page 2'!K22)*1000</f>
        <v>-1680551.4145056179</v>
      </c>
      <c r="S76" s="138"/>
      <c r="T76" s="139"/>
    </row>
    <row r="77" spans="1:20">
      <c r="A77" s="377" t="s">
        <v>32</v>
      </c>
      <c r="B77" s="372"/>
      <c r="C77" s="4">
        <v>679134</v>
      </c>
      <c r="E77" s="14">
        <v>-0.96</v>
      </c>
      <c r="F77" s="100"/>
      <c r="G77" s="15">
        <f>ROUND(E77*$C77,0)</f>
        <v>-651969</v>
      </c>
      <c r="I77" s="31"/>
      <c r="J77" s="100"/>
      <c r="K77" s="15"/>
      <c r="M77" s="31"/>
      <c r="N77" s="100"/>
      <c r="O77" s="15"/>
      <c r="Q77" s="72" t="s">
        <v>18</v>
      </c>
      <c r="R77" s="19">
        <f>R76-R75</f>
        <v>115.77349438215606</v>
      </c>
      <c r="S77" s="138"/>
      <c r="T77" s="139"/>
    </row>
    <row r="78" spans="1:20">
      <c r="A78" s="381" t="s">
        <v>87</v>
      </c>
      <c r="B78" s="382"/>
      <c r="C78" s="384">
        <v>16578133</v>
      </c>
      <c r="D78" s="172"/>
      <c r="E78" s="385">
        <v>4.04</v>
      </c>
      <c r="F78" s="386"/>
      <c r="G78" s="15">
        <f t="shared" ref="G78:G80" si="31">ROUND(E78*$C78,0)</f>
        <v>66975657</v>
      </c>
      <c r="I78" s="31"/>
      <c r="J78" s="100"/>
      <c r="K78" s="15"/>
      <c r="M78" s="31"/>
      <c r="N78" s="100"/>
      <c r="O78" s="15"/>
      <c r="Q78" s="75" t="s">
        <v>21</v>
      </c>
      <c r="R78" s="76">
        <f>ROUND(R76/SUM(G79:G80,G82:G83,G94:G95,G97:G98),$R$12)+R81</f>
        <v>-4.0000000000000001E-3</v>
      </c>
      <c r="S78" s="138"/>
      <c r="T78" s="139"/>
    </row>
    <row r="79" spans="1:20">
      <c r="A79" s="381" t="s">
        <v>38</v>
      </c>
      <c r="B79" s="382"/>
      <c r="C79" s="384">
        <v>7568683</v>
      </c>
      <c r="D79" s="172"/>
      <c r="E79" s="385">
        <v>14.62</v>
      </c>
      <c r="F79" s="386"/>
      <c r="G79" s="15">
        <f t="shared" si="31"/>
        <v>110654145</v>
      </c>
      <c r="I79" s="31">
        <v>8.5000000000000006E-3</v>
      </c>
      <c r="J79" s="100"/>
      <c r="K79" s="15">
        <f t="shared" ref="K79:K80" si="32">$G79*I79</f>
        <v>940560.23250000004</v>
      </c>
      <c r="M79" s="31">
        <f>$R$78</f>
        <v>-4.0000000000000001E-3</v>
      </c>
      <c r="N79" s="100"/>
      <c r="O79" s="15">
        <f t="shared" ref="O79:O80" si="33">$G79*M79</f>
        <v>-442616.58</v>
      </c>
      <c r="Q79" s="32" t="s">
        <v>45</v>
      </c>
      <c r="R79" s="33">
        <f>'Exhibit-RMP(RMM-1) page 1'!S49</f>
        <v>7700.6162854928007</v>
      </c>
      <c r="S79" s="138">
        <f t="shared" ref="S79:S80" si="34">G79*I79-K79</f>
        <v>0</v>
      </c>
      <c r="T79" s="139">
        <f t="shared" ref="T79:T80" si="35">G79*M79-O79</f>
        <v>0</v>
      </c>
    </row>
    <row r="80" spans="1:20">
      <c r="A80" s="381" t="s">
        <v>39</v>
      </c>
      <c r="B80" s="382"/>
      <c r="C80" s="384">
        <v>9009450</v>
      </c>
      <c r="D80" s="172"/>
      <c r="E80" s="385">
        <v>10.91</v>
      </c>
      <c r="F80" s="386"/>
      <c r="G80" s="15">
        <f t="shared" si="31"/>
        <v>98293100</v>
      </c>
      <c r="I80" s="31">
        <v>8.5000000000000006E-3</v>
      </c>
      <c r="J80" s="100"/>
      <c r="K80" s="15">
        <f t="shared" si="32"/>
        <v>835491.35000000009</v>
      </c>
      <c r="M80" s="31">
        <f>$R$78</f>
        <v>-4.0000000000000001E-3</v>
      </c>
      <c r="N80" s="100"/>
      <c r="O80" s="15">
        <f t="shared" si="33"/>
        <v>-393172.4</v>
      </c>
      <c r="Q80" s="32" t="s">
        <v>46</v>
      </c>
      <c r="R80" s="33">
        <f>'Exhibit-RMP(RMM-1) page 2'!K49</f>
        <v>-6542.8373956631322</v>
      </c>
      <c r="S80" s="138">
        <f t="shared" si="34"/>
        <v>0</v>
      </c>
      <c r="T80" s="139">
        <f t="shared" si="35"/>
        <v>0</v>
      </c>
    </row>
    <row r="81" spans="1:20">
      <c r="A81" s="377" t="s">
        <v>29</v>
      </c>
      <c r="B81" s="372"/>
      <c r="C81" s="4">
        <v>5783806261.2344303</v>
      </c>
      <c r="E81" s="112"/>
      <c r="F81" s="102"/>
      <c r="G81" s="15"/>
      <c r="I81" s="31"/>
      <c r="J81" s="100"/>
      <c r="K81" s="15"/>
      <c r="M81" s="31"/>
      <c r="N81" s="100"/>
      <c r="O81" s="15"/>
      <c r="Q81" s="34" t="s">
        <v>26</v>
      </c>
      <c r="R81" s="35">
        <v>0</v>
      </c>
      <c r="S81" s="138"/>
      <c r="T81" s="139"/>
    </row>
    <row r="82" spans="1:20">
      <c r="A82" s="377" t="s">
        <v>43</v>
      </c>
      <c r="B82" s="372"/>
      <c r="C82" s="4">
        <v>2573577152.0915084</v>
      </c>
      <c r="E82" s="30">
        <v>3.8127</v>
      </c>
      <c r="F82" s="102" t="s">
        <v>11</v>
      </c>
      <c r="G82" s="15">
        <f>ROUND(E82*$C82/100,0)</f>
        <v>98122776</v>
      </c>
      <c r="I82" s="31">
        <v>8.5000000000000006E-3</v>
      </c>
      <c r="J82" s="100"/>
      <c r="K82" s="15">
        <f t="shared" ref="K82:K83" si="36">$G82*I82</f>
        <v>834043.59600000002</v>
      </c>
      <c r="M82" s="31">
        <f>$R$78</f>
        <v>-4.0000000000000001E-3</v>
      </c>
      <c r="N82" s="100"/>
      <c r="O82" s="15">
        <f t="shared" ref="O82:O83" si="37">$G82*M82</f>
        <v>-392491.10399999999</v>
      </c>
      <c r="S82" s="138">
        <f>G82*I82-K82</f>
        <v>0</v>
      </c>
      <c r="T82" s="139">
        <f>G82*M82-O82</f>
        <v>0</v>
      </c>
    </row>
    <row r="83" spans="1:20">
      <c r="A83" s="377" t="s">
        <v>44</v>
      </c>
      <c r="B83" s="372"/>
      <c r="C83" s="4">
        <v>3210229109.1429219</v>
      </c>
      <c r="E83" s="30">
        <v>3.5143</v>
      </c>
      <c r="F83" s="102" t="s">
        <v>11</v>
      </c>
      <c r="G83" s="15">
        <f>ROUND(E83*$C83/100,0)</f>
        <v>112817082</v>
      </c>
      <c r="I83" s="31">
        <v>8.5000000000000006E-3</v>
      </c>
      <c r="J83" s="100"/>
      <c r="K83" s="15">
        <f t="shared" si="36"/>
        <v>958945.19700000004</v>
      </c>
      <c r="M83" s="31">
        <f>$R$78</f>
        <v>-4.0000000000000001E-3</v>
      </c>
      <c r="N83" s="100"/>
      <c r="O83" s="15">
        <f t="shared" si="37"/>
        <v>-451268.32800000004</v>
      </c>
      <c r="S83" s="138">
        <f>G83*I83-K83</f>
        <v>0</v>
      </c>
      <c r="T83" s="139">
        <f>G83*M83-O83</f>
        <v>0</v>
      </c>
    </row>
    <row r="84" spans="1:20">
      <c r="A84" s="377" t="s">
        <v>37</v>
      </c>
      <c r="B84" s="372"/>
      <c r="C84" s="4">
        <v>0</v>
      </c>
      <c r="E84" s="14">
        <v>648</v>
      </c>
      <c r="F84" s="100"/>
      <c r="G84" s="15">
        <f>ROUND(E84*$C84,0)</f>
        <v>0</v>
      </c>
      <c r="I84" s="31"/>
      <c r="J84" s="100"/>
      <c r="K84" s="15"/>
      <c r="M84" s="31"/>
      <c r="N84" s="100"/>
      <c r="O84" s="15"/>
      <c r="S84" s="138"/>
      <c r="T84" s="139"/>
    </row>
    <row r="85" spans="1:20">
      <c r="A85" s="377" t="s">
        <v>24</v>
      </c>
      <c r="B85" s="372"/>
      <c r="C85" s="23">
        <v>0</v>
      </c>
      <c r="G85" s="24">
        <v>0</v>
      </c>
      <c r="K85" s="24"/>
      <c r="O85" s="24"/>
    </row>
    <row r="86" spans="1:20" ht="16.5" thickBot="1">
      <c r="A86" s="377" t="s">
        <v>25</v>
      </c>
      <c r="B86" s="372"/>
      <c r="C86" s="29">
        <v>5783806261.2344303</v>
      </c>
      <c r="E86" s="174"/>
      <c r="G86" s="28">
        <f>SUM(G74:G85)</f>
        <v>494681466</v>
      </c>
      <c r="I86" s="113"/>
      <c r="K86" s="28">
        <f>SUM(K74:K85)</f>
        <v>3569040.3755000001</v>
      </c>
      <c r="M86" s="113"/>
      <c r="O86" s="28">
        <f>SUM(O74:O85)</f>
        <v>-1679548.412</v>
      </c>
    </row>
    <row r="87" spans="1:20" ht="16.5" thickTop="1">
      <c r="A87" s="160"/>
      <c r="B87" s="372"/>
      <c r="G87" s="92"/>
      <c r="I87" s="108"/>
      <c r="J87" s="109"/>
      <c r="M87" s="108"/>
      <c r="N87" s="109"/>
    </row>
    <row r="88" spans="1:20">
      <c r="A88" s="376" t="s">
        <v>301</v>
      </c>
      <c r="B88" s="372"/>
      <c r="C88" s="4"/>
      <c r="D88" s="20"/>
      <c r="G88" s="92"/>
      <c r="I88" s="106"/>
      <c r="J88" s="115"/>
      <c r="M88" s="106"/>
      <c r="N88" s="115"/>
    </row>
    <row r="89" spans="1:20">
      <c r="A89" s="377" t="s">
        <v>7</v>
      </c>
      <c r="B89" s="372"/>
      <c r="C89" s="4">
        <v>438</v>
      </c>
      <c r="E89" s="14">
        <v>54</v>
      </c>
      <c r="F89" s="100"/>
      <c r="G89" s="15">
        <f>ROUND(E89*$C89,0)</f>
        <v>23652</v>
      </c>
      <c r="K89" s="15"/>
      <c r="O89" s="15"/>
    </row>
    <row r="90" spans="1:20">
      <c r="A90" s="377" t="s">
        <v>47</v>
      </c>
      <c r="B90" s="372"/>
      <c r="C90" s="4">
        <v>6224</v>
      </c>
      <c r="E90" s="14"/>
      <c r="F90" s="100"/>
      <c r="G90" s="15"/>
      <c r="I90" s="31"/>
      <c r="J90" s="100"/>
      <c r="K90" s="15"/>
      <c r="M90" s="31"/>
      <c r="N90" s="100"/>
      <c r="O90" s="15"/>
    </row>
    <row r="91" spans="1:20">
      <c r="A91" s="377" t="s">
        <v>48</v>
      </c>
      <c r="B91" s="372"/>
      <c r="C91" s="4">
        <v>4264</v>
      </c>
      <c r="E91" s="14"/>
      <c r="F91" s="100"/>
      <c r="G91" s="15"/>
      <c r="I91" s="31"/>
      <c r="J91" s="100"/>
      <c r="K91" s="15"/>
      <c r="M91" s="31"/>
      <c r="N91" s="100"/>
      <c r="O91" s="15"/>
    </row>
    <row r="92" spans="1:20">
      <c r="A92" s="377" t="s">
        <v>32</v>
      </c>
      <c r="B92" s="372"/>
      <c r="C92" s="4">
        <v>0</v>
      </c>
      <c r="E92" s="14">
        <v>-0.96</v>
      </c>
      <c r="F92" s="100"/>
      <c r="G92" s="15">
        <f>ROUND(E92*$C92,0)</f>
        <v>0</v>
      </c>
      <c r="I92" s="31"/>
      <c r="J92" s="100"/>
      <c r="K92" s="15"/>
      <c r="M92" s="31"/>
      <c r="N92" s="100"/>
      <c r="O92" s="15"/>
    </row>
    <row r="93" spans="1:20">
      <c r="A93" s="381" t="s">
        <v>87</v>
      </c>
      <c r="B93" s="382"/>
      <c r="C93" s="384">
        <v>10488</v>
      </c>
      <c r="D93" s="172"/>
      <c r="E93" s="385">
        <v>4.04</v>
      </c>
      <c r="F93" s="386"/>
      <c r="G93" s="15">
        <f t="shared" ref="G93:G95" si="38">ROUND(E93*$C93,0)</f>
        <v>42372</v>
      </c>
      <c r="I93" s="31"/>
      <c r="J93" s="100"/>
      <c r="K93" s="15"/>
      <c r="M93" s="31"/>
      <c r="N93" s="100"/>
      <c r="O93" s="15"/>
    </row>
    <row r="94" spans="1:20">
      <c r="A94" s="381" t="s">
        <v>47</v>
      </c>
      <c r="B94" s="382"/>
      <c r="C94" s="384">
        <v>6224</v>
      </c>
      <c r="D94" s="172"/>
      <c r="E94" s="385">
        <v>14.62</v>
      </c>
      <c r="F94" s="386"/>
      <c r="G94" s="15">
        <f t="shared" si="38"/>
        <v>90995</v>
      </c>
      <c r="I94" s="31">
        <v>8.5000000000000006E-3</v>
      </c>
      <c r="J94" s="100"/>
      <c r="K94" s="15">
        <f t="shared" ref="K94:K95" si="39">$G94*I94</f>
        <v>773.4575000000001</v>
      </c>
      <c r="M94" s="31">
        <f>$R$78</f>
        <v>-4.0000000000000001E-3</v>
      </c>
      <c r="N94" s="100"/>
      <c r="O94" s="15">
        <f t="shared" ref="O94:O95" si="40">$G94*M94</f>
        <v>-363.98</v>
      </c>
      <c r="S94" s="138">
        <f>G94*I94-K94</f>
        <v>0</v>
      </c>
      <c r="T94" s="139">
        <f>G94*M94-O94</f>
        <v>0</v>
      </c>
    </row>
    <row r="95" spans="1:20">
      <c r="A95" s="381" t="s">
        <v>48</v>
      </c>
      <c r="B95" s="382"/>
      <c r="C95" s="384">
        <v>4264</v>
      </c>
      <c r="D95" s="172"/>
      <c r="E95" s="385">
        <v>10.91</v>
      </c>
      <c r="F95" s="386"/>
      <c r="G95" s="15">
        <f t="shared" si="38"/>
        <v>46520</v>
      </c>
      <c r="I95" s="31">
        <v>8.5000000000000006E-3</v>
      </c>
      <c r="J95" s="100"/>
      <c r="K95" s="15">
        <f t="shared" si="39"/>
        <v>395.42</v>
      </c>
      <c r="M95" s="31">
        <f>$R$78</f>
        <v>-4.0000000000000001E-3</v>
      </c>
      <c r="N95" s="100"/>
      <c r="O95" s="15">
        <f t="shared" si="40"/>
        <v>-186.08</v>
      </c>
      <c r="S95" s="138">
        <f>G95*I95-K95</f>
        <v>0</v>
      </c>
      <c r="T95" s="139">
        <f>G95*M95-O95</f>
        <v>0</v>
      </c>
    </row>
    <row r="96" spans="1:20">
      <c r="A96" s="377" t="s">
        <v>29</v>
      </c>
      <c r="B96" s="372"/>
      <c r="C96" s="4">
        <v>3907497</v>
      </c>
      <c r="E96" s="30"/>
      <c r="F96" s="102"/>
      <c r="G96" s="15"/>
      <c r="I96" s="31"/>
      <c r="J96" s="102"/>
      <c r="K96" s="15"/>
      <c r="M96" s="31"/>
      <c r="N96" s="102"/>
      <c r="O96" s="15"/>
    </row>
    <row r="97" spans="1:20">
      <c r="A97" s="377" t="s">
        <v>40</v>
      </c>
      <c r="B97" s="372"/>
      <c r="C97" s="4">
        <v>1628123.75</v>
      </c>
      <c r="E97" s="30">
        <v>3.8127</v>
      </c>
      <c r="F97" s="102" t="s">
        <v>11</v>
      </c>
      <c r="G97" s="15">
        <f>ROUND(E97*$C97/100,0)</f>
        <v>62075</v>
      </c>
      <c r="I97" s="31">
        <v>8.5000000000000006E-3</v>
      </c>
      <c r="J97" s="100"/>
      <c r="K97" s="15">
        <f t="shared" ref="K97:K98" si="41">$G97*I97</f>
        <v>527.63750000000005</v>
      </c>
      <c r="M97" s="31">
        <f>$R$78</f>
        <v>-4.0000000000000001E-3</v>
      </c>
      <c r="N97" s="100"/>
      <c r="O97" s="15">
        <f t="shared" ref="O97:O98" si="42">$G97*M97</f>
        <v>-248.3</v>
      </c>
      <c r="S97" s="138">
        <f>G97*I97-K97</f>
        <v>0</v>
      </c>
      <c r="T97" s="139">
        <f>G97*M97-O97</f>
        <v>0</v>
      </c>
    </row>
    <row r="98" spans="1:20">
      <c r="A98" s="377" t="s">
        <v>41</v>
      </c>
      <c r="B98" s="372"/>
      <c r="C98" s="4">
        <v>2279373.25</v>
      </c>
      <c r="E98" s="30">
        <v>3.5143</v>
      </c>
      <c r="F98" s="102" t="s">
        <v>11</v>
      </c>
      <c r="G98" s="15">
        <f>ROUND(E98*$C98/100,0)</f>
        <v>80104</v>
      </c>
      <c r="I98" s="31">
        <v>8.5000000000000006E-3</v>
      </c>
      <c r="J98" s="100"/>
      <c r="K98" s="15">
        <f t="shared" si="41"/>
        <v>680.88400000000001</v>
      </c>
      <c r="M98" s="31">
        <f>$R$78</f>
        <v>-4.0000000000000001E-3</v>
      </c>
      <c r="N98" s="100"/>
      <c r="O98" s="15">
        <f t="shared" si="42"/>
        <v>-320.416</v>
      </c>
      <c r="S98" s="138">
        <f>G98*I98-K98</f>
        <v>0</v>
      </c>
      <c r="T98" s="139">
        <f>G98*M98-O98</f>
        <v>0</v>
      </c>
    </row>
    <row r="99" spans="1:20">
      <c r="A99" s="377" t="s">
        <v>37</v>
      </c>
      <c r="B99" s="372"/>
      <c r="C99" s="4">
        <v>0</v>
      </c>
      <c r="D99" s="20"/>
      <c r="E99" s="14">
        <v>648</v>
      </c>
      <c r="F99" s="100"/>
      <c r="G99" s="15">
        <f>ROUND(E99*$C99,0)</f>
        <v>0</v>
      </c>
      <c r="I99" s="31"/>
      <c r="J99" s="100"/>
      <c r="K99" s="15"/>
      <c r="M99" s="31"/>
      <c r="N99" s="100"/>
      <c r="O99" s="15"/>
    </row>
    <row r="100" spans="1:20">
      <c r="A100" s="377" t="s">
        <v>24</v>
      </c>
      <c r="B100" s="372"/>
      <c r="C100" s="23">
        <v>0</v>
      </c>
      <c r="G100" s="24">
        <v>0</v>
      </c>
      <c r="K100" s="24"/>
      <c r="O100" s="24"/>
    </row>
    <row r="101" spans="1:20" ht="16.5" thickBot="1">
      <c r="A101" s="377" t="s">
        <v>25</v>
      </c>
      <c r="B101" s="372"/>
      <c r="C101" s="29">
        <v>3907497</v>
      </c>
      <c r="E101" s="174"/>
      <c r="G101" s="28">
        <f>SUM(G89:G100)</f>
        <v>345718</v>
      </c>
      <c r="I101" s="113"/>
      <c r="K101" s="28">
        <f>SUM(K89:K100)</f>
        <v>2377.3990000000003</v>
      </c>
      <c r="M101" s="113"/>
      <c r="O101" s="28">
        <f>SUM(O89:O100)</f>
        <v>-1118.7760000000001</v>
      </c>
    </row>
    <row r="102" spans="1:20" ht="16.5" thickTop="1">
      <c r="C102" s="4"/>
      <c r="G102" s="92"/>
    </row>
    <row r="103" spans="1:20">
      <c r="A103" s="376" t="s">
        <v>49</v>
      </c>
      <c r="B103" s="372"/>
      <c r="C103" s="4"/>
      <c r="E103" s="30"/>
      <c r="F103" s="115"/>
      <c r="G103" s="92"/>
      <c r="I103" s="31"/>
      <c r="M103" s="31"/>
    </row>
    <row r="104" spans="1:20">
      <c r="A104" s="377" t="s">
        <v>7</v>
      </c>
      <c r="B104" s="372"/>
      <c r="C104" s="4">
        <v>27307</v>
      </c>
      <c r="E104" s="14">
        <v>54</v>
      </c>
      <c r="F104" s="100"/>
      <c r="G104" s="15">
        <f>ROUND(E104*$C104,0)</f>
        <v>1474578</v>
      </c>
      <c r="I104" s="31"/>
      <c r="J104" s="100"/>
      <c r="K104" s="15"/>
      <c r="M104" s="31"/>
      <c r="N104" s="100"/>
      <c r="O104" s="15"/>
      <c r="Q104" s="70" t="s">
        <v>14</v>
      </c>
      <c r="R104" s="17">
        <f>O113</f>
        <v>-115447.45849999999</v>
      </c>
      <c r="S104" s="138"/>
      <c r="T104" s="139"/>
    </row>
    <row r="105" spans="1:20">
      <c r="A105" s="377" t="s">
        <v>50</v>
      </c>
      <c r="B105" s="372"/>
      <c r="C105" s="4">
        <v>918610</v>
      </c>
      <c r="D105" s="20"/>
      <c r="E105" s="14">
        <v>6.52</v>
      </c>
      <c r="F105" s="100"/>
      <c r="G105" s="15">
        <f>ROUND(E105*$C105,0)</f>
        <v>5989337</v>
      </c>
      <c r="I105" s="31"/>
      <c r="J105" s="100"/>
      <c r="K105" s="15"/>
      <c r="M105" s="31"/>
      <c r="N105" s="100"/>
      <c r="O105" s="15"/>
      <c r="Q105" s="71" t="s">
        <v>16</v>
      </c>
      <c r="R105" s="18">
        <f>'Exhibit-RMP(RMM-1) page 2'!K21*1000</f>
        <v>-116197.48180749454</v>
      </c>
      <c r="S105" s="138"/>
      <c r="T105" s="139"/>
    </row>
    <row r="106" spans="1:20">
      <c r="A106" s="377" t="s">
        <v>51</v>
      </c>
      <c r="B106" s="372"/>
      <c r="C106" s="4">
        <v>1059783</v>
      </c>
      <c r="D106" s="20"/>
      <c r="E106" s="14">
        <v>5.47</v>
      </c>
      <c r="F106" s="100"/>
      <c r="G106" s="15">
        <f>ROUND(E106*$C106,0)</f>
        <v>5797013</v>
      </c>
      <c r="I106" s="31"/>
      <c r="J106" s="100"/>
      <c r="K106" s="15"/>
      <c r="M106" s="31"/>
      <c r="N106" s="100"/>
      <c r="O106" s="15"/>
      <c r="Q106" s="72" t="s">
        <v>18</v>
      </c>
      <c r="R106" s="19">
        <f>R105-R104</f>
        <v>-750.02330749454268</v>
      </c>
      <c r="S106" s="138"/>
      <c r="T106" s="139"/>
    </row>
    <row r="107" spans="1:20">
      <c r="A107" s="377" t="s">
        <v>32</v>
      </c>
      <c r="B107" s="372"/>
      <c r="C107" s="4">
        <v>39296</v>
      </c>
      <c r="D107" s="20"/>
      <c r="E107" s="14">
        <v>-0.61</v>
      </c>
      <c r="F107" s="100"/>
      <c r="G107" s="15">
        <f>ROUND(E107*$C107,0)</f>
        <v>-23971</v>
      </c>
      <c r="I107" s="31"/>
      <c r="J107" s="100"/>
      <c r="K107" s="15"/>
      <c r="M107" s="31"/>
      <c r="N107" s="100"/>
      <c r="O107" s="15"/>
      <c r="Q107" s="75" t="s">
        <v>21</v>
      </c>
      <c r="R107" s="76">
        <f>ROUND(R105/SUM(G108:G111),$R$12)</f>
        <v>-5.4999999999999997E-3</v>
      </c>
      <c r="S107" s="138"/>
      <c r="T107" s="139"/>
    </row>
    <row r="108" spans="1:20">
      <c r="A108" s="377" t="s">
        <v>27</v>
      </c>
      <c r="B108" s="372"/>
      <c r="C108" s="4">
        <v>62251233</v>
      </c>
      <c r="D108" s="20"/>
      <c r="E108" s="112">
        <v>11.926600000000001</v>
      </c>
      <c r="F108" s="102" t="s">
        <v>11</v>
      </c>
      <c r="G108" s="15">
        <f>ROUND(E108*$C108/100,0)</f>
        <v>7424456</v>
      </c>
      <c r="I108" s="31">
        <v>1.18E-2</v>
      </c>
      <c r="J108" s="102"/>
      <c r="K108" s="15">
        <f t="shared" ref="K108" si="43">$G108*I108</f>
        <v>87608.580799999996</v>
      </c>
      <c r="M108" s="31">
        <f>$R$107</f>
        <v>-5.4999999999999997E-3</v>
      </c>
      <c r="N108" s="102"/>
      <c r="O108" s="15">
        <f t="shared" ref="O108:O111" si="44">$G108*M108</f>
        <v>-40834.507999999994</v>
      </c>
      <c r="S108" s="138">
        <f>G108*I108-K108</f>
        <v>0</v>
      </c>
      <c r="T108" s="139">
        <f>G108*M108-O108</f>
        <v>0</v>
      </c>
    </row>
    <row r="109" spans="1:20">
      <c r="A109" s="377" t="s">
        <v>28</v>
      </c>
      <c r="B109" s="372"/>
      <c r="C109" s="4">
        <v>59556790.452555798</v>
      </c>
      <c r="D109" s="20"/>
      <c r="E109" s="112">
        <v>3.5908000000000002</v>
      </c>
      <c r="F109" s="102" t="s">
        <v>11</v>
      </c>
      <c r="G109" s="15">
        <f>ROUND(E109*$C109/100,0)</f>
        <v>2138565</v>
      </c>
      <c r="I109" s="31">
        <v>1.18E-2</v>
      </c>
      <c r="J109" s="102"/>
      <c r="K109" s="15">
        <f t="shared" ref="K109:K111" si="45">$G109*I109</f>
        <v>25235.066999999999</v>
      </c>
      <c r="M109" s="31">
        <f>$R$107</f>
        <v>-5.4999999999999997E-3</v>
      </c>
      <c r="N109" s="102"/>
      <c r="O109" s="15">
        <f t="shared" si="44"/>
        <v>-11762.1075</v>
      </c>
      <c r="S109" s="138">
        <f>G109*I109-K109</f>
        <v>0</v>
      </c>
      <c r="T109" s="139">
        <f>G109*M109-O109</f>
        <v>0</v>
      </c>
    </row>
    <row r="110" spans="1:20">
      <c r="A110" s="377" t="s">
        <v>52</v>
      </c>
      <c r="B110" s="372"/>
      <c r="C110" s="4">
        <v>90625426</v>
      </c>
      <c r="D110" s="20"/>
      <c r="E110" s="112">
        <v>9.9693000000000005</v>
      </c>
      <c r="F110" s="102" t="s">
        <v>11</v>
      </c>
      <c r="G110" s="15">
        <f>ROUND(E110*$C110/100,0)</f>
        <v>9034721</v>
      </c>
      <c r="I110" s="31">
        <v>1.18E-2</v>
      </c>
      <c r="J110" s="102"/>
      <c r="K110" s="15">
        <f t="shared" si="45"/>
        <v>106609.7078</v>
      </c>
      <c r="M110" s="31">
        <f>$R$107</f>
        <v>-5.4999999999999997E-3</v>
      </c>
      <c r="N110" s="102"/>
      <c r="O110" s="15">
        <f t="shared" si="44"/>
        <v>-49690.965499999998</v>
      </c>
      <c r="S110" s="138">
        <f>G110*I110-K110</f>
        <v>0</v>
      </c>
      <c r="T110" s="139">
        <f>G110*M110-O110</f>
        <v>0</v>
      </c>
    </row>
    <row r="111" spans="1:20">
      <c r="A111" s="377" t="s">
        <v>53</v>
      </c>
      <c r="B111" s="372"/>
      <c r="C111" s="4">
        <v>79597650.39760986</v>
      </c>
      <c r="D111" s="20"/>
      <c r="E111" s="112">
        <v>3.0059999999999998</v>
      </c>
      <c r="F111" s="102" t="s">
        <v>11</v>
      </c>
      <c r="G111" s="15">
        <f>ROUND(E111*$C111/100,0)</f>
        <v>2392705</v>
      </c>
      <c r="I111" s="31">
        <v>1.18E-2</v>
      </c>
      <c r="J111" s="102"/>
      <c r="K111" s="15">
        <f t="shared" si="45"/>
        <v>28233.918999999998</v>
      </c>
      <c r="M111" s="31">
        <f>$R$107</f>
        <v>-5.4999999999999997E-3</v>
      </c>
      <c r="N111" s="102"/>
      <c r="O111" s="15">
        <f t="shared" si="44"/>
        <v>-13159.877499999999</v>
      </c>
      <c r="S111" s="138">
        <f>G111*I111-K111</f>
        <v>0</v>
      </c>
      <c r="T111" s="139">
        <f>G111*M111-O111</f>
        <v>0</v>
      </c>
    </row>
    <row r="112" spans="1:20">
      <c r="A112" s="377" t="s">
        <v>24</v>
      </c>
      <c r="B112" s="372"/>
      <c r="C112" s="23">
        <v>0</v>
      </c>
      <c r="G112" s="24">
        <v>0</v>
      </c>
      <c r="K112" s="24"/>
      <c r="O112" s="24"/>
    </row>
    <row r="113" spans="1:20" ht="16.5" thickBot="1">
      <c r="A113" s="377" t="s">
        <v>25</v>
      </c>
      <c r="B113" s="372"/>
      <c r="C113" s="29">
        <v>292031099.85016567</v>
      </c>
      <c r="E113" s="174"/>
      <c r="G113" s="28">
        <f>SUM(G104:G112)</f>
        <v>34227404</v>
      </c>
      <c r="I113" s="113"/>
      <c r="K113" s="28">
        <f>SUM(K104:K112)</f>
        <v>247687.2746</v>
      </c>
      <c r="M113" s="113"/>
      <c r="O113" s="28">
        <f>SUM(O104:O112)</f>
        <v>-115447.45849999999</v>
      </c>
    </row>
    <row r="114" spans="1:20" ht="16.5" thickTop="1">
      <c r="A114" s="160"/>
      <c r="B114" s="372"/>
      <c r="C114" s="4"/>
      <c r="G114" s="92"/>
      <c r="I114" s="108"/>
      <c r="J114" s="109"/>
      <c r="M114" s="108"/>
      <c r="N114" s="109"/>
    </row>
    <row r="115" spans="1:20">
      <c r="A115" s="376" t="s">
        <v>435</v>
      </c>
      <c r="B115" s="372"/>
      <c r="C115" s="4"/>
      <c r="G115" s="92"/>
    </row>
    <row r="116" spans="1:20">
      <c r="A116" s="381" t="s">
        <v>54</v>
      </c>
      <c r="B116" s="372"/>
      <c r="C116" s="4"/>
      <c r="G116" s="15"/>
      <c r="K116" s="15"/>
      <c r="O116" s="15"/>
    </row>
    <row r="117" spans="1:20">
      <c r="A117" s="377" t="s">
        <v>55</v>
      </c>
      <c r="B117" s="372">
        <v>29</v>
      </c>
      <c r="C117" s="4">
        <v>24</v>
      </c>
      <c r="E117" s="14">
        <v>5.68</v>
      </c>
      <c r="F117" s="100"/>
      <c r="G117" s="15">
        <f>ROUND(E117*$C117,0)</f>
        <v>136</v>
      </c>
      <c r="I117" s="31">
        <v>4.0000000000000001E-3</v>
      </c>
      <c r="J117" s="100"/>
      <c r="K117" s="15">
        <f t="shared" ref="K117" si="46">$G117*I117</f>
        <v>0.54400000000000004</v>
      </c>
      <c r="M117" s="31">
        <f>$R$121</f>
        <v>-1.9E-3</v>
      </c>
      <c r="N117" s="100"/>
      <c r="O117" s="15">
        <f t="shared" ref="O117:O120" si="47">$G117*M117</f>
        <v>-0.25840000000000002</v>
      </c>
      <c r="Q117" s="81" t="s">
        <v>289</v>
      </c>
      <c r="R117" s="77"/>
      <c r="S117" s="138">
        <f>G117*I117-K117</f>
        <v>0</v>
      </c>
      <c r="T117" s="139">
        <f>G117*M117-O117</f>
        <v>0</v>
      </c>
    </row>
    <row r="118" spans="1:20">
      <c r="A118" s="377" t="s">
        <v>56</v>
      </c>
      <c r="B118" s="372">
        <v>1</v>
      </c>
      <c r="C118" s="4">
        <v>45001</v>
      </c>
      <c r="E118" s="14">
        <v>16.38</v>
      </c>
      <c r="F118" s="100"/>
      <c r="G118" s="15">
        <f>ROUND(E118*$C118,0)</f>
        <v>737116</v>
      </c>
      <c r="I118" s="31">
        <v>4.0000000000000001E-3</v>
      </c>
      <c r="J118" s="100"/>
      <c r="K118" s="15">
        <f t="shared" ref="K118:K120" si="48">$G118*I118</f>
        <v>2948.4639999999999</v>
      </c>
      <c r="M118" s="31">
        <f>$R$121</f>
        <v>-1.9E-3</v>
      </c>
      <c r="N118" s="100"/>
      <c r="O118" s="15">
        <f t="shared" si="47"/>
        <v>-1400.5204000000001</v>
      </c>
      <c r="Q118" s="71" t="s">
        <v>14</v>
      </c>
      <c r="R118" s="18">
        <f>O153+O268+O351</f>
        <v>-23034.302300000003</v>
      </c>
      <c r="S118" s="138">
        <f>G118*I118-K118</f>
        <v>0</v>
      </c>
      <c r="T118" s="139">
        <f>G118*M118-O118</f>
        <v>0</v>
      </c>
    </row>
    <row r="119" spans="1:20">
      <c r="A119" s="377" t="s">
        <v>57</v>
      </c>
      <c r="B119" s="372">
        <v>28</v>
      </c>
      <c r="C119" s="4">
        <v>0</v>
      </c>
      <c r="E119" s="14">
        <v>8.0500000000000007</v>
      </c>
      <c r="F119" s="100"/>
      <c r="G119" s="15">
        <f>ROUND(E119*$C119,0)</f>
        <v>0</v>
      </c>
      <c r="I119" s="31">
        <v>4.0000000000000001E-3</v>
      </c>
      <c r="J119" s="100"/>
      <c r="K119" s="15">
        <f t="shared" si="48"/>
        <v>0</v>
      </c>
      <c r="M119" s="31">
        <f>$R$121</f>
        <v>-1.9E-3</v>
      </c>
      <c r="N119" s="100"/>
      <c r="O119" s="15">
        <f t="shared" si="47"/>
        <v>0</v>
      </c>
      <c r="Q119" s="71" t="s">
        <v>16</v>
      </c>
      <c r="R119" s="18">
        <f>SUM('Exhibit-RMP(RMM-1) page 2'!K40:K42)*1000</f>
        <v>-22921.504559640798</v>
      </c>
      <c r="S119" s="138">
        <f>G119*I119-K119</f>
        <v>0</v>
      </c>
      <c r="T119" s="139">
        <f>G119*M119-O119</f>
        <v>0</v>
      </c>
    </row>
    <row r="120" spans="1:20">
      <c r="A120" s="377" t="s">
        <v>58</v>
      </c>
      <c r="B120" s="372">
        <v>2</v>
      </c>
      <c r="C120" s="4">
        <v>10830</v>
      </c>
      <c r="E120" s="14">
        <v>26.78</v>
      </c>
      <c r="F120" s="100"/>
      <c r="G120" s="15">
        <f>ROUND(E120*$C120,0)</f>
        <v>290027</v>
      </c>
      <c r="I120" s="31">
        <v>4.0000000000000001E-3</v>
      </c>
      <c r="J120" s="100"/>
      <c r="K120" s="15">
        <f t="shared" si="48"/>
        <v>1160.1079999999999</v>
      </c>
      <c r="M120" s="31">
        <f>$R$121</f>
        <v>-1.9E-3</v>
      </c>
      <c r="N120" s="100"/>
      <c r="O120" s="15">
        <f t="shared" si="47"/>
        <v>-551.05129999999997</v>
      </c>
      <c r="Q120" s="72" t="s">
        <v>18</v>
      </c>
      <c r="R120" s="19">
        <f>R119-R118</f>
        <v>112.79774035920491</v>
      </c>
      <c r="S120" s="138">
        <f>G120*I120-K120</f>
        <v>0</v>
      </c>
      <c r="T120" s="139">
        <f>G120*M120-O120</f>
        <v>0</v>
      </c>
    </row>
    <row r="121" spans="1:20">
      <c r="A121" s="381" t="s">
        <v>59</v>
      </c>
      <c r="B121" s="372"/>
      <c r="C121" s="4"/>
      <c r="G121" s="15"/>
      <c r="I121" s="31"/>
      <c r="J121" s="100"/>
      <c r="K121" s="15"/>
      <c r="M121" s="31"/>
      <c r="N121" s="100"/>
      <c r="O121" s="15"/>
      <c r="Q121" s="75" t="s">
        <v>21</v>
      </c>
      <c r="R121" s="76">
        <f>ROUND(R119/SUM(G149,G264,G348),$R$12)</f>
        <v>-1.9E-3</v>
      </c>
      <c r="S121" s="138"/>
      <c r="T121" s="139"/>
    </row>
    <row r="122" spans="1:20">
      <c r="A122" s="377" t="s">
        <v>60</v>
      </c>
      <c r="B122" s="372">
        <v>3</v>
      </c>
      <c r="C122" s="4">
        <v>3563</v>
      </c>
      <c r="E122" s="14">
        <v>14.6</v>
      </c>
      <c r="F122" s="100"/>
      <c r="G122" s="15">
        <f t="shared" ref="G122:G132" si="49">ROUND(E122*$C122,0)</f>
        <v>52020</v>
      </c>
      <c r="I122" s="31">
        <v>4.0000000000000001E-3</v>
      </c>
      <c r="J122" s="100"/>
      <c r="K122" s="15">
        <f t="shared" ref="K122:K132" si="50">$G122*I122</f>
        <v>208.08</v>
      </c>
      <c r="M122" s="31">
        <f t="shared" ref="M122:M132" si="51">$R$121</f>
        <v>-1.9E-3</v>
      </c>
      <c r="N122" s="100"/>
      <c r="O122" s="15">
        <f t="shared" ref="O122:O132" si="52">$G122*M122</f>
        <v>-98.837999999999994</v>
      </c>
      <c r="S122" s="138">
        <f t="shared" ref="S122:S132" si="53">G122*I122-K122</f>
        <v>0</v>
      </c>
      <c r="T122" s="139">
        <f t="shared" ref="T122:T132" si="54">G122*M122-O122</f>
        <v>0</v>
      </c>
    </row>
    <row r="123" spans="1:20">
      <c r="A123" s="377" t="s">
        <v>61</v>
      </c>
      <c r="B123" s="372">
        <v>4</v>
      </c>
      <c r="C123" s="4">
        <v>1746</v>
      </c>
      <c r="E123" s="14">
        <v>12.23</v>
      </c>
      <c r="F123" s="100"/>
      <c r="G123" s="15">
        <f t="shared" si="49"/>
        <v>21354</v>
      </c>
      <c r="I123" s="31">
        <v>4.0000000000000001E-3</v>
      </c>
      <c r="J123" s="100"/>
      <c r="K123" s="15">
        <f t="shared" si="50"/>
        <v>85.415999999999997</v>
      </c>
      <c r="M123" s="31">
        <f t="shared" si="51"/>
        <v>-1.9E-3</v>
      </c>
      <c r="N123" s="100"/>
      <c r="O123" s="15">
        <f t="shared" si="52"/>
        <v>-40.572600000000001</v>
      </c>
      <c r="S123" s="138">
        <f t="shared" si="53"/>
        <v>0</v>
      </c>
      <c r="T123" s="139">
        <f t="shared" si="54"/>
        <v>0</v>
      </c>
    </row>
    <row r="124" spans="1:20">
      <c r="A124" s="377" t="s">
        <v>62</v>
      </c>
      <c r="B124" s="372">
        <v>5</v>
      </c>
      <c r="C124" s="4">
        <v>23403</v>
      </c>
      <c r="E124" s="14">
        <v>15.47</v>
      </c>
      <c r="F124" s="100"/>
      <c r="G124" s="15">
        <f t="shared" si="49"/>
        <v>362044</v>
      </c>
      <c r="I124" s="31">
        <v>4.0000000000000001E-3</v>
      </c>
      <c r="J124" s="100"/>
      <c r="K124" s="15">
        <f t="shared" si="50"/>
        <v>1448.1759999999999</v>
      </c>
      <c r="M124" s="31">
        <f t="shared" si="51"/>
        <v>-1.9E-3</v>
      </c>
      <c r="N124" s="100"/>
      <c r="O124" s="15">
        <f t="shared" si="52"/>
        <v>-687.8836</v>
      </c>
      <c r="S124" s="138">
        <f t="shared" si="53"/>
        <v>0</v>
      </c>
      <c r="T124" s="139">
        <f t="shared" si="54"/>
        <v>0</v>
      </c>
    </row>
    <row r="125" spans="1:20">
      <c r="A125" s="377" t="s">
        <v>63</v>
      </c>
      <c r="B125" s="372">
        <v>6</v>
      </c>
      <c r="C125" s="4">
        <v>23123</v>
      </c>
      <c r="E125" s="14">
        <v>13.31</v>
      </c>
      <c r="F125" s="100"/>
      <c r="G125" s="15">
        <f t="shared" si="49"/>
        <v>307767</v>
      </c>
      <c r="I125" s="31">
        <v>4.0000000000000001E-3</v>
      </c>
      <c r="J125" s="100"/>
      <c r="K125" s="15">
        <f t="shared" si="50"/>
        <v>1231.068</v>
      </c>
      <c r="M125" s="31">
        <f t="shared" si="51"/>
        <v>-1.9E-3</v>
      </c>
      <c r="N125" s="100"/>
      <c r="O125" s="15">
        <f t="shared" si="52"/>
        <v>-584.75729999999999</v>
      </c>
      <c r="S125" s="138">
        <f t="shared" si="53"/>
        <v>0</v>
      </c>
      <c r="T125" s="139">
        <f t="shared" si="54"/>
        <v>0</v>
      </c>
    </row>
    <row r="126" spans="1:20">
      <c r="A126" s="377" t="s">
        <v>64</v>
      </c>
      <c r="B126" s="372">
        <v>7</v>
      </c>
      <c r="C126" s="4">
        <v>2646</v>
      </c>
      <c r="E126" s="14">
        <v>19.46</v>
      </c>
      <c r="F126" s="100"/>
      <c r="G126" s="15">
        <f t="shared" si="49"/>
        <v>51491</v>
      </c>
      <c r="I126" s="31">
        <v>4.0000000000000001E-3</v>
      </c>
      <c r="J126" s="100"/>
      <c r="K126" s="15">
        <f t="shared" si="50"/>
        <v>205.964</v>
      </c>
      <c r="M126" s="31">
        <f t="shared" si="51"/>
        <v>-1.9E-3</v>
      </c>
      <c r="N126" s="100"/>
      <c r="O126" s="15">
        <f t="shared" si="52"/>
        <v>-97.832899999999995</v>
      </c>
      <c r="S126" s="138">
        <f t="shared" si="53"/>
        <v>0</v>
      </c>
      <c r="T126" s="139">
        <f t="shared" si="54"/>
        <v>0</v>
      </c>
    </row>
    <row r="127" spans="1:20">
      <c r="A127" s="377" t="s">
        <v>65</v>
      </c>
      <c r="B127" s="372">
        <v>8</v>
      </c>
      <c r="C127" s="4">
        <v>2564</v>
      </c>
      <c r="E127" s="14">
        <v>17.13</v>
      </c>
      <c r="F127" s="100"/>
      <c r="G127" s="15">
        <f t="shared" si="49"/>
        <v>43921</v>
      </c>
      <c r="I127" s="31">
        <v>4.0000000000000001E-3</v>
      </c>
      <c r="J127" s="100"/>
      <c r="K127" s="15">
        <f t="shared" si="50"/>
        <v>175.684</v>
      </c>
      <c r="M127" s="31">
        <f t="shared" si="51"/>
        <v>-1.9E-3</v>
      </c>
      <c r="N127" s="100"/>
      <c r="O127" s="15">
        <f t="shared" si="52"/>
        <v>-83.4499</v>
      </c>
      <c r="S127" s="138">
        <f t="shared" si="53"/>
        <v>0</v>
      </c>
      <c r="T127" s="139">
        <f t="shared" si="54"/>
        <v>0</v>
      </c>
    </row>
    <row r="128" spans="1:20">
      <c r="A128" s="377" t="s">
        <v>66</v>
      </c>
      <c r="B128" s="372">
        <v>9</v>
      </c>
      <c r="C128" s="4">
        <v>114</v>
      </c>
      <c r="E128" s="14">
        <v>21.07</v>
      </c>
      <c r="F128" s="100"/>
      <c r="G128" s="15">
        <f t="shared" si="49"/>
        <v>2402</v>
      </c>
      <c r="I128" s="31">
        <v>4.0000000000000001E-3</v>
      </c>
      <c r="J128" s="100"/>
      <c r="K128" s="15">
        <f t="shared" si="50"/>
        <v>9.6080000000000005</v>
      </c>
      <c r="M128" s="31">
        <f t="shared" si="51"/>
        <v>-1.9E-3</v>
      </c>
      <c r="N128" s="100"/>
      <c r="O128" s="15">
        <f t="shared" si="52"/>
        <v>-4.5637999999999996</v>
      </c>
      <c r="S128" s="138">
        <f t="shared" si="53"/>
        <v>0</v>
      </c>
      <c r="T128" s="139">
        <f t="shared" si="54"/>
        <v>0</v>
      </c>
    </row>
    <row r="129" spans="1:20">
      <c r="A129" s="377" t="s">
        <v>67</v>
      </c>
      <c r="B129" s="372">
        <v>10</v>
      </c>
      <c r="C129" s="4">
        <v>3134</v>
      </c>
      <c r="E129" s="14">
        <v>23.51</v>
      </c>
      <c r="F129" s="100"/>
      <c r="G129" s="15">
        <f t="shared" si="49"/>
        <v>73680</v>
      </c>
      <c r="I129" s="31">
        <v>4.0000000000000001E-3</v>
      </c>
      <c r="J129" s="100"/>
      <c r="K129" s="15">
        <f t="shared" si="50"/>
        <v>294.72000000000003</v>
      </c>
      <c r="M129" s="31">
        <f t="shared" si="51"/>
        <v>-1.9E-3</v>
      </c>
      <c r="N129" s="100"/>
      <c r="O129" s="15">
        <f t="shared" si="52"/>
        <v>-139.99199999999999</v>
      </c>
      <c r="S129" s="138">
        <f t="shared" si="53"/>
        <v>0</v>
      </c>
      <c r="T129" s="139">
        <f t="shared" si="54"/>
        <v>0</v>
      </c>
    </row>
    <row r="130" spans="1:20">
      <c r="A130" s="377" t="s">
        <v>68</v>
      </c>
      <c r="B130" s="372">
        <v>11</v>
      </c>
      <c r="C130" s="4">
        <v>4178</v>
      </c>
      <c r="E130" s="14">
        <v>21.23</v>
      </c>
      <c r="F130" s="100"/>
      <c r="G130" s="15">
        <f t="shared" si="49"/>
        <v>88699</v>
      </c>
      <c r="I130" s="31">
        <v>4.0000000000000001E-3</v>
      </c>
      <c r="J130" s="100"/>
      <c r="K130" s="15">
        <f t="shared" si="50"/>
        <v>354.79599999999999</v>
      </c>
      <c r="M130" s="31">
        <f t="shared" si="51"/>
        <v>-1.9E-3</v>
      </c>
      <c r="N130" s="100"/>
      <c r="O130" s="15">
        <f t="shared" si="52"/>
        <v>-168.52809999999999</v>
      </c>
      <c r="S130" s="138">
        <f t="shared" si="53"/>
        <v>0</v>
      </c>
      <c r="T130" s="139">
        <f t="shared" si="54"/>
        <v>0</v>
      </c>
    </row>
    <row r="131" spans="1:20">
      <c r="A131" s="377" t="s">
        <v>69</v>
      </c>
      <c r="B131" s="372">
        <v>12</v>
      </c>
      <c r="C131" s="4">
        <v>1248</v>
      </c>
      <c r="E131" s="14">
        <v>28.3</v>
      </c>
      <c r="F131" s="100"/>
      <c r="G131" s="15">
        <f t="shared" si="49"/>
        <v>35318</v>
      </c>
      <c r="I131" s="31">
        <v>4.0000000000000001E-3</v>
      </c>
      <c r="J131" s="100"/>
      <c r="K131" s="15">
        <f t="shared" si="50"/>
        <v>141.27199999999999</v>
      </c>
      <c r="M131" s="31">
        <f t="shared" si="51"/>
        <v>-1.9E-3</v>
      </c>
      <c r="N131" s="100"/>
      <c r="O131" s="15">
        <f t="shared" si="52"/>
        <v>-67.104200000000006</v>
      </c>
      <c r="S131" s="138">
        <f t="shared" si="53"/>
        <v>0</v>
      </c>
      <c r="T131" s="139">
        <f t="shared" si="54"/>
        <v>0</v>
      </c>
    </row>
    <row r="132" spans="1:20">
      <c r="A132" s="377" t="s">
        <v>70</v>
      </c>
      <c r="B132" s="372">
        <v>13</v>
      </c>
      <c r="C132" s="4">
        <v>2456</v>
      </c>
      <c r="E132" s="14">
        <v>25.99</v>
      </c>
      <c r="F132" s="100"/>
      <c r="G132" s="15">
        <f t="shared" si="49"/>
        <v>63831</v>
      </c>
      <c r="H132" s="20"/>
      <c r="I132" s="31">
        <v>4.0000000000000001E-3</v>
      </c>
      <c r="J132" s="100"/>
      <c r="K132" s="15">
        <f t="shared" si="50"/>
        <v>255.32400000000001</v>
      </c>
      <c r="L132" s="20"/>
      <c r="M132" s="31">
        <f t="shared" si="51"/>
        <v>-1.9E-3</v>
      </c>
      <c r="N132" s="100"/>
      <c r="O132" s="15">
        <f t="shared" si="52"/>
        <v>-121.27889999999999</v>
      </c>
      <c r="S132" s="138">
        <f t="shared" si="53"/>
        <v>0</v>
      </c>
      <c r="T132" s="139">
        <f t="shared" si="54"/>
        <v>0</v>
      </c>
    </row>
    <row r="133" spans="1:20">
      <c r="A133" s="381" t="s">
        <v>71</v>
      </c>
      <c r="B133" s="372"/>
      <c r="C133" s="4"/>
      <c r="G133" s="15"/>
      <c r="K133" s="15"/>
      <c r="O133" s="15"/>
      <c r="S133" s="138"/>
      <c r="T133" s="139"/>
    </row>
    <row r="134" spans="1:20">
      <c r="A134" s="377" t="s">
        <v>64</v>
      </c>
      <c r="B134" s="372">
        <v>14</v>
      </c>
      <c r="C134" s="4">
        <v>4670</v>
      </c>
      <c r="E134" s="14">
        <v>19.46</v>
      </c>
      <c r="F134" s="100"/>
      <c r="G134" s="15">
        <f t="shared" ref="G134:G139" si="55">ROUND(E134*$C134,0)</f>
        <v>90878</v>
      </c>
      <c r="I134" s="31">
        <v>4.0000000000000001E-3</v>
      </c>
      <c r="J134" s="100"/>
      <c r="K134" s="15">
        <f t="shared" ref="K134:K139" si="56">$G134*I134</f>
        <v>363.512</v>
      </c>
      <c r="M134" s="31">
        <f t="shared" ref="M134:M139" si="57">$R$121</f>
        <v>-1.9E-3</v>
      </c>
      <c r="N134" s="100"/>
      <c r="O134" s="15">
        <f t="shared" ref="O134:O139" si="58">$G134*M134</f>
        <v>-172.66820000000001</v>
      </c>
      <c r="S134" s="138">
        <f t="shared" ref="S134:S139" si="59">G134*I134-K134</f>
        <v>0</v>
      </c>
      <c r="T134" s="139">
        <f t="shared" ref="T134:T139" si="60">G134*M134-O134</f>
        <v>0</v>
      </c>
    </row>
    <row r="135" spans="1:20">
      <c r="A135" s="377" t="s">
        <v>65</v>
      </c>
      <c r="B135" s="372">
        <v>15</v>
      </c>
      <c r="C135" s="4">
        <v>4976</v>
      </c>
      <c r="E135" s="14">
        <v>17.13</v>
      </c>
      <c r="F135" s="100"/>
      <c r="G135" s="15">
        <f t="shared" si="55"/>
        <v>85239</v>
      </c>
      <c r="I135" s="31">
        <v>4.0000000000000001E-3</v>
      </c>
      <c r="J135" s="100"/>
      <c r="K135" s="15">
        <f t="shared" si="56"/>
        <v>340.95600000000002</v>
      </c>
      <c r="M135" s="31">
        <f t="shared" si="57"/>
        <v>-1.9E-3</v>
      </c>
      <c r="N135" s="100"/>
      <c r="O135" s="15">
        <f t="shared" si="58"/>
        <v>-161.95410000000001</v>
      </c>
      <c r="S135" s="138">
        <f t="shared" si="59"/>
        <v>0</v>
      </c>
      <c r="T135" s="139">
        <f t="shared" si="60"/>
        <v>0</v>
      </c>
    </row>
    <row r="136" spans="1:20">
      <c r="A136" s="377" t="s">
        <v>67</v>
      </c>
      <c r="B136" s="372">
        <v>16</v>
      </c>
      <c r="C136" s="4">
        <v>1102</v>
      </c>
      <c r="E136" s="14">
        <v>23.51</v>
      </c>
      <c r="F136" s="100"/>
      <c r="G136" s="15">
        <f t="shared" si="55"/>
        <v>25908</v>
      </c>
      <c r="I136" s="31">
        <v>4.0000000000000001E-3</v>
      </c>
      <c r="J136" s="100"/>
      <c r="K136" s="15">
        <f t="shared" si="56"/>
        <v>103.63200000000001</v>
      </c>
      <c r="M136" s="31">
        <f t="shared" si="57"/>
        <v>-1.9E-3</v>
      </c>
      <c r="N136" s="100"/>
      <c r="O136" s="15">
        <f t="shared" si="58"/>
        <v>-49.225200000000001</v>
      </c>
      <c r="S136" s="138">
        <f t="shared" si="59"/>
        <v>0</v>
      </c>
      <c r="T136" s="139">
        <f t="shared" si="60"/>
        <v>0</v>
      </c>
    </row>
    <row r="137" spans="1:20">
      <c r="A137" s="377" t="s">
        <v>68</v>
      </c>
      <c r="B137" s="372">
        <v>17</v>
      </c>
      <c r="C137" s="4">
        <v>1570</v>
      </c>
      <c r="E137" s="14">
        <v>21.23</v>
      </c>
      <c r="F137" s="100"/>
      <c r="G137" s="15">
        <f t="shared" si="55"/>
        <v>33331</v>
      </c>
      <c r="I137" s="31">
        <v>4.0000000000000001E-3</v>
      </c>
      <c r="J137" s="100"/>
      <c r="K137" s="15">
        <f t="shared" si="56"/>
        <v>133.32400000000001</v>
      </c>
      <c r="M137" s="31">
        <f t="shared" si="57"/>
        <v>-1.9E-3</v>
      </c>
      <c r="N137" s="100"/>
      <c r="O137" s="15">
        <f t="shared" si="58"/>
        <v>-63.328899999999997</v>
      </c>
      <c r="S137" s="138">
        <f t="shared" si="59"/>
        <v>0</v>
      </c>
      <c r="T137" s="139">
        <f t="shared" si="60"/>
        <v>0</v>
      </c>
    </row>
    <row r="138" spans="1:20">
      <c r="A138" s="377" t="s">
        <v>69</v>
      </c>
      <c r="B138" s="372">
        <v>18</v>
      </c>
      <c r="C138" s="4">
        <v>9734</v>
      </c>
      <c r="E138" s="14">
        <v>28.3</v>
      </c>
      <c r="F138" s="100"/>
      <c r="G138" s="15">
        <f t="shared" si="55"/>
        <v>275472</v>
      </c>
      <c r="I138" s="31">
        <v>4.0000000000000001E-3</v>
      </c>
      <c r="J138" s="100"/>
      <c r="K138" s="15">
        <f t="shared" si="56"/>
        <v>1101.8879999999999</v>
      </c>
      <c r="M138" s="31">
        <f t="shared" si="57"/>
        <v>-1.9E-3</v>
      </c>
      <c r="N138" s="100"/>
      <c r="O138" s="15">
        <f t="shared" si="58"/>
        <v>-523.39679999999998</v>
      </c>
      <c r="S138" s="138">
        <f t="shared" si="59"/>
        <v>0</v>
      </c>
      <c r="T138" s="139">
        <f t="shared" si="60"/>
        <v>0</v>
      </c>
    </row>
    <row r="139" spans="1:20">
      <c r="A139" s="377" t="s">
        <v>70</v>
      </c>
      <c r="B139" s="372">
        <v>19</v>
      </c>
      <c r="C139" s="4">
        <v>11772</v>
      </c>
      <c r="E139" s="14">
        <v>25.99</v>
      </c>
      <c r="F139" s="100"/>
      <c r="G139" s="15">
        <f t="shared" si="55"/>
        <v>305954</v>
      </c>
      <c r="I139" s="31">
        <v>4.0000000000000001E-3</v>
      </c>
      <c r="J139" s="100"/>
      <c r="K139" s="15">
        <f t="shared" si="56"/>
        <v>1223.816</v>
      </c>
      <c r="M139" s="31">
        <f t="shared" si="57"/>
        <v>-1.9E-3</v>
      </c>
      <c r="N139" s="100"/>
      <c r="O139" s="15">
        <f t="shared" si="58"/>
        <v>-581.31259999999997</v>
      </c>
      <c r="S139" s="138">
        <f t="shared" si="59"/>
        <v>0</v>
      </c>
      <c r="T139" s="139">
        <f t="shared" si="60"/>
        <v>0</v>
      </c>
    </row>
    <row r="140" spans="1:20">
      <c r="A140" s="381" t="s">
        <v>72</v>
      </c>
      <c r="B140" s="372"/>
      <c r="C140" s="4"/>
      <c r="G140" s="92"/>
      <c r="H140" s="20"/>
      <c r="L140" s="20"/>
      <c r="S140" s="138"/>
      <c r="T140" s="139"/>
    </row>
    <row r="141" spans="1:20">
      <c r="A141" s="377" t="s">
        <v>73</v>
      </c>
      <c r="B141" s="372">
        <v>20</v>
      </c>
      <c r="C141" s="4">
        <v>0</v>
      </c>
      <c r="E141" s="14">
        <v>29.4</v>
      </c>
      <c r="F141" s="100"/>
      <c r="G141" s="15">
        <f t="shared" ref="G141:G148" si="61">ROUND(E141*$C141,0)</f>
        <v>0</v>
      </c>
      <c r="I141" s="31">
        <v>4.0000000000000001E-3</v>
      </c>
      <c r="J141" s="100"/>
      <c r="K141" s="15">
        <f t="shared" ref="K141:K148" si="62">$G141*I141</f>
        <v>0</v>
      </c>
      <c r="M141" s="31">
        <f t="shared" ref="M141:M148" si="63">$R$121</f>
        <v>-1.9E-3</v>
      </c>
      <c r="N141" s="100"/>
      <c r="O141" s="15">
        <f t="shared" ref="O141:O148" si="64">$G141*M141</f>
        <v>0</v>
      </c>
      <c r="S141" s="138">
        <f t="shared" ref="S141:S148" si="65">G141*I141-K141</f>
        <v>0</v>
      </c>
      <c r="T141" s="139">
        <f t="shared" ref="T141:T148" si="66">G141*M141-O141</f>
        <v>0</v>
      </c>
    </row>
    <row r="142" spans="1:20">
      <c r="A142" s="377" t="s">
        <v>74</v>
      </c>
      <c r="B142" s="372">
        <v>21</v>
      </c>
      <c r="C142" s="4">
        <v>265</v>
      </c>
      <c r="E142" s="14">
        <v>21.79</v>
      </c>
      <c r="F142" s="100"/>
      <c r="G142" s="15">
        <f t="shared" si="61"/>
        <v>5774</v>
      </c>
      <c r="I142" s="31">
        <v>4.0000000000000001E-3</v>
      </c>
      <c r="J142" s="100"/>
      <c r="K142" s="15">
        <f t="shared" si="62"/>
        <v>23.096</v>
      </c>
      <c r="M142" s="31">
        <f t="shared" si="63"/>
        <v>-1.9E-3</v>
      </c>
      <c r="N142" s="100"/>
      <c r="O142" s="15">
        <f t="shared" si="64"/>
        <v>-10.970599999999999</v>
      </c>
      <c r="S142" s="138">
        <f t="shared" si="65"/>
        <v>0</v>
      </c>
      <c r="T142" s="139">
        <f t="shared" si="66"/>
        <v>0</v>
      </c>
    </row>
    <row r="143" spans="1:20">
      <c r="A143" s="377" t="s">
        <v>75</v>
      </c>
      <c r="B143" s="372">
        <v>22</v>
      </c>
      <c r="C143" s="4">
        <v>110</v>
      </c>
      <c r="E143" s="14">
        <v>34.340000000000003</v>
      </c>
      <c r="F143" s="100"/>
      <c r="G143" s="15">
        <f t="shared" si="61"/>
        <v>3777</v>
      </c>
      <c r="I143" s="31">
        <v>4.0000000000000001E-3</v>
      </c>
      <c r="J143" s="100"/>
      <c r="K143" s="15">
        <f t="shared" si="62"/>
        <v>15.108000000000001</v>
      </c>
      <c r="M143" s="31">
        <f t="shared" si="63"/>
        <v>-1.9E-3</v>
      </c>
      <c r="N143" s="100"/>
      <c r="O143" s="15">
        <f t="shared" si="64"/>
        <v>-7.1763000000000003</v>
      </c>
      <c r="S143" s="138">
        <f t="shared" si="65"/>
        <v>0</v>
      </c>
      <c r="T143" s="139">
        <f t="shared" si="66"/>
        <v>0</v>
      </c>
    </row>
    <row r="144" spans="1:20">
      <c r="A144" s="377" t="s">
        <v>76</v>
      </c>
      <c r="B144" s="372">
        <v>23</v>
      </c>
      <c r="C144" s="4">
        <v>97</v>
      </c>
      <c r="E144" s="14">
        <v>27.43</v>
      </c>
      <c r="F144" s="100"/>
      <c r="G144" s="15">
        <f t="shared" si="61"/>
        <v>2661</v>
      </c>
      <c r="I144" s="31">
        <v>4.0000000000000001E-3</v>
      </c>
      <c r="J144" s="100"/>
      <c r="K144" s="15">
        <f t="shared" si="62"/>
        <v>10.644</v>
      </c>
      <c r="M144" s="31">
        <f t="shared" si="63"/>
        <v>-1.9E-3</v>
      </c>
      <c r="N144" s="100"/>
      <c r="O144" s="15">
        <f t="shared" si="64"/>
        <v>-5.0559000000000003</v>
      </c>
      <c r="S144" s="138">
        <f t="shared" si="65"/>
        <v>0</v>
      </c>
      <c r="T144" s="139">
        <f t="shared" si="66"/>
        <v>0</v>
      </c>
    </row>
    <row r="145" spans="1:20" s="163" customFormat="1">
      <c r="A145" s="377" t="s">
        <v>77</v>
      </c>
      <c r="B145" s="372">
        <v>24</v>
      </c>
      <c r="C145" s="4">
        <v>469</v>
      </c>
      <c r="D145" s="167"/>
      <c r="E145" s="14">
        <v>36.69</v>
      </c>
      <c r="F145" s="100"/>
      <c r="G145" s="15">
        <f t="shared" si="61"/>
        <v>17208</v>
      </c>
      <c r="H145" s="5"/>
      <c r="I145" s="31">
        <v>4.0000000000000001E-3</v>
      </c>
      <c r="J145" s="100"/>
      <c r="K145" s="15">
        <f t="shared" si="62"/>
        <v>68.832000000000008</v>
      </c>
      <c r="L145" s="5"/>
      <c r="M145" s="31">
        <f t="shared" si="63"/>
        <v>-1.9E-3</v>
      </c>
      <c r="N145" s="100"/>
      <c r="O145" s="15">
        <f t="shared" si="64"/>
        <v>-32.6952</v>
      </c>
      <c r="S145" s="138">
        <f t="shared" si="65"/>
        <v>0</v>
      </c>
      <c r="T145" s="139">
        <f t="shared" si="66"/>
        <v>0</v>
      </c>
    </row>
    <row r="146" spans="1:20">
      <c r="A146" s="377" t="s">
        <v>78</v>
      </c>
      <c r="B146" s="372">
        <v>25</v>
      </c>
      <c r="C146" s="4">
        <v>630</v>
      </c>
      <c r="E146" s="14">
        <v>29.72</v>
      </c>
      <c r="F146" s="100"/>
      <c r="G146" s="15">
        <f t="shared" si="61"/>
        <v>18724</v>
      </c>
      <c r="I146" s="31">
        <v>4.0000000000000001E-3</v>
      </c>
      <c r="J146" s="100"/>
      <c r="K146" s="15">
        <f t="shared" si="62"/>
        <v>74.896000000000001</v>
      </c>
      <c r="M146" s="31">
        <f t="shared" si="63"/>
        <v>-1.9E-3</v>
      </c>
      <c r="N146" s="100"/>
      <c r="O146" s="15">
        <f t="shared" si="64"/>
        <v>-35.575600000000001</v>
      </c>
      <c r="S146" s="138">
        <f t="shared" si="65"/>
        <v>0</v>
      </c>
      <c r="T146" s="139">
        <f t="shared" si="66"/>
        <v>0</v>
      </c>
    </row>
    <row r="147" spans="1:20">
      <c r="A147" s="377" t="s">
        <v>79</v>
      </c>
      <c r="B147" s="372">
        <v>26</v>
      </c>
      <c r="C147" s="4">
        <v>24</v>
      </c>
      <c r="E147" s="14">
        <v>57.58</v>
      </c>
      <c r="F147" s="100"/>
      <c r="G147" s="15">
        <f t="shared" si="61"/>
        <v>1382</v>
      </c>
      <c r="I147" s="31">
        <v>4.0000000000000001E-3</v>
      </c>
      <c r="J147" s="100"/>
      <c r="K147" s="15">
        <f t="shared" si="62"/>
        <v>5.5280000000000005</v>
      </c>
      <c r="M147" s="31">
        <f t="shared" si="63"/>
        <v>-1.9E-3</v>
      </c>
      <c r="N147" s="100"/>
      <c r="O147" s="15">
        <f t="shared" si="64"/>
        <v>-2.6257999999999999</v>
      </c>
      <c r="S147" s="138">
        <f t="shared" si="65"/>
        <v>0</v>
      </c>
      <c r="T147" s="139">
        <f t="shared" si="66"/>
        <v>0</v>
      </c>
    </row>
    <row r="148" spans="1:20">
      <c r="A148" s="377" t="s">
        <v>80</v>
      </c>
      <c r="B148" s="372">
        <v>27</v>
      </c>
      <c r="C148" s="4">
        <v>60</v>
      </c>
      <c r="E148" s="14">
        <v>49.1</v>
      </c>
      <c r="F148" s="100"/>
      <c r="G148" s="37">
        <f t="shared" si="61"/>
        <v>2946</v>
      </c>
      <c r="I148" s="31">
        <v>4.0000000000000001E-3</v>
      </c>
      <c r="J148" s="100"/>
      <c r="K148" s="37">
        <f t="shared" si="62"/>
        <v>11.784000000000001</v>
      </c>
      <c r="M148" s="31">
        <f t="shared" si="63"/>
        <v>-1.9E-3</v>
      </c>
      <c r="N148" s="100"/>
      <c r="O148" s="37">
        <f t="shared" si="64"/>
        <v>-5.5974000000000004</v>
      </c>
      <c r="S148" s="138">
        <f t="shared" si="65"/>
        <v>0</v>
      </c>
      <c r="T148" s="139">
        <f t="shared" si="66"/>
        <v>0</v>
      </c>
    </row>
    <row r="149" spans="1:20">
      <c r="A149" s="377" t="s">
        <v>81</v>
      </c>
      <c r="B149" s="374"/>
      <c r="C149" s="4">
        <v>159509</v>
      </c>
      <c r="G149" s="15">
        <f>SUM(G117:G148)</f>
        <v>2999060</v>
      </c>
      <c r="K149" s="15">
        <f>SUM(K117:K148)</f>
        <v>11996.240000000005</v>
      </c>
      <c r="O149" s="15">
        <f>SUM(O117:O148)</f>
        <v>-5698.2140000000009</v>
      </c>
    </row>
    <row r="150" spans="1:20">
      <c r="A150" s="377" t="s">
        <v>82</v>
      </c>
      <c r="B150" s="372"/>
      <c r="C150" s="13">
        <v>12440930.563737754</v>
      </c>
      <c r="G150" s="15"/>
      <c r="K150" s="15"/>
      <c r="O150" s="15"/>
    </row>
    <row r="151" spans="1:20">
      <c r="A151" s="377" t="s">
        <v>83</v>
      </c>
      <c r="B151" s="372"/>
      <c r="C151" s="36">
        <v>0</v>
      </c>
      <c r="E151" s="175"/>
      <c r="G151" s="37">
        <v>0</v>
      </c>
      <c r="I151" s="116"/>
      <c r="K151" s="37"/>
      <c r="M151" s="116"/>
      <c r="O151" s="37"/>
    </row>
    <row r="152" spans="1:20">
      <c r="A152" s="377" t="s">
        <v>84</v>
      </c>
      <c r="B152" s="372"/>
      <c r="C152" s="4">
        <v>8046</v>
      </c>
      <c r="G152" s="92"/>
    </row>
    <row r="153" spans="1:20" ht="16.5" thickBot="1">
      <c r="A153" s="377" t="s">
        <v>85</v>
      </c>
      <c r="B153" s="372"/>
      <c r="C153" s="38">
        <v>12440930.563737754</v>
      </c>
      <c r="E153" s="173"/>
      <c r="G153" s="26">
        <f>G151+G149</f>
        <v>2999060</v>
      </c>
      <c r="H153" s="20"/>
      <c r="I153" s="107"/>
      <c r="K153" s="26">
        <f>K151+K149</f>
        <v>11996.240000000005</v>
      </c>
      <c r="L153" s="20"/>
      <c r="M153" s="107"/>
      <c r="O153" s="26">
        <f>O151+O149</f>
        <v>-5698.2140000000009</v>
      </c>
    </row>
    <row r="154" spans="1:20" ht="16.5" thickTop="1">
      <c r="A154" s="160"/>
      <c r="B154" s="372"/>
      <c r="D154" s="20"/>
      <c r="G154" s="92"/>
    </row>
    <row r="155" spans="1:20">
      <c r="A155" s="376" t="s">
        <v>86</v>
      </c>
      <c r="B155" s="372"/>
      <c r="C155" s="4"/>
      <c r="G155" s="92"/>
      <c r="I155" s="108"/>
      <c r="J155" s="109"/>
      <c r="M155" s="108"/>
      <c r="N155" s="109"/>
    </row>
    <row r="156" spans="1:20">
      <c r="A156" s="377" t="s">
        <v>7</v>
      </c>
      <c r="B156" s="372"/>
      <c r="C156" s="4">
        <v>3282</v>
      </c>
      <c r="E156" s="14">
        <v>70</v>
      </c>
      <c r="F156" s="100"/>
      <c r="G156" s="15">
        <f>ROUND(E156*$C156,0)</f>
        <v>229740</v>
      </c>
      <c r="K156" s="15"/>
      <c r="O156" s="15"/>
      <c r="Q156" s="78" t="s">
        <v>290</v>
      </c>
      <c r="R156" s="11"/>
      <c r="S156" s="138"/>
      <c r="T156" s="139"/>
    </row>
    <row r="157" spans="1:20">
      <c r="A157" s="377" t="s">
        <v>87</v>
      </c>
      <c r="B157" s="372"/>
      <c r="C157" s="4">
        <v>5010201</v>
      </c>
      <c r="E157" s="14">
        <v>4.76</v>
      </c>
      <c r="F157" s="100"/>
      <c r="G157" s="15">
        <f>ROUND(E157*$C157,0)</f>
        <v>23848557</v>
      </c>
      <c r="K157" s="15"/>
      <c r="O157" s="15"/>
      <c r="Q157" s="70" t="s">
        <v>14</v>
      </c>
      <c r="R157" s="17">
        <f>O165+SUM(O441:O447)</f>
        <v>-628678.12450000003</v>
      </c>
      <c r="S157" s="138"/>
      <c r="T157" s="139"/>
    </row>
    <row r="158" spans="1:20">
      <c r="A158" s="377" t="s">
        <v>88</v>
      </c>
      <c r="B158" s="372"/>
      <c r="C158" s="4">
        <v>2097818</v>
      </c>
      <c r="E158" s="14">
        <v>15.56</v>
      </c>
      <c r="F158" s="100"/>
      <c r="G158" s="15">
        <f>ROUND(E158*$C158,0)</f>
        <v>32642048</v>
      </c>
      <c r="I158" s="31">
        <v>9.1999999999999998E-3</v>
      </c>
      <c r="J158" s="100"/>
      <c r="K158" s="15">
        <f t="shared" ref="K158" si="67">$G158*I158</f>
        <v>300306.84159999999</v>
      </c>
      <c r="M158" s="31">
        <f>$R$160</f>
        <v>-4.3E-3</v>
      </c>
      <c r="N158" s="100"/>
      <c r="O158" s="15">
        <f t="shared" ref="O158:O159" si="68">$G158*M158</f>
        <v>-140360.8064</v>
      </c>
      <c r="Q158" s="71" t="s">
        <v>16</v>
      </c>
      <c r="R158" s="18">
        <f>('Exhibit-RMP(RMM-1) page 2'!K24+'Exhibit-RMP(RMM-1) page 2'!K33*SUM('Exhibit-RMP(RMM-2)'!G442:G443,'Exhibit-RMP(RMM-2)'!G445:G447)/SUM('Exhibit-RMP(RMM-2)'!G442:G443,'Exhibit-RMP(RMM-2)'!G445:G447,'Exhibit-RMP(RMM-2)'!G450:G454))*1000</f>
        <v>-635912.81258657167</v>
      </c>
      <c r="S158" s="138">
        <f>G158*I158-K158</f>
        <v>0</v>
      </c>
      <c r="T158" s="139">
        <f>G158*M158-O158</f>
        <v>0</v>
      </c>
    </row>
    <row r="159" spans="1:20">
      <c r="A159" s="377" t="s">
        <v>89</v>
      </c>
      <c r="B159" s="372"/>
      <c r="C159" s="4">
        <v>2761958</v>
      </c>
      <c r="E159" s="14">
        <v>11.19</v>
      </c>
      <c r="F159" s="100"/>
      <c r="G159" s="15">
        <f>ROUND(E159*$C159,0)</f>
        <v>30906310</v>
      </c>
      <c r="I159" s="31">
        <v>9.1999999999999998E-3</v>
      </c>
      <c r="J159" s="100"/>
      <c r="K159" s="15">
        <f t="shared" ref="K159" si="69">$G159*I159</f>
        <v>284338.05199999997</v>
      </c>
      <c r="M159" s="31">
        <f>$R$160</f>
        <v>-4.3E-3</v>
      </c>
      <c r="N159" s="100"/>
      <c r="O159" s="15">
        <f t="shared" si="68"/>
        <v>-132897.133</v>
      </c>
      <c r="Q159" s="72" t="s">
        <v>18</v>
      </c>
      <c r="R159" s="19">
        <f>R158-R157</f>
        <v>-7234.6880865716375</v>
      </c>
      <c r="S159" s="138">
        <f>G159*I159-K159</f>
        <v>0</v>
      </c>
      <c r="T159" s="139">
        <f>G159*M159-O159</f>
        <v>0</v>
      </c>
    </row>
    <row r="160" spans="1:20">
      <c r="A160" s="377" t="s">
        <v>32</v>
      </c>
      <c r="B160" s="372"/>
      <c r="C160" s="4">
        <v>2132830</v>
      </c>
      <c r="E160" s="14">
        <v>-1.1299999999999999</v>
      </c>
      <c r="F160" s="100"/>
      <c r="G160" s="15">
        <f>ROUND(E160*$C160,0)</f>
        <v>-2410098</v>
      </c>
      <c r="H160" s="20"/>
      <c r="I160" s="31"/>
      <c r="J160" s="100"/>
      <c r="K160" s="15"/>
      <c r="L160" s="20"/>
      <c r="M160" s="31"/>
      <c r="N160" s="100"/>
      <c r="O160" s="15"/>
      <c r="Q160" s="75" t="s">
        <v>21</v>
      </c>
      <c r="R160" s="76">
        <f>ROUND(R158/SUM(G158:G159,G161:G163,G442:G443,G445:G447),$R$12)</f>
        <v>-4.3E-3</v>
      </c>
      <c r="S160" s="138"/>
      <c r="T160" s="139"/>
    </row>
    <row r="161" spans="1:20">
      <c r="A161" s="377" t="s">
        <v>27</v>
      </c>
      <c r="B161" s="372"/>
      <c r="C161" s="4">
        <v>260094535</v>
      </c>
      <c r="E161" s="117">
        <v>5.0473999999999997</v>
      </c>
      <c r="F161" s="102" t="s">
        <v>11</v>
      </c>
      <c r="G161" s="15">
        <f>ROUND(E161*$C161/100,0)</f>
        <v>13128012</v>
      </c>
      <c r="H161" s="20"/>
      <c r="I161" s="31">
        <v>9.1999999999999998E-3</v>
      </c>
      <c r="J161" s="100"/>
      <c r="K161" s="15">
        <f t="shared" ref="K161:K163" si="70">$G161*I161</f>
        <v>120777.7104</v>
      </c>
      <c r="L161" s="20"/>
      <c r="M161" s="31">
        <f>$R$160</f>
        <v>-4.3E-3</v>
      </c>
      <c r="N161" s="100"/>
      <c r="O161" s="15">
        <f t="shared" ref="O161:O163" si="71">$G161*M161</f>
        <v>-56450.4516</v>
      </c>
      <c r="S161" s="138">
        <f>G161*I161-K161</f>
        <v>0</v>
      </c>
      <c r="T161" s="139">
        <f>G161*M161-O161</f>
        <v>0</v>
      </c>
    </row>
    <row r="162" spans="1:20">
      <c r="A162" s="377" t="s">
        <v>52</v>
      </c>
      <c r="B162" s="372"/>
      <c r="C162" s="4">
        <v>625992212</v>
      </c>
      <c r="E162" s="117">
        <v>3.9510999999999998</v>
      </c>
      <c r="F162" s="102" t="s">
        <v>11</v>
      </c>
      <c r="G162" s="15">
        <f>ROUND(E162*$C162/100,0)</f>
        <v>24733578</v>
      </c>
      <c r="H162" s="20"/>
      <c r="I162" s="31">
        <v>9.1999999999999998E-3</v>
      </c>
      <c r="J162" s="100"/>
      <c r="K162" s="15">
        <f t="shared" si="70"/>
        <v>227548.91759999999</v>
      </c>
      <c r="L162" s="20"/>
      <c r="M162" s="31">
        <f>$R$160</f>
        <v>-4.3E-3</v>
      </c>
      <c r="N162" s="100"/>
      <c r="O162" s="15">
        <f t="shared" si="71"/>
        <v>-106354.3854</v>
      </c>
      <c r="S162" s="138">
        <f>G162*I162-K162</f>
        <v>0</v>
      </c>
      <c r="T162" s="139">
        <f>G162*M162-O162</f>
        <v>0</v>
      </c>
    </row>
    <row r="163" spans="1:20">
      <c r="A163" s="377" t="s">
        <v>90</v>
      </c>
      <c r="B163" s="372"/>
      <c r="C163" s="4">
        <v>1300960578.5884075</v>
      </c>
      <c r="E163" s="117">
        <v>3.4001999999999999</v>
      </c>
      <c r="F163" s="102" t="s">
        <v>11</v>
      </c>
      <c r="G163" s="15">
        <f>ROUND(E163*$C163/100,0)</f>
        <v>44235262</v>
      </c>
      <c r="H163" s="20"/>
      <c r="I163" s="31">
        <v>9.1999999999999998E-3</v>
      </c>
      <c r="J163" s="100"/>
      <c r="K163" s="15">
        <f t="shared" si="70"/>
        <v>406964.41039999999</v>
      </c>
      <c r="L163" s="20"/>
      <c r="M163" s="31">
        <f>$R$160</f>
        <v>-4.3E-3</v>
      </c>
      <c r="N163" s="100"/>
      <c r="O163" s="15">
        <f t="shared" si="71"/>
        <v>-190211.62659999999</v>
      </c>
      <c r="S163" s="138">
        <f>G163*I163-K163</f>
        <v>0</v>
      </c>
      <c r="T163" s="139">
        <f>G163*M163-O163</f>
        <v>0</v>
      </c>
    </row>
    <row r="164" spans="1:20">
      <c r="A164" s="377" t="s">
        <v>24</v>
      </c>
      <c r="B164" s="372"/>
      <c r="C164" s="23">
        <v>0</v>
      </c>
      <c r="G164" s="24">
        <v>0</v>
      </c>
      <c r="H164" s="20"/>
      <c r="K164" s="24"/>
      <c r="L164" s="20"/>
      <c r="O164" s="24"/>
    </row>
    <row r="165" spans="1:20" ht="16.5" thickBot="1">
      <c r="A165" s="377" t="s">
        <v>25</v>
      </c>
      <c r="B165" s="372"/>
      <c r="C165" s="29">
        <v>2187047325.5884075</v>
      </c>
      <c r="E165" s="174"/>
      <c r="G165" s="28">
        <f>SUM(G156:G164)</f>
        <v>167313409</v>
      </c>
      <c r="H165" s="20"/>
      <c r="I165" s="113"/>
      <c r="K165" s="28">
        <f>SUM(K156:K164)</f>
        <v>1339935.9319999998</v>
      </c>
      <c r="L165" s="20"/>
      <c r="M165" s="113"/>
      <c r="O165" s="28">
        <f>SUM(O156:O164)</f>
        <v>-626274.40300000005</v>
      </c>
    </row>
    <row r="166" spans="1:20" ht="16.5" thickTop="1">
      <c r="A166" s="160"/>
      <c r="B166" s="372"/>
      <c r="G166" s="92"/>
      <c r="H166" s="20"/>
      <c r="I166" s="108"/>
      <c r="J166" s="109"/>
      <c r="L166" s="20"/>
      <c r="M166" s="108"/>
      <c r="N166" s="109"/>
    </row>
    <row r="167" spans="1:20">
      <c r="A167" s="376" t="s">
        <v>91</v>
      </c>
      <c r="B167" s="372"/>
      <c r="C167" s="4"/>
      <c r="G167" s="92"/>
    </row>
    <row r="168" spans="1:20">
      <c r="A168" s="377" t="s">
        <v>7</v>
      </c>
      <c r="B168" s="372"/>
      <c r="C168" s="4">
        <v>1791</v>
      </c>
      <c r="E168" s="14">
        <v>259</v>
      </c>
      <c r="F168" s="100"/>
      <c r="G168" s="15">
        <f>ROUND(E168*$C168,0)</f>
        <v>463869</v>
      </c>
      <c r="K168" s="15"/>
      <c r="O168" s="15"/>
      <c r="Q168" s="11" t="s">
        <v>313</v>
      </c>
      <c r="R168" s="12"/>
      <c r="S168" s="138"/>
      <c r="T168" s="139"/>
    </row>
    <row r="169" spans="1:20">
      <c r="A169" s="377" t="s">
        <v>87</v>
      </c>
      <c r="B169" s="372"/>
      <c r="C169" s="4">
        <v>9053509</v>
      </c>
      <c r="E169" s="14">
        <v>2.2200000000000002</v>
      </c>
      <c r="F169" s="100"/>
      <c r="G169" s="15">
        <f>ROUND(E169*$C169,0)</f>
        <v>20098790</v>
      </c>
      <c r="I169" s="31"/>
      <c r="J169" s="100"/>
      <c r="K169" s="15"/>
      <c r="M169" s="31"/>
      <c r="N169" s="100"/>
      <c r="O169" s="15"/>
      <c r="Q169" s="70" t="s">
        <v>14</v>
      </c>
      <c r="R169" s="17">
        <f>O176+SUM(O450:O454)</f>
        <v>-1388537.3996000001</v>
      </c>
      <c r="S169" s="138"/>
      <c r="T169" s="139"/>
    </row>
    <row r="170" spans="1:20">
      <c r="A170" s="377" t="s">
        <v>88</v>
      </c>
      <c r="B170" s="372"/>
      <c r="C170" s="4">
        <v>3715246</v>
      </c>
      <c r="E170" s="14">
        <v>13.96</v>
      </c>
      <c r="F170" s="100"/>
      <c r="G170" s="15">
        <f>ROUND(E170*$C170,0)</f>
        <v>51864834</v>
      </c>
      <c r="I170" s="31">
        <v>1.12E-2</v>
      </c>
      <c r="J170" s="100"/>
      <c r="K170" s="15">
        <f t="shared" ref="K170" si="72">$G170*I170</f>
        <v>580886.14080000005</v>
      </c>
      <c r="M170" s="31">
        <f>$R$172</f>
        <v>-5.1999999999999998E-3</v>
      </c>
      <c r="N170" s="100"/>
      <c r="O170" s="15">
        <f t="shared" ref="O170:O174" si="73">$G170*M170</f>
        <v>-269697.13679999998</v>
      </c>
      <c r="Q170" s="71" t="s">
        <v>16</v>
      </c>
      <c r="R170" s="18">
        <f>('Exhibit-RMP(RMM-1) page 2'!K25+'Exhibit-RMP(RMM-1) page 2'!K33*SUM('Exhibit-RMP(RMM-2)'!G450:G454)/SUM('Exhibit-RMP(RMM-2)'!G442:G443,'Exhibit-RMP(RMM-2)'!G445:G447,'Exhibit-RMP(RMM-2)'!G450:G454))*1000</f>
        <v>-1399266.6929860481</v>
      </c>
      <c r="S170" s="138">
        <f>G170*I170-K170</f>
        <v>0</v>
      </c>
      <c r="T170" s="139">
        <f>G170*M170-O170</f>
        <v>0</v>
      </c>
    </row>
    <row r="171" spans="1:20">
      <c r="A171" s="377" t="s">
        <v>89</v>
      </c>
      <c r="B171" s="372"/>
      <c r="C171" s="4">
        <v>5150021</v>
      </c>
      <c r="E171" s="14">
        <v>9.4700000000000006</v>
      </c>
      <c r="F171" s="100"/>
      <c r="G171" s="15">
        <f>ROUND(E171*$C171,0)</f>
        <v>48770699</v>
      </c>
      <c r="I171" s="31">
        <v>1.12E-2</v>
      </c>
      <c r="J171" s="100"/>
      <c r="K171" s="15">
        <f t="shared" ref="K171:K174" si="74">$G171*I171</f>
        <v>546231.82880000002</v>
      </c>
      <c r="M171" s="31">
        <f>$R$172</f>
        <v>-5.1999999999999998E-3</v>
      </c>
      <c r="N171" s="100"/>
      <c r="O171" s="15">
        <f t="shared" si="73"/>
        <v>-253607.6348</v>
      </c>
      <c r="Q171" s="72" t="s">
        <v>18</v>
      </c>
      <c r="R171" s="19">
        <f>R170-R169</f>
        <v>-10729.293386047939</v>
      </c>
      <c r="S171" s="138">
        <f>G171*I171-K171</f>
        <v>0</v>
      </c>
      <c r="T171" s="139">
        <f>G171*M171-O171</f>
        <v>0</v>
      </c>
    </row>
    <row r="172" spans="1:20">
      <c r="A172" s="377" t="s">
        <v>92</v>
      </c>
      <c r="B172" s="372"/>
      <c r="C172" s="4">
        <v>507349132</v>
      </c>
      <c r="E172" s="118">
        <v>4.6531000000000002</v>
      </c>
      <c r="F172" s="102" t="s">
        <v>11</v>
      </c>
      <c r="G172" s="15">
        <f>ROUND(E172*$C172/100,0)</f>
        <v>23607462</v>
      </c>
      <c r="I172" s="31">
        <v>1.12E-2</v>
      </c>
      <c r="J172" s="100"/>
      <c r="K172" s="15">
        <f t="shared" si="74"/>
        <v>264403.57439999998</v>
      </c>
      <c r="M172" s="31">
        <f>$R$172</f>
        <v>-5.1999999999999998E-3</v>
      </c>
      <c r="N172" s="100"/>
      <c r="O172" s="15">
        <f t="shared" si="73"/>
        <v>-122758.8024</v>
      </c>
      <c r="Q172" s="75" t="s">
        <v>21</v>
      </c>
      <c r="R172" s="82">
        <f>ROUND(R170/SUM(G170:G174,G450:G454),$R$12)+R175</f>
        <v>-5.1999999999999998E-3</v>
      </c>
      <c r="S172" s="138">
        <f>G172*I172-K172</f>
        <v>0</v>
      </c>
      <c r="T172" s="139">
        <f>G172*M172-O172</f>
        <v>0</v>
      </c>
    </row>
    <row r="173" spans="1:20">
      <c r="A173" s="377" t="s">
        <v>93</v>
      </c>
      <c r="B173" s="372"/>
      <c r="C173" s="4">
        <v>1382941034</v>
      </c>
      <c r="E173" s="118">
        <v>3.4988999999999999</v>
      </c>
      <c r="F173" s="102" t="s">
        <v>11</v>
      </c>
      <c r="G173" s="15">
        <f>ROUND(E173*$C173/100,0)</f>
        <v>48387724</v>
      </c>
      <c r="I173" s="31">
        <v>1.12E-2</v>
      </c>
      <c r="J173" s="100"/>
      <c r="K173" s="15">
        <f t="shared" si="74"/>
        <v>541942.50879999995</v>
      </c>
      <c r="M173" s="31">
        <f>$R$172</f>
        <v>-5.1999999999999998E-3</v>
      </c>
      <c r="N173" s="100"/>
      <c r="O173" s="15">
        <f t="shared" si="73"/>
        <v>-251616.1648</v>
      </c>
      <c r="Q173" s="32" t="s">
        <v>45</v>
      </c>
      <c r="R173" s="33">
        <f>'Exhibit-RMP(RMM-1) page 1'!S49</f>
        <v>7700.6162854928007</v>
      </c>
      <c r="S173" s="138">
        <f>G173*I173-K173</f>
        <v>0</v>
      </c>
      <c r="T173" s="139">
        <f>G173*M173-O173</f>
        <v>0</v>
      </c>
    </row>
    <row r="174" spans="1:20">
      <c r="A174" s="377" t="s">
        <v>90</v>
      </c>
      <c r="B174" s="372"/>
      <c r="C174" s="4">
        <v>3137145374.7653074</v>
      </c>
      <c r="E174" s="387">
        <v>2.9224999999999999</v>
      </c>
      <c r="F174" s="102" t="s">
        <v>11</v>
      </c>
      <c r="G174" s="15">
        <f>ROUND(E174*$C174/100,0)</f>
        <v>91683074</v>
      </c>
      <c r="I174" s="31">
        <v>1.12E-2</v>
      </c>
      <c r="J174" s="100"/>
      <c r="K174" s="15">
        <f t="shared" si="74"/>
        <v>1026850.4288</v>
      </c>
      <c r="M174" s="31">
        <f>$R$172</f>
        <v>-5.1999999999999998E-3</v>
      </c>
      <c r="N174" s="100"/>
      <c r="O174" s="15">
        <f t="shared" si="73"/>
        <v>-476751.98479999998</v>
      </c>
      <c r="Q174" s="32" t="s">
        <v>46</v>
      </c>
      <c r="R174" s="33">
        <f>'Exhibit-RMP(RMM-1) page 2'!K49</f>
        <v>-6542.8373956631322</v>
      </c>
      <c r="S174" s="138">
        <f>G174*I174-K174</f>
        <v>0</v>
      </c>
      <c r="T174" s="139">
        <f>G174*M174-O174</f>
        <v>0</v>
      </c>
    </row>
    <row r="175" spans="1:20">
      <c r="A175" s="377" t="s">
        <v>24</v>
      </c>
      <c r="B175" s="372"/>
      <c r="C175" s="23">
        <v>0</v>
      </c>
      <c r="G175" s="24">
        <v>0</v>
      </c>
      <c r="K175" s="24"/>
      <c r="O175" s="24"/>
      <c r="Q175" s="34" t="s">
        <v>26</v>
      </c>
      <c r="R175" s="39">
        <v>0</v>
      </c>
      <c r="S175" s="138"/>
      <c r="T175" s="139"/>
    </row>
    <row r="176" spans="1:20" ht="16.5" thickBot="1">
      <c r="A176" s="377" t="s">
        <v>25</v>
      </c>
      <c r="B176" s="372"/>
      <c r="C176" s="29">
        <v>5027435540.7653065</v>
      </c>
      <c r="E176" s="174"/>
      <c r="G176" s="28">
        <f>SUM(G168:G175)</f>
        <v>284876452</v>
      </c>
      <c r="I176" s="113"/>
      <c r="K176" s="28">
        <f>SUM(K168:K175)</f>
        <v>2960314.4816000001</v>
      </c>
      <c r="M176" s="113"/>
      <c r="O176" s="28">
        <f>SUM(O168:O175)</f>
        <v>-1374431.7236000001</v>
      </c>
      <c r="S176" s="138"/>
      <c r="T176" s="139"/>
    </row>
    <row r="177" spans="1:20" ht="16.5" thickTop="1">
      <c r="A177" s="160"/>
      <c r="B177" s="372"/>
      <c r="C177" s="4"/>
      <c r="G177" s="92"/>
    </row>
    <row r="178" spans="1:20">
      <c r="A178" s="376" t="s">
        <v>302</v>
      </c>
      <c r="B178" s="372"/>
      <c r="C178" s="4"/>
      <c r="E178" s="30"/>
      <c r="F178" s="115"/>
      <c r="G178" s="92"/>
      <c r="I178" s="108"/>
      <c r="J178" s="109"/>
      <c r="M178" s="108"/>
      <c r="N178" s="109"/>
    </row>
    <row r="179" spans="1:20">
      <c r="A179" s="377" t="s">
        <v>7</v>
      </c>
      <c r="B179" s="372"/>
      <c r="C179" s="4">
        <v>108</v>
      </c>
      <c r="E179" s="14">
        <v>259</v>
      </c>
      <c r="F179" s="100"/>
      <c r="G179" s="15">
        <f>ROUND(E179*$C179,0)</f>
        <v>27972</v>
      </c>
      <c r="K179" s="15"/>
      <c r="O179" s="15"/>
      <c r="Q179" s="70" t="s">
        <v>14</v>
      </c>
      <c r="R179" s="17">
        <f>O184</f>
        <v>-15907.369999999999</v>
      </c>
      <c r="S179" s="138"/>
      <c r="T179" s="139"/>
    </row>
    <row r="180" spans="1:20">
      <c r="A180" s="377" t="s">
        <v>94</v>
      </c>
      <c r="B180" s="372"/>
      <c r="C180" s="4">
        <v>235118</v>
      </c>
      <c r="E180" s="14">
        <v>2.2200000000000002</v>
      </c>
      <c r="F180" s="100"/>
      <c r="G180" s="15">
        <f>ROUND(E180*$C180,0)</f>
        <v>521962</v>
      </c>
      <c r="I180" s="106"/>
      <c r="J180" s="115"/>
      <c r="K180" s="15"/>
      <c r="M180" s="106"/>
      <c r="N180" s="115"/>
      <c r="O180" s="15"/>
      <c r="Q180" s="71" t="s">
        <v>16</v>
      </c>
      <c r="R180" s="18">
        <f>'Exhibit-RMP(RMM-1) page 2'!K26*1000</f>
        <v>-15960.090421032646</v>
      </c>
      <c r="S180" s="138"/>
      <c r="T180" s="139"/>
    </row>
    <row r="181" spans="1:20">
      <c r="A181" s="377" t="s">
        <v>95</v>
      </c>
      <c r="B181" s="372"/>
      <c r="C181" s="4">
        <v>23805248</v>
      </c>
      <c r="E181" s="112">
        <v>8.6029</v>
      </c>
      <c r="F181" s="102" t="s">
        <v>11</v>
      </c>
      <c r="G181" s="15">
        <f>ROUND(E181*$C181/100,0)</f>
        <v>2047942</v>
      </c>
      <c r="I181" s="31">
        <v>1.24E-2</v>
      </c>
      <c r="J181" s="102"/>
      <c r="K181" s="15">
        <f t="shared" ref="K181" si="75">$G181*I181</f>
        <v>25394.480799999998</v>
      </c>
      <c r="M181" s="31">
        <f>$R$182</f>
        <v>-5.7999999999999996E-3</v>
      </c>
      <c r="N181" s="102"/>
      <c r="O181" s="15">
        <f t="shared" ref="O181:O182" si="76">$G181*M181</f>
        <v>-11878.063599999999</v>
      </c>
      <c r="Q181" s="72" t="s">
        <v>18</v>
      </c>
      <c r="R181" s="19">
        <f>R180-R179</f>
        <v>-52.720421032647209</v>
      </c>
      <c r="S181" s="138">
        <f>G181*I181-K181</f>
        <v>0</v>
      </c>
      <c r="T181" s="139">
        <f>G181*M181-O181</f>
        <v>0</v>
      </c>
    </row>
    <row r="182" spans="1:20">
      <c r="A182" s="377" t="s">
        <v>90</v>
      </c>
      <c r="B182" s="372"/>
      <c r="C182" s="4">
        <v>18785533.425473027</v>
      </c>
      <c r="E182" s="112">
        <v>3.6981000000000002</v>
      </c>
      <c r="F182" s="102" t="s">
        <v>11</v>
      </c>
      <c r="G182" s="15">
        <f>ROUND(E182*$C182/100,0)</f>
        <v>694708</v>
      </c>
      <c r="I182" s="31">
        <v>1.24E-2</v>
      </c>
      <c r="J182" s="102"/>
      <c r="K182" s="15">
        <f t="shared" ref="K182" si="77">$G182*I182</f>
        <v>8614.3791999999994</v>
      </c>
      <c r="M182" s="31">
        <f>$R$182</f>
        <v>-5.7999999999999996E-3</v>
      </c>
      <c r="N182" s="102"/>
      <c r="O182" s="15">
        <f t="shared" si="76"/>
        <v>-4029.3063999999999</v>
      </c>
      <c r="Q182" s="75" t="s">
        <v>21</v>
      </c>
      <c r="R182" s="76">
        <f>ROUND(R180/SUM(G181:G182),$R$12)</f>
        <v>-5.7999999999999996E-3</v>
      </c>
      <c r="S182" s="138">
        <f>G182*I182-K182</f>
        <v>0</v>
      </c>
      <c r="T182" s="139">
        <f>G182*M182-O182</f>
        <v>0</v>
      </c>
    </row>
    <row r="183" spans="1:20">
      <c r="A183" s="377" t="s">
        <v>24</v>
      </c>
      <c r="B183" s="372"/>
      <c r="C183" s="23">
        <v>0</v>
      </c>
      <c r="G183" s="24">
        <v>0</v>
      </c>
      <c r="K183" s="24"/>
      <c r="O183" s="24"/>
      <c r="S183" s="138"/>
      <c r="T183" s="139"/>
    </row>
    <row r="184" spans="1:20" ht="16.5" thickBot="1">
      <c r="A184" s="377" t="s">
        <v>25</v>
      </c>
      <c r="B184" s="372"/>
      <c r="C184" s="29">
        <v>42590781.425473027</v>
      </c>
      <c r="E184" s="174"/>
      <c r="G184" s="28">
        <f>SUM(G179:G183)</f>
        <v>3292584</v>
      </c>
      <c r="I184" s="113"/>
      <c r="K184" s="28">
        <f>SUM(K179:K183)</f>
        <v>34008.86</v>
      </c>
      <c r="M184" s="113"/>
      <c r="O184" s="28">
        <f>SUM(O179:O183)</f>
        <v>-15907.369999999999</v>
      </c>
    </row>
    <row r="185" spans="1:20" ht="16.5" thickTop="1">
      <c r="A185" s="160"/>
      <c r="B185" s="372"/>
      <c r="C185" s="4"/>
      <c r="G185" s="92"/>
    </row>
    <row r="186" spans="1:20">
      <c r="A186" s="376" t="s">
        <v>96</v>
      </c>
      <c r="B186" s="372"/>
      <c r="G186" s="92"/>
    </row>
    <row r="187" spans="1:20">
      <c r="A187" s="377" t="s">
        <v>97</v>
      </c>
      <c r="B187" s="372"/>
      <c r="C187" s="4">
        <v>6</v>
      </c>
      <c r="E187" s="105">
        <v>125</v>
      </c>
      <c r="F187" s="20"/>
      <c r="G187" s="15">
        <f>ROUND(E187*$C187,0)</f>
        <v>750</v>
      </c>
      <c r="I187" s="106"/>
      <c r="J187" s="20"/>
      <c r="K187" s="15"/>
      <c r="M187" s="106"/>
      <c r="N187" s="20"/>
      <c r="O187" s="15"/>
      <c r="Q187" s="70" t="s">
        <v>14</v>
      </c>
      <c r="R187" s="17">
        <f>O200+O216</f>
        <v>-55065.636599999991</v>
      </c>
      <c r="S187" s="138"/>
      <c r="T187" s="139"/>
    </row>
    <row r="188" spans="1:20">
      <c r="A188" s="377" t="s">
        <v>98</v>
      </c>
      <c r="B188" s="372"/>
      <c r="C188" s="4">
        <v>2778.3333333333335</v>
      </c>
      <c r="E188" s="105">
        <v>38</v>
      </c>
      <c r="F188" s="20"/>
      <c r="G188" s="15">
        <f>ROUND(E188*$C188,0)</f>
        <v>105577</v>
      </c>
      <c r="I188" s="106"/>
      <c r="J188" s="20"/>
      <c r="K188" s="15"/>
      <c r="M188" s="106"/>
      <c r="N188" s="20"/>
      <c r="O188" s="15"/>
      <c r="Q188" s="71" t="s">
        <v>16</v>
      </c>
      <c r="R188" s="18">
        <f>'Exhibit-RMP(RMM-1) page 2'!K30*1000</f>
        <v>-54646.145840455792</v>
      </c>
      <c r="S188" s="138"/>
      <c r="T188" s="139"/>
    </row>
    <row r="189" spans="1:20">
      <c r="A189" s="377" t="s">
        <v>99</v>
      </c>
      <c r="B189" s="372"/>
      <c r="C189" s="4">
        <v>12565</v>
      </c>
      <c r="E189" s="105">
        <v>14</v>
      </c>
      <c r="F189" s="20"/>
      <c r="G189" s="15">
        <f>ROUND(E189*$C189,0)</f>
        <v>175910</v>
      </c>
      <c r="I189" s="106"/>
      <c r="J189" s="20"/>
      <c r="K189" s="15"/>
      <c r="M189" s="106"/>
      <c r="N189" s="20"/>
      <c r="O189" s="15"/>
      <c r="Q189" s="72" t="s">
        <v>18</v>
      </c>
      <c r="R189" s="19">
        <f>R188-R187</f>
        <v>419.49075954419823</v>
      </c>
      <c r="S189" s="138"/>
      <c r="T189" s="139"/>
    </row>
    <row r="190" spans="1:20">
      <c r="A190" s="377" t="s">
        <v>100</v>
      </c>
      <c r="B190" s="372"/>
      <c r="C190" s="4">
        <v>323633</v>
      </c>
      <c r="E190" s="105">
        <v>7.33</v>
      </c>
      <c r="F190" s="20"/>
      <c r="G190" s="15">
        <f>ROUND(E190*$C190,0)</f>
        <v>2372230</v>
      </c>
      <c r="I190" s="106">
        <v>8.2000000000000007E-3</v>
      </c>
      <c r="J190" s="20"/>
      <c r="K190" s="15">
        <f t="shared" ref="K190" si="78">$G190*I190</f>
        <v>19452.286</v>
      </c>
      <c r="M190" s="106">
        <f>$R$190</f>
        <v>-3.8999999999999998E-3</v>
      </c>
      <c r="N190" s="20"/>
      <c r="O190" s="15">
        <f t="shared" ref="O190" si="79">$G190*M190</f>
        <v>-9251.6970000000001</v>
      </c>
      <c r="Q190" s="75" t="s">
        <v>21</v>
      </c>
      <c r="R190" s="76">
        <f>ROUND(R188/SUM(G190,G192:G193,G197,G206,G208:G209,G213),$R$12)</f>
        <v>-3.8999999999999998E-3</v>
      </c>
      <c r="S190" s="138">
        <f>G190*I190-K190</f>
        <v>0</v>
      </c>
      <c r="T190" s="139">
        <f>G190*M190-O190</f>
        <v>0</v>
      </c>
    </row>
    <row r="191" spans="1:20">
      <c r="A191" s="377" t="s">
        <v>32</v>
      </c>
      <c r="B191" s="372"/>
      <c r="C191" s="4">
        <v>10067</v>
      </c>
      <c r="E191" s="105">
        <v>-2.0499999999999998</v>
      </c>
      <c r="F191" s="20"/>
      <c r="G191" s="15">
        <f>ROUND(E191*$C191,0)</f>
        <v>-20637</v>
      </c>
      <c r="I191" s="106"/>
      <c r="J191" s="20"/>
      <c r="K191" s="15"/>
      <c r="M191" s="106"/>
      <c r="N191" s="20"/>
      <c r="O191" s="15"/>
      <c r="S191" s="138">
        <f>G191*I191-K191</f>
        <v>0</v>
      </c>
      <c r="T191" s="139">
        <f>G191*M191-O191</f>
        <v>0</v>
      </c>
    </row>
    <row r="192" spans="1:20">
      <c r="A192" s="377" t="s">
        <v>101</v>
      </c>
      <c r="B192" s="372"/>
      <c r="C192" s="4">
        <v>71130178</v>
      </c>
      <c r="E192" s="112">
        <v>7.2971000000000004</v>
      </c>
      <c r="F192" s="102" t="s">
        <v>11</v>
      </c>
      <c r="G192" s="15">
        <f>ROUND(E192*$C192/100,0)</f>
        <v>5190440</v>
      </c>
      <c r="I192" s="106">
        <v>8.2000000000000007E-3</v>
      </c>
      <c r="J192" s="102"/>
      <c r="K192" s="15">
        <f t="shared" ref="K192:K193" si="80">$G192*I192</f>
        <v>42561.608</v>
      </c>
      <c r="M192" s="106">
        <f>$R$190</f>
        <v>-3.8999999999999998E-3</v>
      </c>
      <c r="N192" s="102"/>
      <c r="O192" s="15">
        <f t="shared" ref="O192:O193" si="81">$G192*M192</f>
        <v>-20242.716</v>
      </c>
      <c r="S192" s="138"/>
      <c r="T192" s="139"/>
    </row>
    <row r="193" spans="1:20">
      <c r="A193" s="377" t="s">
        <v>102</v>
      </c>
      <c r="B193" s="372"/>
      <c r="C193" s="23">
        <v>51830436</v>
      </c>
      <c r="E193" s="112">
        <v>5.3936000000000002</v>
      </c>
      <c r="F193" s="102" t="s">
        <v>11</v>
      </c>
      <c r="G193" s="24">
        <f>ROUND(E193*$C193/100,0)</f>
        <v>2795526</v>
      </c>
      <c r="I193" s="106">
        <v>8.2000000000000007E-3</v>
      </c>
      <c r="J193" s="102"/>
      <c r="K193" s="24">
        <f t="shared" si="80"/>
        <v>22923.313200000001</v>
      </c>
      <c r="M193" s="106">
        <f>$R$190</f>
        <v>-3.8999999999999998E-3</v>
      </c>
      <c r="N193" s="102"/>
      <c r="O193" s="24">
        <f t="shared" si="81"/>
        <v>-10902.5514</v>
      </c>
      <c r="S193" s="138"/>
      <c r="T193" s="139"/>
    </row>
    <row r="194" spans="1:20">
      <c r="A194" s="377" t="s">
        <v>103</v>
      </c>
      <c r="B194" s="372"/>
      <c r="C194" s="40">
        <v>122960614</v>
      </c>
      <c r="E194" s="176"/>
      <c r="G194" s="24">
        <f>SUM(G187:G193)</f>
        <v>10619796</v>
      </c>
      <c r="I194" s="126"/>
      <c r="K194" s="24">
        <f>SUM(K187:K193)</f>
        <v>84937.207200000004</v>
      </c>
      <c r="M194" s="126"/>
      <c r="O194" s="24">
        <f>SUM(O187:O193)</f>
        <v>-40396.964399999997</v>
      </c>
    </row>
    <row r="195" spans="1:20">
      <c r="A195" s="377" t="s">
        <v>104</v>
      </c>
      <c r="B195" s="372"/>
      <c r="C195" s="4"/>
      <c r="G195" s="92"/>
      <c r="I195" s="126"/>
      <c r="M195" s="126"/>
    </row>
    <row r="196" spans="1:20">
      <c r="A196" s="377" t="s">
        <v>436</v>
      </c>
      <c r="B196" s="372"/>
      <c r="C196" s="16">
        <v>5886</v>
      </c>
      <c r="E196" s="20">
        <v>14</v>
      </c>
      <c r="F196" s="20"/>
      <c r="G196" s="21">
        <f>ROUND(E196*$C196,0)</f>
        <v>82404</v>
      </c>
      <c r="I196" s="121"/>
      <c r="J196" s="20"/>
      <c r="K196" s="21"/>
      <c r="M196" s="121"/>
      <c r="N196" s="20"/>
      <c r="O196" s="21"/>
    </row>
    <row r="197" spans="1:20">
      <c r="A197" s="377" t="s">
        <v>105</v>
      </c>
      <c r="B197" s="372"/>
      <c r="C197" s="23">
        <v>50172778</v>
      </c>
      <c r="E197" s="30">
        <v>4.9983000000000004</v>
      </c>
      <c r="F197" s="102" t="s">
        <v>11</v>
      </c>
      <c r="G197" s="24">
        <f>ROUND(E197*$C197/100,0)</f>
        <v>2507786</v>
      </c>
      <c r="I197" s="121">
        <v>8.2000000000000007E-3</v>
      </c>
      <c r="J197" s="102"/>
      <c r="K197" s="24">
        <f t="shared" ref="K197" si="82">$G197*I197</f>
        <v>20563.845200000003</v>
      </c>
      <c r="M197" s="106">
        <f>$R$190</f>
        <v>-3.8999999999999998E-3</v>
      </c>
      <c r="N197" s="102"/>
      <c r="O197" s="24">
        <f t="shared" ref="O197" si="83">$G197*M197</f>
        <v>-9780.3653999999988</v>
      </c>
      <c r="S197" s="138">
        <f>G197*I197-K197</f>
        <v>0</v>
      </c>
      <c r="T197" s="139">
        <f>G197*M197-O197</f>
        <v>0</v>
      </c>
    </row>
    <row r="198" spans="1:20">
      <c r="A198" s="377" t="s">
        <v>106</v>
      </c>
      <c r="B198" s="372"/>
      <c r="C198" s="23">
        <v>50172778</v>
      </c>
      <c r="E198" s="176"/>
      <c r="G198" s="24">
        <f>G196+G197</f>
        <v>2590190</v>
      </c>
      <c r="I198" s="126"/>
      <c r="K198" s="24">
        <f>K196+K197</f>
        <v>20563.845200000003</v>
      </c>
      <c r="M198" s="126"/>
      <c r="O198" s="24">
        <f>O196+O197</f>
        <v>-9780.3653999999988</v>
      </c>
    </row>
    <row r="199" spans="1:20">
      <c r="A199" s="377" t="s">
        <v>24</v>
      </c>
      <c r="B199" s="372"/>
      <c r="C199" s="23">
        <v>0</v>
      </c>
      <c r="G199" s="24">
        <v>0</v>
      </c>
      <c r="I199" s="126"/>
      <c r="K199" s="24"/>
      <c r="M199" s="126"/>
      <c r="O199" s="24"/>
    </row>
    <row r="200" spans="1:20" ht="16.5" thickBot="1">
      <c r="A200" s="377" t="s">
        <v>107</v>
      </c>
      <c r="B200" s="372"/>
      <c r="C200" s="29">
        <v>173133392</v>
      </c>
      <c r="E200" s="174"/>
      <c r="G200" s="28">
        <f>G198+G194+G199</f>
        <v>13209986</v>
      </c>
      <c r="I200" s="113"/>
      <c r="K200" s="28">
        <f>K198+K194+K199</f>
        <v>105501.05240000002</v>
      </c>
      <c r="M200" s="113"/>
      <c r="O200" s="28">
        <f>O198+O194+O199</f>
        <v>-50177.329799999992</v>
      </c>
    </row>
    <row r="201" spans="1:20" ht="16.5" thickTop="1">
      <c r="A201" s="160"/>
      <c r="B201" s="372"/>
      <c r="C201" s="4"/>
      <c r="G201" s="92"/>
      <c r="I201" s="108"/>
      <c r="J201" s="109"/>
      <c r="M201" s="108"/>
      <c r="N201" s="109"/>
    </row>
    <row r="202" spans="1:20">
      <c r="A202" s="376" t="s">
        <v>108</v>
      </c>
      <c r="B202" s="372"/>
      <c r="C202" s="4"/>
      <c r="G202" s="92"/>
    </row>
    <row r="203" spans="1:20">
      <c r="A203" s="377" t="s">
        <v>97</v>
      </c>
      <c r="B203" s="372"/>
      <c r="C203" s="4">
        <v>5</v>
      </c>
      <c r="E203" s="105">
        <v>125</v>
      </c>
      <c r="F203" s="20"/>
      <c r="G203" s="15">
        <f>ROUND(E203*$C203,0)</f>
        <v>625</v>
      </c>
      <c r="K203" s="15"/>
      <c r="O203" s="15"/>
    </row>
    <row r="204" spans="1:20">
      <c r="A204" s="377" t="s">
        <v>98</v>
      </c>
      <c r="B204" s="372"/>
      <c r="C204" s="4">
        <v>256</v>
      </c>
      <c r="E204" s="105">
        <v>38</v>
      </c>
      <c r="F204" s="20"/>
      <c r="G204" s="15">
        <f>ROUND(E204*$C204,0)</f>
        <v>9728</v>
      </c>
      <c r="I204" s="106"/>
      <c r="J204" s="20"/>
      <c r="K204" s="15"/>
      <c r="M204" s="106"/>
      <c r="N204" s="20"/>
      <c r="O204" s="15"/>
    </row>
    <row r="205" spans="1:20">
      <c r="A205" s="377" t="s">
        <v>109</v>
      </c>
      <c r="B205" s="372"/>
      <c r="C205" s="16">
        <v>1143</v>
      </c>
      <c r="E205" s="105">
        <v>14</v>
      </c>
      <c r="F205" s="20"/>
      <c r="G205" s="15">
        <f>ROUND(E205*$C205,0)</f>
        <v>16002</v>
      </c>
      <c r="I205" s="106"/>
      <c r="J205" s="20"/>
      <c r="K205" s="15"/>
      <c r="M205" s="106"/>
      <c r="N205" s="20"/>
      <c r="O205" s="15"/>
    </row>
    <row r="206" spans="1:20">
      <c r="A206" s="377" t="s">
        <v>100</v>
      </c>
      <c r="B206" s="372"/>
      <c r="C206" s="16">
        <v>37541</v>
      </c>
      <c r="E206" s="105">
        <v>7.33</v>
      </c>
      <c r="F206" s="20"/>
      <c r="G206" s="15">
        <f>ROUND(E206*$C206,0)</f>
        <v>275176</v>
      </c>
      <c r="I206" s="106">
        <v>8.2000000000000007E-3</v>
      </c>
      <c r="J206" s="20"/>
      <c r="K206" s="15">
        <f t="shared" ref="K206" si="84">$G206*I206</f>
        <v>2256.4432000000002</v>
      </c>
      <c r="M206" s="106">
        <f>$R$190</f>
        <v>-3.8999999999999998E-3</v>
      </c>
      <c r="N206" s="20"/>
      <c r="O206" s="15">
        <f t="shared" ref="O206" si="85">$G206*M206</f>
        <v>-1073.1864</v>
      </c>
      <c r="S206" s="138">
        <f>G206*I206-K206</f>
        <v>0</v>
      </c>
      <c r="T206" s="139">
        <f>G206*M206-O206</f>
        <v>0</v>
      </c>
    </row>
    <row r="207" spans="1:20">
      <c r="A207" s="377" t="s">
        <v>110</v>
      </c>
      <c r="B207" s="372"/>
      <c r="C207" s="16">
        <v>1037</v>
      </c>
      <c r="E207" s="105">
        <v>-2.0499999999999998</v>
      </c>
      <c r="F207" s="20"/>
      <c r="G207" s="15">
        <f>ROUND(E207*$C207,0)</f>
        <v>-2126</v>
      </c>
      <c r="I207" s="106"/>
      <c r="J207" s="20"/>
      <c r="K207" s="15"/>
      <c r="M207" s="106"/>
      <c r="N207" s="20"/>
      <c r="O207" s="15"/>
      <c r="S207" s="138"/>
      <c r="T207" s="139"/>
    </row>
    <row r="208" spans="1:20">
      <c r="A208" s="377" t="s">
        <v>95</v>
      </c>
      <c r="B208" s="372"/>
      <c r="C208" s="16">
        <v>2262299</v>
      </c>
      <c r="E208" s="112">
        <v>14.416399999999999</v>
      </c>
      <c r="F208" s="102" t="s">
        <v>11</v>
      </c>
      <c r="G208" s="15">
        <f>ROUND(E208*$C208/100,0)</f>
        <v>326142</v>
      </c>
      <c r="I208" s="106">
        <v>8.2000000000000007E-3</v>
      </c>
      <c r="J208" s="102"/>
      <c r="K208" s="15">
        <f t="shared" ref="K208:K209" si="86">$G208*I208</f>
        <v>2674.3644000000004</v>
      </c>
      <c r="M208" s="106">
        <f>$R$190</f>
        <v>-3.8999999999999998E-3</v>
      </c>
      <c r="N208" s="102"/>
      <c r="O208" s="15">
        <f t="shared" ref="O208:O209" si="87">$G208*M208</f>
        <v>-1271.9538</v>
      </c>
      <c r="S208" s="138">
        <f>G208*I208-K208</f>
        <v>0</v>
      </c>
      <c r="T208" s="139">
        <f>G208*M208-O208</f>
        <v>0</v>
      </c>
    </row>
    <row r="209" spans="1:20">
      <c r="A209" s="377" t="s">
        <v>90</v>
      </c>
      <c r="B209" s="372"/>
      <c r="C209" s="23">
        <v>8574215</v>
      </c>
      <c r="E209" s="30">
        <v>4.1542000000000003</v>
      </c>
      <c r="F209" s="102" t="s">
        <v>11</v>
      </c>
      <c r="G209" s="24">
        <f>ROUND(E209*$C209/100,0)</f>
        <v>356190</v>
      </c>
      <c r="I209" s="106">
        <v>8.2000000000000007E-3</v>
      </c>
      <c r="J209" s="102"/>
      <c r="K209" s="24">
        <f t="shared" si="86"/>
        <v>2920.7580000000003</v>
      </c>
      <c r="M209" s="106">
        <f>$R$190</f>
        <v>-3.8999999999999998E-3</v>
      </c>
      <c r="N209" s="102"/>
      <c r="O209" s="24">
        <f t="shared" si="87"/>
        <v>-1389.1409999999998</v>
      </c>
      <c r="S209" s="138">
        <f>G209*I209-K209</f>
        <v>0</v>
      </c>
      <c r="T209" s="139">
        <f>G209*M209-O209</f>
        <v>0</v>
      </c>
    </row>
    <row r="210" spans="1:20">
      <c r="A210" s="377" t="s">
        <v>103</v>
      </c>
      <c r="B210" s="372"/>
      <c r="C210" s="23">
        <v>10836514</v>
      </c>
      <c r="E210" s="176"/>
      <c r="G210" s="24">
        <f>SUM(G203:G209)</f>
        <v>981737</v>
      </c>
      <c r="I210" s="126"/>
      <c r="K210" s="24">
        <f>SUM(K203:K209)</f>
        <v>7851.5655999999999</v>
      </c>
      <c r="M210" s="126"/>
      <c r="O210" s="24">
        <f>SUM(O203:O209)</f>
        <v>-3734.2811999999994</v>
      </c>
    </row>
    <row r="211" spans="1:20">
      <c r="A211" s="377" t="s">
        <v>104</v>
      </c>
      <c r="B211" s="372"/>
      <c r="C211" s="4"/>
      <c r="G211" s="92"/>
      <c r="I211" s="126"/>
      <c r="M211" s="126"/>
    </row>
    <row r="212" spans="1:20">
      <c r="A212" s="377" t="s">
        <v>436</v>
      </c>
      <c r="B212" s="372"/>
      <c r="C212" s="16">
        <v>570</v>
      </c>
      <c r="E212" s="20">
        <v>14</v>
      </c>
      <c r="F212" s="20"/>
      <c r="G212" s="21">
        <f>ROUND(E212*$C212,0)</f>
        <v>7980</v>
      </c>
      <c r="I212" s="121"/>
      <c r="J212" s="20"/>
      <c r="K212" s="21"/>
      <c r="M212" s="121"/>
      <c r="N212" s="20"/>
      <c r="O212" s="21"/>
    </row>
    <row r="213" spans="1:20">
      <c r="A213" s="377" t="s">
        <v>105</v>
      </c>
      <c r="B213" s="372"/>
      <c r="C213" s="23">
        <v>5920094</v>
      </c>
      <c r="E213" s="30">
        <v>4.9983000000000004</v>
      </c>
      <c r="F213" s="102" t="s">
        <v>11</v>
      </c>
      <c r="G213" s="24">
        <f>ROUND(E213*$C213/100,0)</f>
        <v>295904</v>
      </c>
      <c r="I213" s="121">
        <v>8.2000000000000007E-3</v>
      </c>
      <c r="J213" s="102"/>
      <c r="K213" s="24">
        <f t="shared" ref="K213" si="88">$G213*I213</f>
        <v>2426.4128000000001</v>
      </c>
      <c r="M213" s="106">
        <f>$R$190</f>
        <v>-3.8999999999999998E-3</v>
      </c>
      <c r="N213" s="102"/>
      <c r="O213" s="24">
        <f t="shared" ref="O213" si="89">$G213*M213</f>
        <v>-1154.0255999999999</v>
      </c>
      <c r="S213" s="138">
        <f>G213*I213-K213</f>
        <v>0</v>
      </c>
      <c r="T213" s="139">
        <f>G213*M213-O213</f>
        <v>0</v>
      </c>
    </row>
    <row r="214" spans="1:20">
      <c r="A214" s="377" t="s">
        <v>106</v>
      </c>
      <c r="B214" s="372"/>
      <c r="C214" s="23">
        <v>5920094</v>
      </c>
      <c r="E214" s="176"/>
      <c r="G214" s="24">
        <f>G212+G213</f>
        <v>303884</v>
      </c>
      <c r="I214" s="126"/>
      <c r="K214" s="24">
        <f>K212+K213</f>
        <v>2426.4128000000001</v>
      </c>
      <c r="M214" s="126"/>
      <c r="O214" s="24">
        <f>O212+O213</f>
        <v>-1154.0255999999999</v>
      </c>
    </row>
    <row r="215" spans="1:20">
      <c r="A215" s="377" t="s">
        <v>24</v>
      </c>
      <c r="B215" s="372"/>
      <c r="C215" s="23">
        <v>0</v>
      </c>
      <c r="G215" s="24">
        <v>0</v>
      </c>
      <c r="I215" s="126"/>
      <c r="K215" s="24"/>
      <c r="M215" s="126"/>
      <c r="O215" s="24"/>
    </row>
    <row r="216" spans="1:20" ht="16.5" thickBot="1">
      <c r="A216" s="377" t="s">
        <v>111</v>
      </c>
      <c r="B216" s="372"/>
      <c r="C216" s="29">
        <v>16756608</v>
      </c>
      <c r="E216" s="174"/>
      <c r="G216" s="28">
        <f>G214+G210+G215</f>
        <v>1285621</v>
      </c>
      <c r="I216" s="113"/>
      <c r="K216" s="28">
        <f>K214+K210+K215</f>
        <v>10277.9784</v>
      </c>
      <c r="M216" s="113"/>
      <c r="O216" s="28">
        <f>O214+O210+O215</f>
        <v>-4888.3067999999994</v>
      </c>
    </row>
    <row r="217" spans="1:20" ht="16.5" thickTop="1">
      <c r="A217" s="160"/>
      <c r="B217" s="372"/>
      <c r="C217" s="4"/>
      <c r="G217" s="92"/>
    </row>
    <row r="218" spans="1:20">
      <c r="A218" s="376" t="s">
        <v>112</v>
      </c>
      <c r="B218" s="160"/>
      <c r="C218" s="4"/>
      <c r="G218" s="92"/>
      <c r="I218" s="108"/>
      <c r="J218" s="109"/>
      <c r="M218" s="108"/>
      <c r="N218" s="109"/>
    </row>
    <row r="219" spans="1:20">
      <c r="A219" s="381" t="s">
        <v>303</v>
      </c>
      <c r="B219" s="160"/>
      <c r="C219" s="16"/>
      <c r="E219" s="100"/>
      <c r="F219" s="100"/>
      <c r="G219" s="21"/>
      <c r="K219" s="21"/>
      <c r="O219" s="21"/>
    </row>
    <row r="220" spans="1:20">
      <c r="A220" s="377" t="s">
        <v>114</v>
      </c>
      <c r="B220" s="160"/>
      <c r="C220" s="4">
        <v>34757</v>
      </c>
      <c r="E220" s="14">
        <v>11.8</v>
      </c>
      <c r="F220" s="100"/>
      <c r="G220" s="15">
        <f t="shared" ref="G220:G234" si="90">ROUND(C220*E220,0)</f>
        <v>410133</v>
      </c>
      <c r="I220" s="31">
        <v>4.0000000000000001E-3</v>
      </c>
      <c r="J220" s="100"/>
      <c r="K220" s="15">
        <f t="shared" ref="K220:K234" si="91">$G220*I220</f>
        <v>1640.5319999999999</v>
      </c>
      <c r="M220" s="31">
        <f t="shared" ref="M220:M234" si="92">$R$121</f>
        <v>-1.9E-3</v>
      </c>
      <c r="N220" s="100"/>
      <c r="O220" s="15">
        <f t="shared" ref="O220:O234" si="93">$G220*M220</f>
        <v>-779.2527</v>
      </c>
      <c r="S220" s="138">
        <f t="shared" ref="S220:S234" si="94">G220*I220-K220</f>
        <v>0</v>
      </c>
      <c r="T220" s="139">
        <f t="shared" ref="T220:T234" si="95">G220*M220-O220</f>
        <v>0</v>
      </c>
    </row>
    <row r="221" spans="1:20" s="164" customFormat="1">
      <c r="A221" s="377" t="s">
        <v>115</v>
      </c>
      <c r="B221" s="160"/>
      <c r="C221" s="4">
        <v>218738</v>
      </c>
      <c r="D221" s="167"/>
      <c r="E221" s="14">
        <v>12.78</v>
      </c>
      <c r="F221" s="100"/>
      <c r="G221" s="15">
        <f t="shared" si="90"/>
        <v>2795472</v>
      </c>
      <c r="H221" s="5"/>
      <c r="I221" s="31">
        <v>4.0000000000000001E-3</v>
      </c>
      <c r="J221" s="100"/>
      <c r="K221" s="15">
        <f t="shared" si="91"/>
        <v>11181.888000000001</v>
      </c>
      <c r="L221" s="5"/>
      <c r="M221" s="31">
        <f t="shared" si="92"/>
        <v>-1.9E-3</v>
      </c>
      <c r="N221" s="100"/>
      <c r="O221" s="15">
        <f t="shared" si="93"/>
        <v>-5311.3968000000004</v>
      </c>
      <c r="S221" s="138">
        <f t="shared" si="94"/>
        <v>0</v>
      </c>
      <c r="T221" s="139">
        <f t="shared" si="95"/>
        <v>0</v>
      </c>
    </row>
    <row r="222" spans="1:20" s="164" customFormat="1">
      <c r="A222" s="377" t="s">
        <v>116</v>
      </c>
      <c r="B222" s="160"/>
      <c r="C222" s="4">
        <v>132</v>
      </c>
      <c r="D222" s="167"/>
      <c r="E222" s="14">
        <v>11.5</v>
      </c>
      <c r="F222" s="100"/>
      <c r="G222" s="15">
        <f t="shared" si="90"/>
        <v>1518</v>
      </c>
      <c r="H222" s="5"/>
      <c r="I222" s="31">
        <v>4.0000000000000001E-3</v>
      </c>
      <c r="J222" s="100"/>
      <c r="K222" s="15">
        <f t="shared" si="91"/>
        <v>6.0720000000000001</v>
      </c>
      <c r="L222" s="5"/>
      <c r="M222" s="31">
        <f t="shared" si="92"/>
        <v>-1.9E-3</v>
      </c>
      <c r="N222" s="100"/>
      <c r="O222" s="15">
        <f t="shared" si="93"/>
        <v>-2.8841999999999999</v>
      </c>
      <c r="S222" s="138">
        <f t="shared" si="94"/>
        <v>0</v>
      </c>
      <c r="T222" s="139">
        <f t="shared" si="95"/>
        <v>0</v>
      </c>
    </row>
    <row r="223" spans="1:20" s="164" customFormat="1">
      <c r="A223" s="377" t="s">
        <v>117</v>
      </c>
      <c r="B223" s="160"/>
      <c r="C223" s="4">
        <v>409</v>
      </c>
      <c r="D223" s="167"/>
      <c r="E223" s="14">
        <v>46.54</v>
      </c>
      <c r="F223" s="100"/>
      <c r="G223" s="15">
        <f t="shared" si="90"/>
        <v>19035</v>
      </c>
      <c r="H223" s="5"/>
      <c r="I223" s="31">
        <v>4.0000000000000001E-3</v>
      </c>
      <c r="J223" s="100"/>
      <c r="K223" s="15">
        <f t="shared" si="91"/>
        <v>76.14</v>
      </c>
      <c r="L223" s="5"/>
      <c r="M223" s="31">
        <f t="shared" si="92"/>
        <v>-1.9E-3</v>
      </c>
      <c r="N223" s="100"/>
      <c r="O223" s="15">
        <f t="shared" si="93"/>
        <v>-36.166499999999999</v>
      </c>
      <c r="S223" s="138">
        <f t="shared" si="94"/>
        <v>0</v>
      </c>
      <c r="T223" s="139">
        <f t="shared" si="95"/>
        <v>0</v>
      </c>
    </row>
    <row r="224" spans="1:20" s="164" customFormat="1">
      <c r="A224" s="377" t="s">
        <v>118</v>
      </c>
      <c r="B224" s="160"/>
      <c r="C224" s="4">
        <v>60</v>
      </c>
      <c r="D224" s="167"/>
      <c r="E224" s="14">
        <v>38.049999999999997</v>
      </c>
      <c r="F224" s="100"/>
      <c r="G224" s="15">
        <f t="shared" si="90"/>
        <v>2283</v>
      </c>
      <c r="H224" s="5"/>
      <c r="I224" s="31">
        <v>4.0000000000000001E-3</v>
      </c>
      <c r="J224" s="100"/>
      <c r="K224" s="15">
        <f t="shared" si="91"/>
        <v>9.1319999999999997</v>
      </c>
      <c r="L224" s="5"/>
      <c r="M224" s="31">
        <f t="shared" si="92"/>
        <v>-1.9E-3</v>
      </c>
      <c r="N224" s="100"/>
      <c r="O224" s="15">
        <f t="shared" si="93"/>
        <v>-4.3376999999999999</v>
      </c>
      <c r="S224" s="138">
        <f t="shared" si="94"/>
        <v>0</v>
      </c>
      <c r="T224" s="139">
        <f t="shared" si="95"/>
        <v>0</v>
      </c>
    </row>
    <row r="225" spans="1:20" s="164" customFormat="1">
      <c r="A225" s="377" t="s">
        <v>119</v>
      </c>
      <c r="B225" s="160"/>
      <c r="C225" s="4">
        <v>21158</v>
      </c>
      <c r="D225" s="167"/>
      <c r="E225" s="14">
        <v>16.940000000000001</v>
      </c>
      <c r="F225" s="100"/>
      <c r="G225" s="15">
        <f t="shared" si="90"/>
        <v>358417</v>
      </c>
      <c r="H225" s="5"/>
      <c r="I225" s="31">
        <v>4.0000000000000001E-3</v>
      </c>
      <c r="J225" s="100"/>
      <c r="K225" s="15">
        <f t="shared" si="91"/>
        <v>1433.6680000000001</v>
      </c>
      <c r="L225" s="5"/>
      <c r="M225" s="31">
        <f t="shared" si="92"/>
        <v>-1.9E-3</v>
      </c>
      <c r="N225" s="100"/>
      <c r="O225" s="15">
        <f t="shared" si="93"/>
        <v>-680.9923</v>
      </c>
      <c r="S225" s="138">
        <f t="shared" si="94"/>
        <v>0</v>
      </c>
      <c r="T225" s="139">
        <f t="shared" si="95"/>
        <v>0</v>
      </c>
    </row>
    <row r="226" spans="1:20" s="164" customFormat="1">
      <c r="A226" s="377" t="s">
        <v>120</v>
      </c>
      <c r="B226" s="160"/>
      <c r="C226" s="4">
        <v>96</v>
      </c>
      <c r="D226" s="167"/>
      <c r="E226" s="14">
        <v>15.25</v>
      </c>
      <c r="F226" s="100"/>
      <c r="G226" s="15">
        <f t="shared" si="90"/>
        <v>1464</v>
      </c>
      <c r="H226" s="5"/>
      <c r="I226" s="31">
        <v>4.0000000000000001E-3</v>
      </c>
      <c r="J226" s="100"/>
      <c r="K226" s="15">
        <f t="shared" si="91"/>
        <v>5.8559999999999999</v>
      </c>
      <c r="L226" s="5"/>
      <c r="M226" s="31">
        <f t="shared" si="92"/>
        <v>-1.9E-3</v>
      </c>
      <c r="N226" s="100"/>
      <c r="O226" s="15">
        <f t="shared" si="93"/>
        <v>-2.7816000000000001</v>
      </c>
      <c r="S226" s="138">
        <f t="shared" si="94"/>
        <v>0</v>
      </c>
      <c r="T226" s="139">
        <f t="shared" si="95"/>
        <v>0</v>
      </c>
    </row>
    <row r="227" spans="1:20" s="164" customFormat="1">
      <c r="A227" s="377" t="s">
        <v>121</v>
      </c>
      <c r="B227" s="160"/>
      <c r="C227" s="4">
        <v>2421</v>
      </c>
      <c r="D227" s="167"/>
      <c r="E227" s="14">
        <v>47.83</v>
      </c>
      <c r="F227" s="100"/>
      <c r="G227" s="15">
        <f t="shared" si="90"/>
        <v>115796</v>
      </c>
      <c r="H227" s="5"/>
      <c r="I227" s="31">
        <v>4.0000000000000001E-3</v>
      </c>
      <c r="J227" s="100"/>
      <c r="K227" s="15">
        <f t="shared" si="91"/>
        <v>463.18400000000003</v>
      </c>
      <c r="L227" s="5"/>
      <c r="M227" s="31">
        <f t="shared" si="92"/>
        <v>-1.9E-3</v>
      </c>
      <c r="N227" s="100"/>
      <c r="O227" s="15">
        <f t="shared" si="93"/>
        <v>-220.01240000000001</v>
      </c>
      <c r="S227" s="138">
        <f t="shared" si="94"/>
        <v>0</v>
      </c>
      <c r="T227" s="139">
        <f t="shared" si="95"/>
        <v>0</v>
      </c>
    </row>
    <row r="228" spans="1:20" s="164" customFormat="1">
      <c r="A228" s="377" t="s">
        <v>122</v>
      </c>
      <c r="B228" s="160"/>
      <c r="C228" s="4">
        <v>886</v>
      </c>
      <c r="D228" s="167"/>
      <c r="E228" s="14">
        <v>39.340000000000003</v>
      </c>
      <c r="F228" s="100"/>
      <c r="G228" s="15">
        <f t="shared" si="90"/>
        <v>34855</v>
      </c>
      <c r="H228" s="5"/>
      <c r="I228" s="31">
        <v>4.0000000000000001E-3</v>
      </c>
      <c r="J228" s="100"/>
      <c r="K228" s="15">
        <f t="shared" si="91"/>
        <v>139.42000000000002</v>
      </c>
      <c r="L228" s="5"/>
      <c r="M228" s="31">
        <f t="shared" si="92"/>
        <v>-1.9E-3</v>
      </c>
      <c r="N228" s="100"/>
      <c r="O228" s="15">
        <f t="shared" si="93"/>
        <v>-66.224500000000006</v>
      </c>
      <c r="S228" s="138">
        <f t="shared" si="94"/>
        <v>0</v>
      </c>
      <c r="T228" s="139">
        <f t="shared" si="95"/>
        <v>0</v>
      </c>
    </row>
    <row r="229" spans="1:20" s="164" customFormat="1">
      <c r="A229" s="377" t="s">
        <v>123</v>
      </c>
      <c r="B229" s="160"/>
      <c r="C229" s="4">
        <v>26178</v>
      </c>
      <c r="D229" s="167"/>
      <c r="E229" s="14">
        <v>21.14</v>
      </c>
      <c r="F229" s="100"/>
      <c r="G229" s="15">
        <f t="shared" si="90"/>
        <v>553403</v>
      </c>
      <c r="H229" s="5"/>
      <c r="I229" s="31">
        <v>4.0000000000000001E-3</v>
      </c>
      <c r="J229" s="100"/>
      <c r="K229" s="15">
        <f t="shared" si="91"/>
        <v>2213.6120000000001</v>
      </c>
      <c r="L229" s="5"/>
      <c r="M229" s="31">
        <f t="shared" si="92"/>
        <v>-1.9E-3</v>
      </c>
      <c r="N229" s="100"/>
      <c r="O229" s="15">
        <f t="shared" si="93"/>
        <v>-1051.4657</v>
      </c>
      <c r="S229" s="138">
        <f t="shared" si="94"/>
        <v>0</v>
      </c>
      <c r="T229" s="139">
        <f t="shared" si="95"/>
        <v>0</v>
      </c>
    </row>
    <row r="230" spans="1:20" s="164" customFormat="1">
      <c r="A230" s="377" t="s">
        <v>124</v>
      </c>
      <c r="B230" s="160"/>
      <c r="C230" s="4">
        <v>12</v>
      </c>
      <c r="D230" s="167"/>
      <c r="E230" s="14">
        <v>19.03</v>
      </c>
      <c r="F230" s="100"/>
      <c r="G230" s="15">
        <f t="shared" si="90"/>
        <v>228</v>
      </c>
      <c r="H230" s="5"/>
      <c r="I230" s="31">
        <v>4.0000000000000001E-3</v>
      </c>
      <c r="J230" s="100"/>
      <c r="K230" s="15">
        <f t="shared" si="91"/>
        <v>0.91200000000000003</v>
      </c>
      <c r="L230" s="5"/>
      <c r="M230" s="31">
        <f t="shared" si="92"/>
        <v>-1.9E-3</v>
      </c>
      <c r="N230" s="100"/>
      <c r="O230" s="15">
        <f t="shared" si="93"/>
        <v>-0.43319999999999997</v>
      </c>
      <c r="S230" s="138">
        <f t="shared" si="94"/>
        <v>0</v>
      </c>
      <c r="T230" s="139">
        <f t="shared" si="95"/>
        <v>0</v>
      </c>
    </row>
    <row r="231" spans="1:20" s="164" customFormat="1">
      <c r="A231" s="377" t="s">
        <v>125</v>
      </c>
      <c r="B231" s="160"/>
      <c r="C231" s="4">
        <v>1253</v>
      </c>
      <c r="D231" s="167"/>
      <c r="E231" s="14">
        <v>51.48</v>
      </c>
      <c r="F231" s="100"/>
      <c r="G231" s="15">
        <f t="shared" si="90"/>
        <v>64504</v>
      </c>
      <c r="H231" s="5"/>
      <c r="I231" s="31">
        <v>4.0000000000000001E-3</v>
      </c>
      <c r="J231" s="100"/>
      <c r="K231" s="15">
        <f t="shared" si="91"/>
        <v>258.01600000000002</v>
      </c>
      <c r="L231" s="5"/>
      <c r="M231" s="31">
        <f t="shared" si="92"/>
        <v>-1.9E-3</v>
      </c>
      <c r="N231" s="100"/>
      <c r="O231" s="15">
        <f t="shared" si="93"/>
        <v>-122.55759999999999</v>
      </c>
      <c r="S231" s="138">
        <f t="shared" si="94"/>
        <v>0</v>
      </c>
      <c r="T231" s="139">
        <f t="shared" si="95"/>
        <v>0</v>
      </c>
    </row>
    <row r="232" spans="1:20" s="164" customFormat="1">
      <c r="A232" s="377" t="s">
        <v>126</v>
      </c>
      <c r="B232" s="160"/>
      <c r="C232" s="4">
        <v>0</v>
      </c>
      <c r="D232" s="167"/>
      <c r="E232" s="14">
        <v>43.01</v>
      </c>
      <c r="F232" s="100"/>
      <c r="G232" s="15">
        <f t="shared" si="90"/>
        <v>0</v>
      </c>
      <c r="H232" s="5"/>
      <c r="I232" s="31">
        <v>4.0000000000000001E-3</v>
      </c>
      <c r="J232" s="100"/>
      <c r="K232" s="15">
        <f t="shared" si="91"/>
        <v>0</v>
      </c>
      <c r="L232" s="5"/>
      <c r="M232" s="31">
        <f t="shared" si="92"/>
        <v>-1.9E-3</v>
      </c>
      <c r="N232" s="100"/>
      <c r="O232" s="15">
        <f t="shared" si="93"/>
        <v>0</v>
      </c>
      <c r="S232" s="138">
        <f t="shared" si="94"/>
        <v>0</v>
      </c>
      <c r="T232" s="139">
        <f t="shared" si="95"/>
        <v>0</v>
      </c>
    </row>
    <row r="233" spans="1:20" s="164" customFormat="1">
      <c r="A233" s="377" t="s">
        <v>127</v>
      </c>
      <c r="B233" s="160"/>
      <c r="C233" s="4">
        <v>11406</v>
      </c>
      <c r="D233" s="167"/>
      <c r="E233" s="14">
        <v>26.02</v>
      </c>
      <c r="F233" s="100"/>
      <c r="G233" s="15">
        <f t="shared" si="90"/>
        <v>296784</v>
      </c>
      <c r="H233" s="5"/>
      <c r="I233" s="31">
        <v>4.0000000000000001E-3</v>
      </c>
      <c r="J233" s="100"/>
      <c r="K233" s="15">
        <f t="shared" si="91"/>
        <v>1187.136</v>
      </c>
      <c r="L233" s="5"/>
      <c r="M233" s="31">
        <f t="shared" si="92"/>
        <v>-1.9E-3</v>
      </c>
      <c r="N233" s="100"/>
      <c r="O233" s="15">
        <f t="shared" si="93"/>
        <v>-563.88959999999997</v>
      </c>
      <c r="S233" s="138">
        <f t="shared" si="94"/>
        <v>0</v>
      </c>
      <c r="T233" s="139">
        <f t="shared" si="95"/>
        <v>0</v>
      </c>
    </row>
    <row r="234" spans="1:20" s="164" customFormat="1">
      <c r="A234" s="377" t="s">
        <v>128</v>
      </c>
      <c r="B234" s="160"/>
      <c r="C234" s="4">
        <v>0</v>
      </c>
      <c r="D234" s="167"/>
      <c r="E234" s="14">
        <v>51.54</v>
      </c>
      <c r="F234" s="100"/>
      <c r="G234" s="15">
        <f t="shared" si="90"/>
        <v>0</v>
      </c>
      <c r="H234" s="5"/>
      <c r="I234" s="31">
        <v>4.0000000000000001E-3</v>
      </c>
      <c r="J234" s="100"/>
      <c r="K234" s="15">
        <f t="shared" si="91"/>
        <v>0</v>
      </c>
      <c r="L234" s="5"/>
      <c r="M234" s="31">
        <f t="shared" si="92"/>
        <v>-1.9E-3</v>
      </c>
      <c r="N234" s="100"/>
      <c r="O234" s="15">
        <f t="shared" si="93"/>
        <v>0</v>
      </c>
      <c r="S234" s="138">
        <f t="shared" si="94"/>
        <v>0</v>
      </c>
      <c r="T234" s="139">
        <f t="shared" si="95"/>
        <v>0</v>
      </c>
    </row>
    <row r="235" spans="1:20" s="164" customFormat="1">
      <c r="A235" s="381" t="s">
        <v>304</v>
      </c>
      <c r="B235" s="160"/>
      <c r="C235" s="4"/>
      <c r="D235" s="167"/>
      <c r="E235" s="105"/>
      <c r="F235" s="20"/>
      <c r="G235" s="15"/>
      <c r="H235" s="5"/>
      <c r="I235" s="106"/>
      <c r="J235" s="20"/>
      <c r="K235" s="15"/>
      <c r="L235" s="5"/>
      <c r="M235" s="106"/>
      <c r="N235" s="20"/>
      <c r="O235" s="15"/>
      <c r="S235" s="138"/>
      <c r="T235" s="139"/>
    </row>
    <row r="236" spans="1:20" s="160" customFormat="1">
      <c r="A236" s="377" t="s">
        <v>130</v>
      </c>
      <c r="C236" s="4">
        <v>36</v>
      </c>
      <c r="D236" s="167"/>
      <c r="E236" s="14">
        <v>48.74</v>
      </c>
      <c r="F236" s="100"/>
      <c r="G236" s="15">
        <f t="shared" ref="G236:G246" si="96">ROUND(C236*E236,0)</f>
        <v>1755</v>
      </c>
      <c r="H236" s="5"/>
      <c r="I236" s="31">
        <v>4.0000000000000001E-3</v>
      </c>
      <c r="J236" s="100"/>
      <c r="K236" s="15">
        <f t="shared" ref="K236:K246" si="97">$G236*I236</f>
        <v>7.0200000000000005</v>
      </c>
      <c r="L236" s="5"/>
      <c r="M236" s="31">
        <f t="shared" ref="M236:M246" si="98">$R$121</f>
        <v>-1.9E-3</v>
      </c>
      <c r="N236" s="100"/>
      <c r="O236" s="15">
        <f t="shared" ref="O236:O246" si="99">$G236*M236</f>
        <v>-3.3344999999999998</v>
      </c>
      <c r="S236" s="138">
        <f t="shared" ref="S236:S246" si="100">G236*I236-K236</f>
        <v>0</v>
      </c>
      <c r="T236" s="139">
        <f t="shared" ref="T236:T246" si="101">G236*M236-O236</f>
        <v>0</v>
      </c>
    </row>
    <row r="237" spans="1:20" s="164" customFormat="1">
      <c r="A237" s="377" t="s">
        <v>131</v>
      </c>
      <c r="B237" s="160"/>
      <c r="C237" s="4">
        <v>602</v>
      </c>
      <c r="D237" s="167"/>
      <c r="E237" s="14">
        <v>40.270000000000003</v>
      </c>
      <c r="F237" s="100"/>
      <c r="G237" s="15">
        <f t="shared" si="96"/>
        <v>24243</v>
      </c>
      <c r="H237" s="5"/>
      <c r="I237" s="31">
        <v>4.0000000000000001E-3</v>
      </c>
      <c r="J237" s="100"/>
      <c r="K237" s="15">
        <f t="shared" si="97"/>
        <v>96.972000000000008</v>
      </c>
      <c r="L237" s="5"/>
      <c r="M237" s="31">
        <f t="shared" si="98"/>
        <v>-1.9E-3</v>
      </c>
      <c r="N237" s="100"/>
      <c r="O237" s="15">
        <f t="shared" si="99"/>
        <v>-46.061700000000002</v>
      </c>
      <c r="S237" s="138">
        <f t="shared" si="100"/>
        <v>0</v>
      </c>
      <c r="T237" s="139">
        <f t="shared" si="101"/>
        <v>0</v>
      </c>
    </row>
    <row r="238" spans="1:20" s="164" customFormat="1">
      <c r="A238" s="377" t="s">
        <v>132</v>
      </c>
      <c r="B238" s="160"/>
      <c r="C238" s="4">
        <v>127</v>
      </c>
      <c r="D238" s="167"/>
      <c r="E238" s="14">
        <v>20.13</v>
      </c>
      <c r="F238" s="100"/>
      <c r="G238" s="15">
        <f t="shared" si="96"/>
        <v>2557</v>
      </c>
      <c r="H238" s="5"/>
      <c r="I238" s="31">
        <v>4.0000000000000001E-3</v>
      </c>
      <c r="J238" s="100"/>
      <c r="K238" s="15">
        <f t="shared" si="97"/>
        <v>10.228</v>
      </c>
      <c r="L238" s="5"/>
      <c r="M238" s="31">
        <f t="shared" si="98"/>
        <v>-1.9E-3</v>
      </c>
      <c r="N238" s="100"/>
      <c r="O238" s="15">
        <f t="shared" si="99"/>
        <v>-4.8582999999999998</v>
      </c>
      <c r="S238" s="138">
        <f t="shared" si="100"/>
        <v>0</v>
      </c>
      <c r="T238" s="139">
        <f t="shared" si="101"/>
        <v>0</v>
      </c>
    </row>
    <row r="239" spans="1:20" s="164" customFormat="1">
      <c r="A239" s="377" t="s">
        <v>133</v>
      </c>
      <c r="B239" s="160"/>
      <c r="C239" s="4">
        <v>0</v>
      </c>
      <c r="D239" s="167"/>
      <c r="E239" s="14">
        <v>50.65</v>
      </c>
      <c r="F239" s="100"/>
      <c r="G239" s="15">
        <f t="shared" si="96"/>
        <v>0</v>
      </c>
      <c r="H239" s="5"/>
      <c r="I239" s="31">
        <v>4.0000000000000001E-3</v>
      </c>
      <c r="J239" s="100"/>
      <c r="K239" s="15">
        <f t="shared" si="97"/>
        <v>0</v>
      </c>
      <c r="L239" s="5"/>
      <c r="M239" s="31">
        <f t="shared" si="98"/>
        <v>-1.9E-3</v>
      </c>
      <c r="N239" s="100"/>
      <c r="O239" s="15">
        <f t="shared" si="99"/>
        <v>0</v>
      </c>
      <c r="S239" s="138">
        <f t="shared" si="100"/>
        <v>0</v>
      </c>
      <c r="T239" s="139">
        <f t="shared" si="101"/>
        <v>0</v>
      </c>
    </row>
    <row r="240" spans="1:20" s="164" customFormat="1">
      <c r="A240" s="377" t="s">
        <v>134</v>
      </c>
      <c r="B240" s="160"/>
      <c r="C240" s="4">
        <v>1598</v>
      </c>
      <c r="D240" s="167"/>
      <c r="E240" s="14">
        <v>42.17</v>
      </c>
      <c r="F240" s="100"/>
      <c r="G240" s="15">
        <f t="shared" si="96"/>
        <v>67388</v>
      </c>
      <c r="H240" s="5"/>
      <c r="I240" s="31">
        <v>4.0000000000000001E-3</v>
      </c>
      <c r="J240" s="100"/>
      <c r="K240" s="15">
        <f t="shared" si="97"/>
        <v>269.55200000000002</v>
      </c>
      <c r="L240" s="5"/>
      <c r="M240" s="31">
        <f t="shared" si="98"/>
        <v>-1.9E-3</v>
      </c>
      <c r="N240" s="100"/>
      <c r="O240" s="15">
        <f t="shared" si="99"/>
        <v>-128.03720000000001</v>
      </c>
      <c r="S240" s="138">
        <f t="shared" si="100"/>
        <v>0</v>
      </c>
      <c r="T240" s="139">
        <f t="shared" si="101"/>
        <v>0</v>
      </c>
    </row>
    <row r="241" spans="1:20" s="160" customFormat="1">
      <c r="A241" s="377" t="s">
        <v>135</v>
      </c>
      <c r="C241" s="4">
        <v>386</v>
      </c>
      <c r="D241" s="167"/>
      <c r="E241" s="14">
        <v>22.13</v>
      </c>
      <c r="F241" s="100"/>
      <c r="G241" s="15">
        <f t="shared" si="96"/>
        <v>8542</v>
      </c>
      <c r="H241" s="5"/>
      <c r="I241" s="31">
        <v>4.0000000000000001E-3</v>
      </c>
      <c r="J241" s="100"/>
      <c r="K241" s="15">
        <f t="shared" si="97"/>
        <v>34.167999999999999</v>
      </c>
      <c r="L241" s="5"/>
      <c r="M241" s="31">
        <f t="shared" si="98"/>
        <v>-1.9E-3</v>
      </c>
      <c r="N241" s="100"/>
      <c r="O241" s="15">
        <f t="shared" si="99"/>
        <v>-16.229800000000001</v>
      </c>
      <c r="S241" s="138">
        <f t="shared" si="100"/>
        <v>0</v>
      </c>
      <c r="T241" s="139">
        <f t="shared" si="101"/>
        <v>0</v>
      </c>
    </row>
    <row r="242" spans="1:20" s="164" customFormat="1">
      <c r="A242" s="377" t="s">
        <v>136</v>
      </c>
      <c r="B242" s="160"/>
      <c r="C242" s="4">
        <v>41</v>
      </c>
      <c r="D242" s="167"/>
      <c r="E242" s="14">
        <v>53.69</v>
      </c>
      <c r="F242" s="100"/>
      <c r="G242" s="15">
        <f t="shared" si="96"/>
        <v>2201</v>
      </c>
      <c r="H242" s="5"/>
      <c r="I242" s="31">
        <v>4.0000000000000001E-3</v>
      </c>
      <c r="J242" s="100"/>
      <c r="K242" s="15">
        <f t="shared" si="97"/>
        <v>8.8040000000000003</v>
      </c>
      <c r="L242" s="5"/>
      <c r="M242" s="31">
        <f t="shared" si="98"/>
        <v>-1.9E-3</v>
      </c>
      <c r="N242" s="100"/>
      <c r="O242" s="15">
        <f t="shared" si="99"/>
        <v>-4.1818999999999997</v>
      </c>
      <c r="S242" s="138">
        <f t="shared" si="100"/>
        <v>0</v>
      </c>
      <c r="T242" s="139">
        <f t="shared" si="101"/>
        <v>0</v>
      </c>
    </row>
    <row r="243" spans="1:20" s="164" customFormat="1">
      <c r="A243" s="377" t="s">
        <v>137</v>
      </c>
      <c r="B243" s="160"/>
      <c r="C243" s="4">
        <v>365</v>
      </c>
      <c r="D243" s="167"/>
      <c r="E243" s="14">
        <v>45.2</v>
      </c>
      <c r="F243" s="100"/>
      <c r="G243" s="15">
        <f t="shared" si="96"/>
        <v>16498</v>
      </c>
      <c r="H243" s="5"/>
      <c r="I243" s="31">
        <v>4.0000000000000001E-3</v>
      </c>
      <c r="J243" s="100"/>
      <c r="K243" s="15">
        <f t="shared" si="97"/>
        <v>65.992000000000004</v>
      </c>
      <c r="L243" s="5"/>
      <c r="M243" s="31">
        <f t="shared" si="98"/>
        <v>-1.9E-3</v>
      </c>
      <c r="N243" s="100"/>
      <c r="O243" s="15">
        <f t="shared" si="99"/>
        <v>-31.3462</v>
      </c>
      <c r="S243" s="138">
        <f t="shared" si="100"/>
        <v>0</v>
      </c>
      <c r="T243" s="139">
        <f t="shared" si="101"/>
        <v>0</v>
      </c>
    </row>
    <row r="244" spans="1:20" s="160" customFormat="1">
      <c r="A244" s="377" t="s">
        <v>138</v>
      </c>
      <c r="C244" s="4">
        <v>61</v>
      </c>
      <c r="D244" s="167"/>
      <c r="E244" s="100">
        <v>25.78</v>
      </c>
      <c r="F244" s="100"/>
      <c r="G244" s="15">
        <f t="shared" si="96"/>
        <v>1573</v>
      </c>
      <c r="H244" s="5"/>
      <c r="I244" s="31">
        <v>4.0000000000000001E-3</v>
      </c>
      <c r="J244" s="100"/>
      <c r="K244" s="15">
        <f t="shared" si="97"/>
        <v>6.2919999999999998</v>
      </c>
      <c r="L244" s="5"/>
      <c r="M244" s="31">
        <f t="shared" si="98"/>
        <v>-1.9E-3</v>
      </c>
      <c r="N244" s="100"/>
      <c r="O244" s="15">
        <f t="shared" si="99"/>
        <v>-2.9887000000000001</v>
      </c>
      <c r="S244" s="138">
        <f t="shared" si="100"/>
        <v>0</v>
      </c>
      <c r="T244" s="139">
        <f t="shared" si="101"/>
        <v>0</v>
      </c>
    </row>
    <row r="245" spans="1:20" s="164" customFormat="1">
      <c r="A245" s="377" t="s">
        <v>139</v>
      </c>
      <c r="B245" s="160"/>
      <c r="C245" s="4">
        <v>0</v>
      </c>
      <c r="D245" s="167"/>
      <c r="E245" s="100">
        <v>55.33</v>
      </c>
      <c r="F245" s="100"/>
      <c r="G245" s="15">
        <f t="shared" si="96"/>
        <v>0</v>
      </c>
      <c r="H245" s="5"/>
      <c r="I245" s="31">
        <v>4.0000000000000001E-3</v>
      </c>
      <c r="J245" s="100"/>
      <c r="K245" s="15">
        <f t="shared" si="97"/>
        <v>0</v>
      </c>
      <c r="L245" s="5"/>
      <c r="M245" s="31">
        <f t="shared" si="98"/>
        <v>-1.9E-3</v>
      </c>
      <c r="N245" s="100"/>
      <c r="O245" s="15">
        <f t="shared" si="99"/>
        <v>0</v>
      </c>
      <c r="S245" s="138">
        <f t="shared" si="100"/>
        <v>0</v>
      </c>
      <c r="T245" s="139">
        <f t="shared" si="101"/>
        <v>0</v>
      </c>
    </row>
    <row r="246" spans="1:20" s="164" customFormat="1">
      <c r="A246" s="377" t="s">
        <v>140</v>
      </c>
      <c r="B246" s="160"/>
      <c r="C246" s="4">
        <v>0</v>
      </c>
      <c r="D246" s="167"/>
      <c r="E246" s="100">
        <v>46.86</v>
      </c>
      <c r="F246" s="100"/>
      <c r="G246" s="15">
        <f t="shared" si="96"/>
        <v>0</v>
      </c>
      <c r="H246" s="5"/>
      <c r="I246" s="31">
        <v>4.0000000000000001E-3</v>
      </c>
      <c r="J246" s="100"/>
      <c r="K246" s="15">
        <f t="shared" si="97"/>
        <v>0</v>
      </c>
      <c r="L246" s="5"/>
      <c r="M246" s="31">
        <f t="shared" si="98"/>
        <v>-1.9E-3</v>
      </c>
      <c r="N246" s="100"/>
      <c r="O246" s="15">
        <f t="shared" si="99"/>
        <v>0</v>
      </c>
      <c r="S246" s="138">
        <f t="shared" si="100"/>
        <v>0</v>
      </c>
      <c r="T246" s="139">
        <f t="shared" si="101"/>
        <v>0</v>
      </c>
    </row>
    <row r="247" spans="1:20" s="160" customFormat="1">
      <c r="A247" s="381" t="s">
        <v>305</v>
      </c>
      <c r="C247" s="16"/>
      <c r="D247" s="167"/>
      <c r="E247" s="100"/>
      <c r="F247" s="100"/>
      <c r="G247" s="21"/>
      <c r="H247" s="5"/>
      <c r="I247" s="111"/>
      <c r="J247" s="100"/>
      <c r="K247" s="21"/>
      <c r="L247" s="5"/>
      <c r="M247" s="111"/>
      <c r="N247" s="100"/>
      <c r="O247" s="21"/>
      <c r="S247" s="138"/>
      <c r="T247" s="139"/>
    </row>
    <row r="248" spans="1:20" s="164" customFormat="1">
      <c r="A248" s="377" t="s">
        <v>141</v>
      </c>
      <c r="B248" s="160"/>
      <c r="C248" s="4">
        <v>3279</v>
      </c>
      <c r="D248" s="167"/>
      <c r="E248" s="14">
        <v>11.09</v>
      </c>
      <c r="F248" s="100"/>
      <c r="G248" s="15">
        <f>ROUND(C248*E248,0)</f>
        <v>36364</v>
      </c>
      <c r="H248" s="5"/>
      <c r="I248" s="31">
        <v>4.0000000000000001E-3</v>
      </c>
      <c r="J248" s="100"/>
      <c r="K248" s="15">
        <f t="shared" ref="K248:K252" si="102">$G248*I248</f>
        <v>145.45599999999999</v>
      </c>
      <c r="L248" s="5"/>
      <c r="M248" s="31">
        <f>$R$121</f>
        <v>-1.9E-3</v>
      </c>
      <c r="N248" s="100"/>
      <c r="O248" s="15">
        <f t="shared" ref="O248:O252" si="103">$G248*M248</f>
        <v>-69.0916</v>
      </c>
      <c r="S248" s="138">
        <f>G248*I248-K248</f>
        <v>0</v>
      </c>
      <c r="T248" s="139">
        <f>G248*M248-O248</f>
        <v>0</v>
      </c>
    </row>
    <row r="249" spans="1:20" s="164" customFormat="1">
      <c r="A249" s="377" t="s">
        <v>56</v>
      </c>
      <c r="B249" s="160"/>
      <c r="C249" s="4">
        <v>9152</v>
      </c>
      <c r="D249" s="167"/>
      <c r="E249" s="14">
        <v>13.83</v>
      </c>
      <c r="F249" s="100"/>
      <c r="G249" s="15">
        <f>ROUND(C249*E249,0)</f>
        <v>126572</v>
      </c>
      <c r="H249" s="5"/>
      <c r="I249" s="31">
        <v>4.0000000000000001E-3</v>
      </c>
      <c r="J249" s="100"/>
      <c r="K249" s="15">
        <f t="shared" si="102"/>
        <v>506.28800000000001</v>
      </c>
      <c r="L249" s="5"/>
      <c r="M249" s="31">
        <f>$R$121</f>
        <v>-1.9E-3</v>
      </c>
      <c r="N249" s="100"/>
      <c r="O249" s="15">
        <f t="shared" si="103"/>
        <v>-240.48679999999999</v>
      </c>
      <c r="S249" s="138">
        <f>G249*I249-K249</f>
        <v>0</v>
      </c>
      <c r="T249" s="139">
        <f>G249*M249-O249</f>
        <v>0</v>
      </c>
    </row>
    <row r="250" spans="1:20" s="164" customFormat="1">
      <c r="A250" s="377" t="s">
        <v>142</v>
      </c>
      <c r="B250" s="160"/>
      <c r="C250" s="4">
        <v>186</v>
      </c>
      <c r="D250" s="167"/>
      <c r="E250" s="14">
        <v>19.399999999999999</v>
      </c>
      <c r="F250" s="100"/>
      <c r="G250" s="15">
        <f>ROUND(C250*E250,0)</f>
        <v>3608</v>
      </c>
      <c r="H250" s="5"/>
      <c r="I250" s="31">
        <v>4.0000000000000001E-3</v>
      </c>
      <c r="J250" s="100"/>
      <c r="K250" s="15">
        <f t="shared" si="102"/>
        <v>14.432</v>
      </c>
      <c r="L250" s="5"/>
      <c r="M250" s="31">
        <f>$R$121</f>
        <v>-1.9E-3</v>
      </c>
      <c r="N250" s="100"/>
      <c r="O250" s="15">
        <f t="shared" si="103"/>
        <v>-6.8552</v>
      </c>
      <c r="S250" s="138">
        <f>G250*I250-K250</f>
        <v>0</v>
      </c>
      <c r="T250" s="139">
        <f>G250*M250-O250</f>
        <v>0</v>
      </c>
    </row>
    <row r="251" spans="1:20" s="164" customFormat="1">
      <c r="A251" s="377" t="s">
        <v>143</v>
      </c>
      <c r="B251" s="160"/>
      <c r="C251" s="4">
        <v>0</v>
      </c>
      <c r="D251" s="167"/>
      <c r="E251" s="14">
        <v>17.46</v>
      </c>
      <c r="F251" s="100"/>
      <c r="G251" s="15">
        <f>ROUND(C251*E251,0)</f>
        <v>0</v>
      </c>
      <c r="H251" s="5"/>
      <c r="I251" s="31">
        <v>4.0000000000000001E-3</v>
      </c>
      <c r="J251" s="100"/>
      <c r="K251" s="15">
        <f t="shared" si="102"/>
        <v>0</v>
      </c>
      <c r="L251" s="5"/>
      <c r="M251" s="31">
        <f>$R$121</f>
        <v>-1.9E-3</v>
      </c>
      <c r="N251" s="100"/>
      <c r="O251" s="15">
        <f t="shared" si="103"/>
        <v>0</v>
      </c>
      <c r="S251" s="138">
        <f>G251*I251-K251</f>
        <v>0</v>
      </c>
      <c r="T251" s="139">
        <f>G251*M251-O251</f>
        <v>0</v>
      </c>
    </row>
    <row r="252" spans="1:20" s="164" customFormat="1">
      <c r="A252" s="377" t="s">
        <v>58</v>
      </c>
      <c r="B252" s="160"/>
      <c r="C252" s="4">
        <v>996</v>
      </c>
      <c r="D252" s="167"/>
      <c r="E252" s="14">
        <v>24.43</v>
      </c>
      <c r="F252" s="100"/>
      <c r="G252" s="15">
        <f>ROUND(C252*E252,0)</f>
        <v>24332</v>
      </c>
      <c r="H252" s="5"/>
      <c r="I252" s="31">
        <v>4.0000000000000001E-3</v>
      </c>
      <c r="J252" s="100"/>
      <c r="K252" s="15">
        <f t="shared" si="102"/>
        <v>97.328000000000003</v>
      </c>
      <c r="L252" s="5"/>
      <c r="M252" s="31">
        <f>$R$121</f>
        <v>-1.9E-3</v>
      </c>
      <c r="N252" s="100"/>
      <c r="O252" s="15">
        <f t="shared" si="103"/>
        <v>-46.230800000000002</v>
      </c>
      <c r="S252" s="138">
        <f>G252*I252-K252</f>
        <v>0</v>
      </c>
      <c r="T252" s="139">
        <f>G252*M252-O252</f>
        <v>0</v>
      </c>
    </row>
    <row r="253" spans="1:20" s="164" customFormat="1">
      <c r="A253" s="381" t="s">
        <v>306</v>
      </c>
      <c r="B253" s="160"/>
      <c r="C253" s="4"/>
      <c r="D253" s="167"/>
      <c r="E253" s="168"/>
      <c r="F253" s="167"/>
      <c r="G253" s="15"/>
      <c r="H253" s="5"/>
      <c r="I253" s="91"/>
      <c r="J253" s="5"/>
      <c r="K253" s="15"/>
      <c r="L253" s="5"/>
      <c r="M253" s="91"/>
      <c r="N253" s="5"/>
      <c r="O253" s="15"/>
      <c r="S253" s="138"/>
      <c r="T253" s="139"/>
    </row>
    <row r="254" spans="1:20" s="164" customFormat="1">
      <c r="A254" s="377" t="s">
        <v>144</v>
      </c>
      <c r="B254" s="160"/>
      <c r="C254" s="4">
        <v>0</v>
      </c>
      <c r="D254" s="167"/>
      <c r="E254" s="14">
        <v>11.99</v>
      </c>
      <c r="F254" s="100"/>
      <c r="G254" s="15">
        <f t="shared" ref="G254:G259" si="104">ROUND(C254*E254,0)</f>
        <v>0</v>
      </c>
      <c r="H254" s="5"/>
      <c r="I254" s="31">
        <v>4.0000000000000001E-3</v>
      </c>
      <c r="J254" s="100"/>
      <c r="K254" s="15">
        <f t="shared" ref="K254:K259" si="105">$G254*I254</f>
        <v>0</v>
      </c>
      <c r="L254" s="5"/>
      <c r="M254" s="31">
        <f t="shared" ref="M254:M259" si="106">$R$121</f>
        <v>-1.9E-3</v>
      </c>
      <c r="N254" s="100"/>
      <c r="O254" s="15">
        <f t="shared" ref="O254:O259" si="107">$G254*M254</f>
        <v>0</v>
      </c>
      <c r="S254" s="138">
        <f t="shared" ref="S254:S263" si="108">G254*I254-K254</f>
        <v>0</v>
      </c>
      <c r="T254" s="139">
        <f t="shared" ref="T254:T263" si="109">G254*M254-O254</f>
        <v>0</v>
      </c>
    </row>
    <row r="255" spans="1:20" s="164" customFormat="1">
      <c r="A255" s="377" t="s">
        <v>145</v>
      </c>
      <c r="B255" s="160"/>
      <c r="C255" s="4">
        <v>145</v>
      </c>
      <c r="D255" s="167"/>
      <c r="E255" s="14">
        <v>4.24</v>
      </c>
      <c r="F255" s="100"/>
      <c r="G255" s="15">
        <f t="shared" si="104"/>
        <v>615</v>
      </c>
      <c r="H255" s="5"/>
      <c r="I255" s="31">
        <v>4.0000000000000001E-3</v>
      </c>
      <c r="J255" s="100"/>
      <c r="K255" s="15">
        <f t="shared" si="105"/>
        <v>2.46</v>
      </c>
      <c r="L255" s="5"/>
      <c r="M255" s="31">
        <f t="shared" si="106"/>
        <v>-1.9E-3</v>
      </c>
      <c r="N255" s="100"/>
      <c r="O255" s="15">
        <f t="shared" si="107"/>
        <v>-1.1685000000000001</v>
      </c>
      <c r="S255" s="138">
        <f t="shared" si="108"/>
        <v>0</v>
      </c>
      <c r="T255" s="139">
        <f t="shared" si="109"/>
        <v>0</v>
      </c>
    </row>
    <row r="256" spans="1:20" s="164" customFormat="1">
      <c r="A256" s="377" t="s">
        <v>146</v>
      </c>
      <c r="B256" s="160"/>
      <c r="C256" s="4">
        <v>32</v>
      </c>
      <c r="D256" s="167"/>
      <c r="E256" s="14">
        <v>17.11</v>
      </c>
      <c r="F256" s="100"/>
      <c r="G256" s="15">
        <f t="shared" si="104"/>
        <v>548</v>
      </c>
      <c r="H256" s="5"/>
      <c r="I256" s="31">
        <v>4.0000000000000001E-3</v>
      </c>
      <c r="J256" s="100"/>
      <c r="K256" s="15">
        <f t="shared" si="105"/>
        <v>2.1920000000000002</v>
      </c>
      <c r="L256" s="5"/>
      <c r="M256" s="31">
        <f t="shared" si="106"/>
        <v>-1.9E-3</v>
      </c>
      <c r="N256" s="100"/>
      <c r="O256" s="15">
        <f t="shared" si="107"/>
        <v>-1.0411999999999999</v>
      </c>
      <c r="S256" s="138">
        <f t="shared" si="108"/>
        <v>0</v>
      </c>
      <c r="T256" s="139">
        <f t="shared" si="109"/>
        <v>0</v>
      </c>
    </row>
    <row r="257" spans="1:20" s="164" customFormat="1">
      <c r="A257" s="377" t="s">
        <v>141</v>
      </c>
      <c r="B257" s="160"/>
      <c r="C257" s="4">
        <v>162</v>
      </c>
      <c r="D257" s="167"/>
      <c r="E257" s="14">
        <v>20.43</v>
      </c>
      <c r="F257" s="100"/>
      <c r="G257" s="15">
        <f t="shared" si="104"/>
        <v>3310</v>
      </c>
      <c r="H257" s="5"/>
      <c r="I257" s="31">
        <v>4.0000000000000001E-3</v>
      </c>
      <c r="J257" s="100"/>
      <c r="K257" s="15">
        <f t="shared" si="105"/>
        <v>13.24</v>
      </c>
      <c r="L257" s="5"/>
      <c r="M257" s="31">
        <f t="shared" si="106"/>
        <v>-1.9E-3</v>
      </c>
      <c r="N257" s="100"/>
      <c r="O257" s="15">
        <f t="shared" si="107"/>
        <v>-6.2889999999999997</v>
      </c>
      <c r="S257" s="138">
        <f t="shared" si="108"/>
        <v>0</v>
      </c>
      <c r="T257" s="139">
        <f t="shared" si="109"/>
        <v>0</v>
      </c>
    </row>
    <row r="258" spans="1:20" s="164" customFormat="1">
      <c r="A258" s="377" t="s">
        <v>147</v>
      </c>
      <c r="B258" s="160"/>
      <c r="C258" s="4">
        <v>161</v>
      </c>
      <c r="D258" s="167"/>
      <c r="E258" s="14">
        <v>23.82</v>
      </c>
      <c r="F258" s="100"/>
      <c r="G258" s="15">
        <f t="shared" si="104"/>
        <v>3835</v>
      </c>
      <c r="H258" s="5"/>
      <c r="I258" s="31">
        <v>4.0000000000000001E-3</v>
      </c>
      <c r="J258" s="100"/>
      <c r="K258" s="15">
        <f t="shared" si="105"/>
        <v>15.34</v>
      </c>
      <c r="L258" s="5"/>
      <c r="M258" s="31">
        <f t="shared" si="106"/>
        <v>-1.9E-3</v>
      </c>
      <c r="N258" s="100"/>
      <c r="O258" s="15">
        <f t="shared" si="107"/>
        <v>-7.2865000000000002</v>
      </c>
      <c r="S258" s="138">
        <f t="shared" si="108"/>
        <v>0</v>
      </c>
      <c r="T258" s="139">
        <f t="shared" si="109"/>
        <v>0</v>
      </c>
    </row>
    <row r="259" spans="1:20" s="164" customFormat="1">
      <c r="A259" s="377" t="s">
        <v>142</v>
      </c>
      <c r="B259" s="160"/>
      <c r="C259" s="4">
        <v>24</v>
      </c>
      <c r="D259" s="167"/>
      <c r="E259" s="14">
        <v>31.47</v>
      </c>
      <c r="F259" s="100"/>
      <c r="G259" s="15">
        <f t="shared" si="104"/>
        <v>755</v>
      </c>
      <c r="H259" s="5"/>
      <c r="I259" s="31">
        <v>4.0000000000000001E-3</v>
      </c>
      <c r="J259" s="100"/>
      <c r="K259" s="15">
        <f t="shared" si="105"/>
        <v>3.02</v>
      </c>
      <c r="L259" s="5"/>
      <c r="M259" s="31">
        <f t="shared" si="106"/>
        <v>-1.9E-3</v>
      </c>
      <c r="N259" s="100"/>
      <c r="O259" s="15">
        <f t="shared" si="107"/>
        <v>-1.4344999999999999</v>
      </c>
      <c r="S259" s="138">
        <f t="shared" si="108"/>
        <v>0</v>
      </c>
      <c r="T259" s="139">
        <f t="shared" si="109"/>
        <v>0</v>
      </c>
    </row>
    <row r="260" spans="1:20" s="164" customFormat="1">
      <c r="A260" s="381" t="s">
        <v>307</v>
      </c>
      <c r="B260" s="160"/>
      <c r="C260" s="16"/>
      <c r="D260" s="167"/>
      <c r="E260" s="100"/>
      <c r="F260" s="100"/>
      <c r="G260" s="21"/>
      <c r="H260" s="5"/>
      <c r="I260" s="111"/>
      <c r="J260" s="100"/>
      <c r="K260" s="21"/>
      <c r="L260" s="5"/>
      <c r="M260" s="111"/>
      <c r="N260" s="100"/>
      <c r="O260" s="21"/>
      <c r="S260" s="138">
        <f t="shared" si="108"/>
        <v>0</v>
      </c>
      <c r="T260" s="139">
        <f t="shared" si="109"/>
        <v>0</v>
      </c>
    </row>
    <row r="261" spans="1:20" s="164" customFormat="1">
      <c r="A261" s="377" t="s">
        <v>148</v>
      </c>
      <c r="B261" s="160"/>
      <c r="C261" s="4">
        <v>12</v>
      </c>
      <c r="D261" s="167"/>
      <c r="E261" s="14">
        <v>27.85</v>
      </c>
      <c r="F261" s="100"/>
      <c r="G261" s="15">
        <f>ROUND(C261*E261,0)</f>
        <v>334</v>
      </c>
      <c r="H261" s="5"/>
      <c r="I261" s="31">
        <v>4.0000000000000001E-3</v>
      </c>
      <c r="J261" s="100"/>
      <c r="K261" s="15">
        <f t="shared" ref="K261" si="110">$G261*I261</f>
        <v>1.3360000000000001</v>
      </c>
      <c r="L261" s="5"/>
      <c r="M261" s="31">
        <f>$R$121</f>
        <v>-1.9E-3</v>
      </c>
      <c r="N261" s="100"/>
      <c r="O261" s="15">
        <f t="shared" ref="O261" si="111">$G261*M261</f>
        <v>-0.63460000000000005</v>
      </c>
      <c r="S261" s="138">
        <f t="shared" si="108"/>
        <v>0</v>
      </c>
      <c r="T261" s="139">
        <f t="shared" si="109"/>
        <v>0</v>
      </c>
    </row>
    <row r="262" spans="1:20" s="164" customFormat="1">
      <c r="A262" s="381" t="s">
        <v>149</v>
      </c>
      <c r="B262" s="160"/>
      <c r="C262" s="4"/>
      <c r="D262" s="167"/>
      <c r="E262" s="14"/>
      <c r="F262" s="100"/>
      <c r="G262" s="15"/>
      <c r="H262" s="5"/>
      <c r="I262" s="31"/>
      <c r="J262" s="100"/>
      <c r="K262" s="15"/>
      <c r="L262" s="5"/>
      <c r="M262" s="31"/>
      <c r="N262" s="100"/>
      <c r="O262" s="15"/>
      <c r="S262" s="138">
        <f t="shared" si="108"/>
        <v>0</v>
      </c>
      <c r="T262" s="139">
        <f t="shared" si="109"/>
        <v>0</v>
      </c>
    </row>
    <row r="263" spans="1:20" s="164" customFormat="1">
      <c r="A263" s="377" t="s">
        <v>150</v>
      </c>
      <c r="B263" s="160"/>
      <c r="C263" s="4">
        <v>12</v>
      </c>
      <c r="D263" s="167"/>
      <c r="E263" s="14">
        <v>39.04</v>
      </c>
      <c r="F263" s="100"/>
      <c r="G263" s="37">
        <f>ROUND(C263*E263,0)</f>
        <v>468</v>
      </c>
      <c r="H263" s="5"/>
      <c r="I263" s="31">
        <v>4.0000000000000001E-3</v>
      </c>
      <c r="J263" s="100"/>
      <c r="K263" s="37">
        <f t="shared" ref="K263" si="112">$G263*I263</f>
        <v>1.8720000000000001</v>
      </c>
      <c r="L263" s="5"/>
      <c r="M263" s="31">
        <f>$R$121</f>
        <v>-1.9E-3</v>
      </c>
      <c r="N263" s="100"/>
      <c r="O263" s="37">
        <f t="shared" ref="O263" si="113">$G263*M263</f>
        <v>-0.88919999999999999</v>
      </c>
      <c r="S263" s="138">
        <f t="shared" si="108"/>
        <v>0</v>
      </c>
      <c r="T263" s="139">
        <f t="shared" si="109"/>
        <v>0</v>
      </c>
    </row>
    <row r="264" spans="1:20" s="164" customFormat="1">
      <c r="A264" s="377" t="s">
        <v>151</v>
      </c>
      <c r="B264" s="160"/>
      <c r="C264" s="23">
        <v>334883</v>
      </c>
      <c r="D264" s="167"/>
      <c r="E264" s="176"/>
      <c r="F264" s="167"/>
      <c r="G264" s="24">
        <f>SUM(G220:G263)</f>
        <v>4979390</v>
      </c>
      <c r="H264" s="5"/>
      <c r="I264" s="120"/>
      <c r="J264" s="5"/>
      <c r="K264" s="24">
        <f>SUM(K220:K263)</f>
        <v>19917.559999999998</v>
      </c>
      <c r="L264" s="5"/>
      <c r="M264" s="120"/>
      <c r="N264" s="5"/>
      <c r="O264" s="24">
        <f>SUM(O220:O263)</f>
        <v>-9460.8410000000003</v>
      </c>
    </row>
    <row r="265" spans="1:20" s="164" customFormat="1" ht="16.5" thickBot="1">
      <c r="A265" s="377" t="s">
        <v>82</v>
      </c>
      <c r="B265" s="160"/>
      <c r="C265" s="43">
        <v>16496197.391013095</v>
      </c>
      <c r="D265" s="167"/>
      <c r="E265" s="174"/>
      <c r="F265" s="167"/>
      <c r="G265" s="469"/>
      <c r="H265" s="5"/>
      <c r="I265" s="113"/>
      <c r="J265" s="5"/>
      <c r="K265" s="469"/>
      <c r="L265" s="5"/>
      <c r="M265" s="113"/>
      <c r="N265" s="5"/>
      <c r="O265" s="469"/>
    </row>
    <row r="266" spans="1:20" s="164" customFormat="1" ht="16.5" thickTop="1">
      <c r="A266" s="377" t="s">
        <v>84</v>
      </c>
      <c r="B266" s="160"/>
      <c r="C266" s="13">
        <v>809.41666666666663</v>
      </c>
      <c r="D266" s="167"/>
      <c r="E266" s="168"/>
      <c r="F266" s="167"/>
      <c r="G266" s="92"/>
      <c r="H266" s="5"/>
      <c r="I266" s="91"/>
      <c r="J266" s="5"/>
      <c r="K266" s="92"/>
      <c r="L266" s="5"/>
      <c r="M266" s="91"/>
      <c r="N266" s="5"/>
      <c r="O266" s="92"/>
    </row>
    <row r="267" spans="1:20" s="164" customFormat="1">
      <c r="A267" s="377" t="s">
        <v>83</v>
      </c>
      <c r="B267" s="160"/>
      <c r="C267" s="45">
        <v>0</v>
      </c>
      <c r="D267" s="167"/>
      <c r="E267" s="176"/>
      <c r="F267" s="167"/>
      <c r="G267" s="24">
        <v>0</v>
      </c>
      <c r="H267" s="5"/>
      <c r="I267" s="120"/>
      <c r="J267" s="5"/>
      <c r="K267" s="24"/>
      <c r="L267" s="5"/>
      <c r="M267" s="120"/>
      <c r="N267" s="5"/>
      <c r="O267" s="24"/>
    </row>
    <row r="268" spans="1:20" s="164" customFormat="1" ht="16.5" thickBot="1">
      <c r="A268" s="377" t="s">
        <v>152</v>
      </c>
      <c r="B268" s="160"/>
      <c r="C268" s="43">
        <v>16496197.391013095</v>
      </c>
      <c r="D268" s="167"/>
      <c r="E268" s="46"/>
      <c r="F268" s="122"/>
      <c r="G268" s="470">
        <f>G267+G264</f>
        <v>4979390</v>
      </c>
      <c r="H268" s="5"/>
      <c r="I268" s="123"/>
      <c r="J268" s="122"/>
      <c r="K268" s="470">
        <f>K267+K264</f>
        <v>19917.559999999998</v>
      </c>
      <c r="L268" s="5"/>
      <c r="M268" s="123"/>
      <c r="N268" s="122"/>
      <c r="O268" s="470">
        <f>O267+O264</f>
        <v>-9460.8410000000003</v>
      </c>
    </row>
    <row r="269" spans="1:20" s="164" customFormat="1" ht="16.5" thickTop="1">
      <c r="A269" s="168"/>
      <c r="B269" s="168"/>
      <c r="C269" s="4"/>
      <c r="D269" s="167"/>
      <c r="E269" s="168"/>
      <c r="F269" s="167"/>
      <c r="G269" s="92"/>
      <c r="H269" s="5"/>
      <c r="I269" s="201"/>
      <c r="J269" s="201"/>
      <c r="K269" s="92"/>
      <c r="L269" s="5"/>
      <c r="M269" s="201"/>
      <c r="N269" s="201"/>
      <c r="O269" s="92"/>
    </row>
    <row r="270" spans="1:20" s="164" customFormat="1">
      <c r="A270" s="376" t="s">
        <v>153</v>
      </c>
      <c r="B270" s="160"/>
      <c r="C270" s="4"/>
      <c r="D270" s="167"/>
      <c r="E270" s="168"/>
      <c r="F270" s="167"/>
      <c r="G270" s="92"/>
      <c r="H270" s="5"/>
      <c r="I270" s="201"/>
      <c r="J270" s="201"/>
      <c r="K270" s="92"/>
      <c r="L270" s="5"/>
      <c r="M270" s="201"/>
      <c r="N270" s="201"/>
      <c r="O270" s="92"/>
    </row>
    <row r="271" spans="1:20" s="164" customFormat="1">
      <c r="A271" s="388" t="s">
        <v>154</v>
      </c>
      <c r="B271" s="160"/>
      <c r="C271" s="4"/>
      <c r="D271" s="167"/>
      <c r="E271" s="168"/>
      <c r="F271" s="167"/>
      <c r="G271" s="15"/>
      <c r="H271" s="5"/>
      <c r="I271" s="108"/>
      <c r="J271" s="109"/>
      <c r="K271" s="15"/>
      <c r="L271" s="5"/>
      <c r="M271" s="108"/>
      <c r="N271" s="109"/>
      <c r="O271" s="15"/>
    </row>
    <row r="272" spans="1:20" s="164" customFormat="1">
      <c r="A272" s="381" t="s">
        <v>155</v>
      </c>
      <c r="B272" s="160"/>
      <c r="C272" s="4"/>
      <c r="D272" s="167"/>
      <c r="E272" s="168"/>
      <c r="F272" s="167"/>
      <c r="G272" s="15"/>
      <c r="H272" s="5"/>
      <c r="I272" s="91"/>
      <c r="J272" s="5"/>
      <c r="K272" s="15"/>
      <c r="L272" s="5"/>
      <c r="M272" s="91"/>
      <c r="N272" s="5"/>
      <c r="O272" s="15"/>
    </row>
    <row r="273" spans="1:20" s="164" customFormat="1">
      <c r="A273" s="377" t="s">
        <v>156</v>
      </c>
      <c r="B273" s="160"/>
      <c r="C273" s="4">
        <v>103438</v>
      </c>
      <c r="D273" s="167"/>
      <c r="E273" s="14">
        <v>1.83</v>
      </c>
      <c r="F273" s="100"/>
      <c r="G273" s="15">
        <f>ROUND(C273*E273,0)</f>
        <v>189292</v>
      </c>
      <c r="H273" s="5"/>
      <c r="I273" s="31">
        <v>4.0000000000000001E-3</v>
      </c>
      <c r="J273" s="100"/>
      <c r="K273" s="15">
        <f t="shared" ref="K273:K277" si="114">$G273*I273</f>
        <v>757.16800000000001</v>
      </c>
      <c r="L273" s="5"/>
      <c r="M273" s="31">
        <f>$R$121</f>
        <v>-1.9E-3</v>
      </c>
      <c r="N273" s="100"/>
      <c r="O273" s="15">
        <f t="shared" ref="O273:O277" si="115">$G273*M273</f>
        <v>-359.65480000000002</v>
      </c>
      <c r="S273" s="138">
        <f>G273*I273-K273</f>
        <v>0</v>
      </c>
      <c r="T273" s="139">
        <f>G273*M273-O273</f>
        <v>0</v>
      </c>
    </row>
    <row r="274" spans="1:20" s="164" customFormat="1">
      <c r="A274" s="377" t="s">
        <v>157</v>
      </c>
      <c r="B274" s="160"/>
      <c r="C274" s="4">
        <v>159006</v>
      </c>
      <c r="D274" s="167"/>
      <c r="E274" s="14">
        <v>2.5</v>
      </c>
      <c r="F274" s="100"/>
      <c r="G274" s="15">
        <f>ROUND(C274*E274,0)</f>
        <v>397515</v>
      </c>
      <c r="H274" s="5"/>
      <c r="I274" s="31">
        <v>4.0000000000000001E-3</v>
      </c>
      <c r="J274" s="100"/>
      <c r="K274" s="15">
        <f t="shared" si="114"/>
        <v>1590.06</v>
      </c>
      <c r="L274" s="5"/>
      <c r="M274" s="31">
        <f>$R$121</f>
        <v>-1.9E-3</v>
      </c>
      <c r="N274" s="100"/>
      <c r="O274" s="15">
        <f t="shared" si="115"/>
        <v>-755.27850000000001</v>
      </c>
      <c r="S274" s="138">
        <f>G274*I274-K274</f>
        <v>0</v>
      </c>
      <c r="T274" s="139">
        <f>G274*M274-O274</f>
        <v>0</v>
      </c>
    </row>
    <row r="275" spans="1:20" s="164" customFormat="1">
      <c r="A275" s="377" t="s">
        <v>158</v>
      </c>
      <c r="B275" s="160"/>
      <c r="C275" s="4">
        <v>134332</v>
      </c>
      <c r="D275" s="167"/>
      <c r="E275" s="14">
        <v>3.66</v>
      </c>
      <c r="F275" s="100"/>
      <c r="G275" s="15">
        <f>ROUND(C275*E275,0)</f>
        <v>491655</v>
      </c>
      <c r="H275" s="5"/>
      <c r="I275" s="31">
        <v>4.0000000000000001E-3</v>
      </c>
      <c r="J275" s="100"/>
      <c r="K275" s="15">
        <f t="shared" si="114"/>
        <v>1966.6200000000001</v>
      </c>
      <c r="L275" s="5"/>
      <c r="M275" s="31">
        <f>$R$121</f>
        <v>-1.9E-3</v>
      </c>
      <c r="N275" s="100"/>
      <c r="O275" s="15">
        <f t="shared" si="115"/>
        <v>-934.14449999999999</v>
      </c>
      <c r="S275" s="138">
        <f>G275*I275-K275</f>
        <v>0</v>
      </c>
      <c r="T275" s="139">
        <f>G275*M275-O275</f>
        <v>0</v>
      </c>
    </row>
    <row r="276" spans="1:20" s="164" customFormat="1">
      <c r="A276" s="377" t="s">
        <v>159</v>
      </c>
      <c r="B276" s="160"/>
      <c r="C276" s="4">
        <v>48293</v>
      </c>
      <c r="D276" s="167"/>
      <c r="E276" s="14">
        <v>6.52</v>
      </c>
      <c r="F276" s="100"/>
      <c r="G276" s="15">
        <f>ROUND(C276*E276,0)</f>
        <v>314870</v>
      </c>
      <c r="H276" s="5"/>
      <c r="I276" s="31">
        <v>4.0000000000000001E-3</v>
      </c>
      <c r="J276" s="100"/>
      <c r="K276" s="15">
        <f t="shared" si="114"/>
        <v>1259.48</v>
      </c>
      <c r="L276" s="5"/>
      <c r="M276" s="31">
        <f>$R$121</f>
        <v>-1.9E-3</v>
      </c>
      <c r="N276" s="100"/>
      <c r="O276" s="15">
        <f t="shared" si="115"/>
        <v>-598.25300000000004</v>
      </c>
      <c r="S276" s="138">
        <f>G276*I276-K276</f>
        <v>0</v>
      </c>
      <c r="T276" s="139">
        <f>G276*M276-O276</f>
        <v>0</v>
      </c>
    </row>
    <row r="277" spans="1:20" s="164" customFormat="1">
      <c r="A277" s="377" t="s">
        <v>160</v>
      </c>
      <c r="B277" s="160"/>
      <c r="C277" s="4">
        <v>65553</v>
      </c>
      <c r="D277" s="167"/>
      <c r="E277" s="14">
        <v>10.02</v>
      </c>
      <c r="F277" s="100"/>
      <c r="G277" s="15">
        <f>ROUND(C277*E277,0)</f>
        <v>656841</v>
      </c>
      <c r="H277" s="5"/>
      <c r="I277" s="31">
        <v>4.0000000000000001E-3</v>
      </c>
      <c r="J277" s="100"/>
      <c r="K277" s="15">
        <f t="shared" si="114"/>
        <v>2627.364</v>
      </c>
      <c r="L277" s="5"/>
      <c r="M277" s="31">
        <f>$R$121</f>
        <v>-1.9E-3</v>
      </c>
      <c r="N277" s="100"/>
      <c r="O277" s="15">
        <f t="shared" si="115"/>
        <v>-1247.9979000000001</v>
      </c>
      <c r="S277" s="138">
        <f>G277*I277-K277</f>
        <v>0</v>
      </c>
      <c r="T277" s="139">
        <f>G277*M277-O277</f>
        <v>0</v>
      </c>
    </row>
    <row r="278" spans="1:20" s="164" customFormat="1">
      <c r="A278" s="381" t="s">
        <v>129</v>
      </c>
      <c r="B278" s="160"/>
      <c r="C278" s="4"/>
      <c r="D278" s="167"/>
      <c r="E278" s="105"/>
      <c r="F278" s="20"/>
      <c r="G278" s="15"/>
      <c r="H278" s="5"/>
      <c r="I278" s="106"/>
      <c r="J278" s="20"/>
      <c r="K278" s="15"/>
      <c r="L278" s="5"/>
      <c r="M278" s="106"/>
      <c r="N278" s="20"/>
      <c r="O278" s="15"/>
      <c r="S278" s="138"/>
      <c r="T278" s="139"/>
    </row>
    <row r="279" spans="1:20" s="164" customFormat="1">
      <c r="A279" s="377" t="s">
        <v>161</v>
      </c>
      <c r="B279" s="160"/>
      <c r="C279" s="4">
        <v>6583</v>
      </c>
      <c r="D279" s="167"/>
      <c r="E279" s="14">
        <v>2.5499999999999998</v>
      </c>
      <c r="F279" s="100"/>
      <c r="G279" s="15">
        <f>ROUND(C279*E279,0)</f>
        <v>16787</v>
      </c>
      <c r="H279" s="5"/>
      <c r="I279" s="31">
        <v>4.0000000000000001E-3</v>
      </c>
      <c r="J279" s="100"/>
      <c r="K279" s="15">
        <f t="shared" ref="K279:K283" si="116">$G279*I279</f>
        <v>67.147999999999996</v>
      </c>
      <c r="L279" s="5"/>
      <c r="M279" s="31">
        <f>$R$121</f>
        <v>-1.9E-3</v>
      </c>
      <c r="N279" s="100"/>
      <c r="O279" s="15">
        <f t="shared" ref="O279:O283" si="117">$G279*M279</f>
        <v>-31.895299999999999</v>
      </c>
      <c r="S279" s="138">
        <f>G279*I279-K279</f>
        <v>0</v>
      </c>
      <c r="T279" s="139">
        <f>G279*M279-O279</f>
        <v>0</v>
      </c>
    </row>
    <row r="280" spans="1:20" s="164" customFormat="1">
      <c r="A280" s="377" t="s">
        <v>162</v>
      </c>
      <c r="B280" s="160"/>
      <c r="C280" s="4">
        <v>18818</v>
      </c>
      <c r="D280" s="167"/>
      <c r="E280" s="14">
        <v>4.46</v>
      </c>
      <c r="F280" s="100"/>
      <c r="G280" s="15">
        <f>ROUND(C280*E280,0)</f>
        <v>83928</v>
      </c>
      <c r="H280" s="5"/>
      <c r="I280" s="31">
        <v>4.0000000000000001E-3</v>
      </c>
      <c r="J280" s="100"/>
      <c r="K280" s="15">
        <f t="shared" si="116"/>
        <v>335.71199999999999</v>
      </c>
      <c r="L280" s="5"/>
      <c r="M280" s="31">
        <f>$R$121</f>
        <v>-1.9E-3</v>
      </c>
      <c r="N280" s="100"/>
      <c r="O280" s="15">
        <f t="shared" si="117"/>
        <v>-159.4632</v>
      </c>
      <c r="S280" s="138">
        <f>G280*I280-K280</f>
        <v>0</v>
      </c>
      <c r="T280" s="139">
        <f>G280*M280-O280</f>
        <v>0</v>
      </c>
    </row>
    <row r="281" spans="1:20" s="164" customFormat="1">
      <c r="A281" s="377" t="s">
        <v>163</v>
      </c>
      <c r="B281" s="160"/>
      <c r="C281" s="4">
        <v>28281</v>
      </c>
      <c r="D281" s="167"/>
      <c r="E281" s="14">
        <v>6.17</v>
      </c>
      <c r="F281" s="100"/>
      <c r="G281" s="15">
        <f>ROUND(C281*E281,0)</f>
        <v>174494</v>
      </c>
      <c r="H281" s="5"/>
      <c r="I281" s="31">
        <v>4.0000000000000001E-3</v>
      </c>
      <c r="J281" s="100"/>
      <c r="K281" s="15">
        <f t="shared" si="116"/>
        <v>697.976</v>
      </c>
      <c r="L281" s="5"/>
      <c r="M281" s="31">
        <f>$R$121</f>
        <v>-1.9E-3</v>
      </c>
      <c r="N281" s="100"/>
      <c r="O281" s="15">
        <f t="shared" si="117"/>
        <v>-331.53859999999997</v>
      </c>
      <c r="S281" s="138">
        <f>G281*I281-K281</f>
        <v>0</v>
      </c>
      <c r="T281" s="139">
        <f>G281*M281-O281</f>
        <v>0</v>
      </c>
    </row>
    <row r="282" spans="1:20" s="164" customFormat="1">
      <c r="A282" s="377" t="s">
        <v>164</v>
      </c>
      <c r="B282" s="160"/>
      <c r="C282" s="4">
        <v>27914</v>
      </c>
      <c r="D282" s="167"/>
      <c r="E282" s="100">
        <v>9.77</v>
      </c>
      <c r="F282" s="100"/>
      <c r="G282" s="15">
        <f>ROUND(C282*E282,0)</f>
        <v>272720</v>
      </c>
      <c r="H282" s="5"/>
      <c r="I282" s="31">
        <v>4.0000000000000001E-3</v>
      </c>
      <c r="J282" s="100"/>
      <c r="K282" s="15">
        <f t="shared" si="116"/>
        <v>1090.8800000000001</v>
      </c>
      <c r="L282" s="5"/>
      <c r="M282" s="31">
        <f>$R$121</f>
        <v>-1.9E-3</v>
      </c>
      <c r="N282" s="100"/>
      <c r="O282" s="15">
        <f t="shared" si="117"/>
        <v>-518.16800000000001</v>
      </c>
      <c r="S282" s="138">
        <f>G282*I282-K282</f>
        <v>0</v>
      </c>
      <c r="T282" s="139">
        <f>G282*M282-O282</f>
        <v>0</v>
      </c>
    </row>
    <row r="283" spans="1:20" s="164" customFormat="1">
      <c r="A283" s="381" t="s">
        <v>165</v>
      </c>
      <c r="B283" s="160"/>
      <c r="C283" s="48">
        <v>10059553</v>
      </c>
      <c r="D283" s="167"/>
      <c r="E283" s="399">
        <v>6.5278999999999998</v>
      </c>
      <c r="F283" s="102" t="s">
        <v>11</v>
      </c>
      <c r="G283" s="37">
        <f>ROUND(C283*E283/100,0)</f>
        <v>656678</v>
      </c>
      <c r="H283" s="5"/>
      <c r="I283" s="31">
        <v>4.0000000000000001E-3</v>
      </c>
      <c r="J283" s="100"/>
      <c r="K283" s="37">
        <f t="shared" si="116"/>
        <v>2626.712</v>
      </c>
      <c r="L283" s="5"/>
      <c r="M283" s="31">
        <f>$R$121</f>
        <v>-1.9E-3</v>
      </c>
      <c r="N283" s="100"/>
      <c r="O283" s="37">
        <f t="shared" si="117"/>
        <v>-1247.6882000000001</v>
      </c>
      <c r="S283" s="138">
        <f>G283*I283-K283</f>
        <v>0</v>
      </c>
      <c r="T283" s="139">
        <f>G283*M283-O283</f>
        <v>0</v>
      </c>
    </row>
    <row r="284" spans="1:20" s="164" customFormat="1">
      <c r="A284" s="381" t="s">
        <v>166</v>
      </c>
      <c r="B284" s="160"/>
      <c r="C284" s="16">
        <v>49653569.797972836</v>
      </c>
      <c r="D284" s="167"/>
      <c r="E284" s="167"/>
      <c r="F284" s="167"/>
      <c r="G284" s="21">
        <f>SUM(G273:G283)</f>
        <v>3254780</v>
      </c>
      <c r="H284" s="5"/>
      <c r="I284" s="125"/>
      <c r="J284" s="100"/>
      <c r="K284" s="21">
        <f>SUM(K273:K283)</f>
        <v>13019.119999999999</v>
      </c>
      <c r="L284" s="5"/>
      <c r="M284" s="125"/>
      <c r="N284" s="100"/>
      <c r="O284" s="21">
        <f>SUM(O273:O283)</f>
        <v>-6184.0820000000003</v>
      </c>
    </row>
    <row r="285" spans="1:20" s="164" customFormat="1">
      <c r="A285" s="381" t="s">
        <v>83</v>
      </c>
      <c r="B285" s="160"/>
      <c r="C285" s="16"/>
      <c r="D285" s="167"/>
      <c r="E285" s="124"/>
      <c r="F285" s="102"/>
      <c r="G285" s="21"/>
      <c r="H285" s="5"/>
      <c r="I285" s="125"/>
      <c r="J285" s="100"/>
      <c r="K285" s="21"/>
      <c r="L285" s="5"/>
      <c r="M285" s="125"/>
      <c r="N285" s="100"/>
      <c r="O285" s="21"/>
    </row>
    <row r="286" spans="1:20" s="164" customFormat="1">
      <c r="A286" s="381" t="s">
        <v>152</v>
      </c>
      <c r="B286" s="160"/>
      <c r="C286" s="48">
        <v>49653569.797972836</v>
      </c>
      <c r="D286" s="167"/>
      <c r="E286" s="399"/>
      <c r="F286" s="102"/>
      <c r="G286" s="37">
        <f>SUM(G284:G285)</f>
        <v>3254780</v>
      </c>
      <c r="H286" s="5"/>
      <c r="I286" s="125"/>
      <c r="J286" s="100"/>
      <c r="K286" s="37">
        <f>SUM(K284:K285)</f>
        <v>13019.119999999999</v>
      </c>
      <c r="L286" s="5"/>
      <c r="M286" s="125"/>
      <c r="N286" s="100"/>
      <c r="O286" s="37">
        <f>SUM(O284:O285)</f>
        <v>-6184.0820000000003</v>
      </c>
    </row>
    <row r="287" spans="1:20" s="164" customFormat="1">
      <c r="A287" s="381" t="s">
        <v>308</v>
      </c>
      <c r="B287" s="160"/>
      <c r="C287" s="16">
        <v>519</v>
      </c>
      <c r="D287" s="167"/>
      <c r="E287" s="167"/>
      <c r="F287" s="167"/>
      <c r="G287" s="21"/>
      <c r="H287" s="5"/>
      <c r="I287" s="91"/>
      <c r="J287" s="5"/>
      <c r="K287" s="21"/>
      <c r="L287" s="5"/>
      <c r="M287" s="91"/>
      <c r="N287" s="5"/>
      <c r="O287" s="21"/>
    </row>
    <row r="288" spans="1:20" s="164" customFormat="1">
      <c r="A288" s="389" t="s">
        <v>167</v>
      </c>
      <c r="B288" s="160"/>
      <c r="C288" s="4"/>
      <c r="D288" s="167"/>
      <c r="E288" s="168"/>
      <c r="F288" s="167"/>
      <c r="G288" s="92"/>
      <c r="H288" s="5"/>
      <c r="I288" s="91"/>
      <c r="J288" s="5"/>
      <c r="K288" s="92"/>
      <c r="L288" s="5"/>
      <c r="M288" s="91"/>
      <c r="N288" s="5"/>
      <c r="O288" s="92"/>
    </row>
    <row r="289" spans="1:20" s="164" customFormat="1">
      <c r="A289" s="381" t="s">
        <v>168</v>
      </c>
      <c r="B289" s="160"/>
      <c r="C289" s="4"/>
      <c r="D289" s="167"/>
      <c r="E289" s="168"/>
      <c r="F289" s="167"/>
      <c r="G289" s="15"/>
      <c r="H289" s="5"/>
      <c r="I289" s="201"/>
      <c r="J289" s="201"/>
      <c r="K289" s="15"/>
      <c r="L289" s="5"/>
      <c r="M289" s="201"/>
      <c r="N289" s="201"/>
      <c r="O289" s="15"/>
    </row>
    <row r="290" spans="1:20" s="164" customFormat="1">
      <c r="A290" s="377" t="s">
        <v>169</v>
      </c>
      <c r="B290" s="160"/>
      <c r="C290" s="4">
        <v>76</v>
      </c>
      <c r="D290" s="167"/>
      <c r="E290" s="14">
        <v>8.9600000000000009</v>
      </c>
      <c r="F290" s="100"/>
      <c r="G290" s="15">
        <f>ROUND(C290*E290,0)</f>
        <v>681</v>
      </c>
      <c r="H290" s="5"/>
      <c r="I290" s="31">
        <v>4.0000000000000001E-3</v>
      </c>
      <c r="J290" s="100"/>
      <c r="K290" s="15">
        <f t="shared" ref="K290:K291" si="118">$G290*I290</f>
        <v>2.7240000000000002</v>
      </c>
      <c r="L290" s="5"/>
      <c r="M290" s="31">
        <f>$R$121</f>
        <v>-1.9E-3</v>
      </c>
      <c r="N290" s="100"/>
      <c r="O290" s="15">
        <f t="shared" ref="O290:O291" si="119">$G290*M290</f>
        <v>-1.2939000000000001</v>
      </c>
      <c r="S290" s="138">
        <f>G290*I290-K290</f>
        <v>0</v>
      </c>
      <c r="T290" s="139">
        <f>G290*M290-O290</f>
        <v>0</v>
      </c>
    </row>
    <row r="291" spans="1:20" s="164" customFormat="1">
      <c r="A291" s="377" t="s">
        <v>141</v>
      </c>
      <c r="B291" s="160"/>
      <c r="C291" s="4">
        <v>91</v>
      </c>
      <c r="D291" s="167"/>
      <c r="E291" s="14">
        <v>12.19</v>
      </c>
      <c r="F291" s="100"/>
      <c r="G291" s="15">
        <f>ROUND(C291*E291,0)</f>
        <v>1109</v>
      </c>
      <c r="H291" s="5"/>
      <c r="I291" s="31">
        <v>4.0000000000000001E-3</v>
      </c>
      <c r="J291" s="100"/>
      <c r="K291" s="15">
        <f t="shared" si="118"/>
        <v>4.4359999999999999</v>
      </c>
      <c r="L291" s="5"/>
      <c r="M291" s="31">
        <f>$R$121</f>
        <v>-1.9E-3</v>
      </c>
      <c r="N291" s="100"/>
      <c r="O291" s="15">
        <f t="shared" si="119"/>
        <v>-2.1071</v>
      </c>
      <c r="S291" s="138">
        <f>G291*I291-K291</f>
        <v>0</v>
      </c>
      <c r="T291" s="139">
        <f>G291*M291-O291</f>
        <v>0</v>
      </c>
    </row>
    <row r="292" spans="1:20" s="164" customFormat="1">
      <c r="A292" s="381" t="s">
        <v>170</v>
      </c>
      <c r="B292" s="160"/>
      <c r="C292" s="4"/>
      <c r="D292" s="167"/>
      <c r="E292" s="14"/>
      <c r="F292" s="100"/>
      <c r="G292" s="15"/>
      <c r="H292" s="5"/>
      <c r="I292" s="31"/>
      <c r="J292" s="100"/>
      <c r="K292" s="15"/>
      <c r="L292" s="5"/>
      <c r="M292" s="31"/>
      <c r="N292" s="100"/>
      <c r="O292" s="15"/>
      <c r="S292" s="138">
        <f>G292*I292-K292</f>
        <v>0</v>
      </c>
      <c r="T292" s="139">
        <f>G292*M292-O292</f>
        <v>0</v>
      </c>
    </row>
    <row r="293" spans="1:20" s="164" customFormat="1">
      <c r="A293" s="377" t="s">
        <v>141</v>
      </c>
      <c r="B293" s="160"/>
      <c r="C293" s="4">
        <v>47</v>
      </c>
      <c r="D293" s="167"/>
      <c r="E293" s="14">
        <v>4.6399999999999997</v>
      </c>
      <c r="F293" s="100"/>
      <c r="G293" s="15">
        <f>ROUND(C293*E293,0)</f>
        <v>218</v>
      </c>
      <c r="H293" s="5"/>
      <c r="I293" s="31">
        <v>4.0000000000000001E-3</v>
      </c>
      <c r="J293" s="100"/>
      <c r="K293" s="15">
        <f t="shared" ref="K293" si="120">$G293*I293</f>
        <v>0.872</v>
      </c>
      <c r="L293" s="5"/>
      <c r="M293" s="31">
        <f>$R$121</f>
        <v>-1.9E-3</v>
      </c>
      <c r="N293" s="100"/>
      <c r="O293" s="15">
        <f t="shared" ref="O293" si="121">$G293*M293</f>
        <v>-0.41420000000000001</v>
      </c>
      <c r="S293" s="138"/>
      <c r="T293" s="139"/>
    </row>
    <row r="294" spans="1:20" s="164" customFormat="1">
      <c r="A294" s="377" t="s">
        <v>56</v>
      </c>
      <c r="B294" s="160"/>
      <c r="C294" s="16">
        <v>546</v>
      </c>
      <c r="D294" s="167"/>
      <c r="E294" s="14">
        <v>7</v>
      </c>
      <c r="F294" s="167"/>
      <c r="G294" s="15">
        <f>ROUND(C294*E294,0)</f>
        <v>3822</v>
      </c>
      <c r="H294" s="5"/>
      <c r="I294" s="31">
        <v>4.0000000000000001E-3</v>
      </c>
      <c r="J294" s="100"/>
      <c r="K294" s="15">
        <f t="shared" ref="K294:K298" si="122">$G294*I294</f>
        <v>15.288</v>
      </c>
      <c r="L294" s="5"/>
      <c r="M294" s="31">
        <f>$R$121</f>
        <v>-1.9E-3</v>
      </c>
      <c r="N294" s="100"/>
      <c r="O294" s="15">
        <f t="shared" ref="O294:O298" si="123">$G294*M294</f>
        <v>-7.2618</v>
      </c>
      <c r="S294" s="138">
        <f>G294*I294-K294</f>
        <v>0</v>
      </c>
      <c r="T294" s="139">
        <f>G294*M294-O294</f>
        <v>0</v>
      </c>
    </row>
    <row r="295" spans="1:20" s="164" customFormat="1">
      <c r="A295" s="377" t="s">
        <v>58</v>
      </c>
      <c r="B295" s="160"/>
      <c r="C295" s="4">
        <v>140</v>
      </c>
      <c r="D295" s="167"/>
      <c r="E295" s="14">
        <v>13.33</v>
      </c>
      <c r="F295" s="100"/>
      <c r="G295" s="15">
        <f>ROUND(C295*E295,0)</f>
        <v>1866</v>
      </c>
      <c r="H295" s="5"/>
      <c r="I295" s="31">
        <v>4.0000000000000001E-3</v>
      </c>
      <c r="J295" s="100"/>
      <c r="K295" s="15">
        <f t="shared" si="122"/>
        <v>7.4640000000000004</v>
      </c>
      <c r="L295" s="5"/>
      <c r="M295" s="31">
        <f>$R$121</f>
        <v>-1.9E-3</v>
      </c>
      <c r="N295" s="100"/>
      <c r="O295" s="15">
        <f t="shared" si="123"/>
        <v>-3.5453999999999999</v>
      </c>
      <c r="S295" s="138">
        <f>G295*I295-K295</f>
        <v>0</v>
      </c>
      <c r="T295" s="139">
        <f>G295*M295-O295</f>
        <v>0</v>
      </c>
    </row>
    <row r="296" spans="1:20" s="164" customFormat="1">
      <c r="A296" s="377" t="s">
        <v>171</v>
      </c>
      <c r="B296" s="160"/>
      <c r="C296" s="4">
        <v>0</v>
      </c>
      <c r="D296" s="167"/>
      <c r="E296" s="14">
        <v>28.38</v>
      </c>
      <c r="F296" s="100"/>
      <c r="G296" s="15">
        <f>ROUND(C296*E296,0)</f>
        <v>0</v>
      </c>
      <c r="H296" s="5"/>
      <c r="I296" s="31">
        <v>4.0000000000000001E-3</v>
      </c>
      <c r="J296" s="100"/>
      <c r="K296" s="15">
        <f t="shared" si="122"/>
        <v>0</v>
      </c>
      <c r="L296" s="5"/>
      <c r="M296" s="31">
        <f>$R$121</f>
        <v>-1.9E-3</v>
      </c>
      <c r="N296" s="100"/>
      <c r="O296" s="15">
        <f t="shared" si="123"/>
        <v>0</v>
      </c>
      <c r="S296" s="138">
        <f>G296*I296-K296</f>
        <v>0</v>
      </c>
      <c r="T296" s="139">
        <f>G296*M296-O296</f>
        <v>0</v>
      </c>
    </row>
    <row r="297" spans="1:20" s="164" customFormat="1">
      <c r="A297" s="381" t="s">
        <v>172</v>
      </c>
      <c r="B297" s="160"/>
      <c r="C297" s="4"/>
      <c r="D297" s="167"/>
      <c r="E297" s="14"/>
      <c r="F297" s="100"/>
      <c r="G297" s="15"/>
      <c r="H297" s="5"/>
      <c r="I297" s="31"/>
      <c r="J297" s="100"/>
      <c r="K297" s="15"/>
      <c r="L297" s="5"/>
      <c r="M297" s="31"/>
      <c r="N297" s="100"/>
      <c r="O297" s="15"/>
      <c r="S297" s="138">
        <f>G297*I297-K297</f>
        <v>0</v>
      </c>
      <c r="T297" s="139">
        <f>G297*M297-O297</f>
        <v>0</v>
      </c>
    </row>
    <row r="298" spans="1:20" s="164" customFormat="1">
      <c r="A298" s="377" t="s">
        <v>156</v>
      </c>
      <c r="B298" s="160"/>
      <c r="C298" s="4">
        <v>34609</v>
      </c>
      <c r="D298" s="167"/>
      <c r="E298" s="14">
        <v>4.08</v>
      </c>
      <c r="F298" s="100"/>
      <c r="G298" s="15">
        <f>ROUND(C298*E298,0)</f>
        <v>141205</v>
      </c>
      <c r="H298" s="5"/>
      <c r="I298" s="31">
        <v>4.0000000000000001E-3</v>
      </c>
      <c r="J298" s="100"/>
      <c r="K298" s="15">
        <f t="shared" si="122"/>
        <v>564.82000000000005</v>
      </c>
      <c r="L298" s="5"/>
      <c r="M298" s="31">
        <f t="shared" ref="M298:M307" si="124">$R$121</f>
        <v>-1.9E-3</v>
      </c>
      <c r="N298" s="100"/>
      <c r="O298" s="15">
        <f t="shared" si="123"/>
        <v>-268.28949999999998</v>
      </c>
      <c r="S298" s="138">
        <f>G298*I298-K298</f>
        <v>0</v>
      </c>
      <c r="T298" s="139">
        <f>G298*M298-O298</f>
        <v>0</v>
      </c>
    </row>
    <row r="299" spans="1:20" s="164" customFormat="1">
      <c r="A299" s="377" t="s">
        <v>157</v>
      </c>
      <c r="B299" s="160"/>
      <c r="C299" s="4">
        <v>15632</v>
      </c>
      <c r="D299" s="167"/>
      <c r="E299" s="14">
        <v>5.37</v>
      </c>
      <c r="F299" s="100"/>
      <c r="G299" s="15">
        <f>ROUND(C299*E299,0)</f>
        <v>83944</v>
      </c>
      <c r="H299" s="5"/>
      <c r="I299" s="31">
        <v>4.0000000000000001E-3</v>
      </c>
      <c r="J299" s="100"/>
      <c r="K299" s="15">
        <f t="shared" ref="K299" si="125">$G299*I299</f>
        <v>335.77600000000001</v>
      </c>
      <c r="L299" s="5"/>
      <c r="M299" s="31">
        <f t="shared" si="124"/>
        <v>-1.9E-3</v>
      </c>
      <c r="N299" s="100"/>
      <c r="O299" s="15">
        <f t="shared" ref="O299" si="126">$G299*M299</f>
        <v>-159.49359999999999</v>
      </c>
      <c r="S299" s="138"/>
      <c r="T299" s="139"/>
    </row>
    <row r="300" spans="1:20" s="164" customFormat="1">
      <c r="A300" s="377" t="s">
        <v>173</v>
      </c>
      <c r="B300" s="160"/>
      <c r="C300" s="4">
        <v>8817</v>
      </c>
      <c r="D300" s="167"/>
      <c r="E300" s="14">
        <v>6.96</v>
      </c>
      <c r="F300" s="100"/>
      <c r="G300" s="15">
        <f t="shared" ref="G300:G312" si="127">ROUND(C300*E300,0)</f>
        <v>61366</v>
      </c>
      <c r="H300" s="5"/>
      <c r="I300" s="31">
        <v>4.0000000000000001E-3</v>
      </c>
      <c r="J300" s="100"/>
      <c r="K300" s="15">
        <f t="shared" ref="K300:K312" si="128">$G300*I300</f>
        <v>245.464</v>
      </c>
      <c r="L300" s="5"/>
      <c r="M300" s="31">
        <f t="shared" si="124"/>
        <v>-1.9E-3</v>
      </c>
      <c r="N300" s="100"/>
      <c r="O300" s="15">
        <f t="shared" ref="O300:O312" si="129">$G300*M300</f>
        <v>-116.5954</v>
      </c>
      <c r="S300" s="138">
        <f t="shared" ref="S300:S312" si="130">G300*I300-K300</f>
        <v>0</v>
      </c>
      <c r="T300" s="139">
        <f t="shared" ref="T300:T312" si="131">G300*M300-O300</f>
        <v>0</v>
      </c>
    </row>
    <row r="301" spans="1:20" s="164" customFormat="1">
      <c r="A301" s="377" t="s">
        <v>158</v>
      </c>
      <c r="B301" s="160"/>
      <c r="C301" s="4">
        <v>2548</v>
      </c>
      <c r="D301" s="167"/>
      <c r="E301" s="14">
        <v>6.52</v>
      </c>
      <c r="F301" s="100"/>
      <c r="G301" s="15">
        <f t="shared" si="127"/>
        <v>16613</v>
      </c>
      <c r="H301" s="5"/>
      <c r="I301" s="31">
        <v>4.0000000000000001E-3</v>
      </c>
      <c r="J301" s="100"/>
      <c r="K301" s="15">
        <f t="shared" si="128"/>
        <v>66.451999999999998</v>
      </c>
      <c r="L301" s="5"/>
      <c r="M301" s="31">
        <f t="shared" si="124"/>
        <v>-1.9E-3</v>
      </c>
      <c r="N301" s="100"/>
      <c r="O301" s="15">
        <f t="shared" si="129"/>
        <v>-31.564699999999998</v>
      </c>
      <c r="S301" s="138">
        <f t="shared" si="130"/>
        <v>0</v>
      </c>
      <c r="T301" s="139">
        <f t="shared" si="131"/>
        <v>0</v>
      </c>
    </row>
    <row r="302" spans="1:20" s="164" customFormat="1">
      <c r="A302" s="377" t="s">
        <v>174</v>
      </c>
      <c r="B302" s="160"/>
      <c r="C302" s="4">
        <v>799</v>
      </c>
      <c r="D302" s="167"/>
      <c r="E302" s="14">
        <v>8.27</v>
      </c>
      <c r="F302" s="100"/>
      <c r="G302" s="15">
        <f t="shared" si="127"/>
        <v>6608</v>
      </c>
      <c r="H302" s="5"/>
      <c r="I302" s="31">
        <v>4.0000000000000001E-3</v>
      </c>
      <c r="J302" s="100"/>
      <c r="K302" s="15">
        <f t="shared" si="128"/>
        <v>26.432000000000002</v>
      </c>
      <c r="L302" s="5"/>
      <c r="M302" s="31">
        <f t="shared" si="124"/>
        <v>-1.9E-3</v>
      </c>
      <c r="N302" s="100"/>
      <c r="O302" s="15">
        <f t="shared" si="129"/>
        <v>-12.555199999999999</v>
      </c>
      <c r="S302" s="138">
        <f t="shared" si="130"/>
        <v>0</v>
      </c>
      <c r="T302" s="139">
        <f t="shared" si="131"/>
        <v>0</v>
      </c>
    </row>
    <row r="303" spans="1:20" s="164" customFormat="1">
      <c r="A303" s="377" t="s">
        <v>175</v>
      </c>
      <c r="B303" s="160"/>
      <c r="C303" s="4">
        <v>0</v>
      </c>
      <c r="D303" s="167"/>
      <c r="E303" s="14">
        <v>8.26</v>
      </c>
      <c r="F303" s="100"/>
      <c r="G303" s="15">
        <f t="shared" si="127"/>
        <v>0</v>
      </c>
      <c r="H303" s="5"/>
      <c r="I303" s="31">
        <v>4.0000000000000001E-3</v>
      </c>
      <c r="J303" s="100"/>
      <c r="K303" s="15">
        <f t="shared" si="128"/>
        <v>0</v>
      </c>
      <c r="L303" s="5"/>
      <c r="M303" s="31">
        <f t="shared" si="124"/>
        <v>-1.9E-3</v>
      </c>
      <c r="N303" s="100"/>
      <c r="O303" s="15">
        <f t="shared" si="129"/>
        <v>0</v>
      </c>
      <c r="S303" s="138">
        <f t="shared" si="130"/>
        <v>0</v>
      </c>
      <c r="T303" s="139">
        <f t="shared" si="131"/>
        <v>0</v>
      </c>
    </row>
    <row r="304" spans="1:20" s="164" customFormat="1">
      <c r="A304" s="377" t="s">
        <v>159</v>
      </c>
      <c r="B304" s="160"/>
      <c r="C304" s="4">
        <v>5601</v>
      </c>
      <c r="D304" s="167"/>
      <c r="E304" s="14">
        <v>9.59</v>
      </c>
      <c r="F304" s="100"/>
      <c r="G304" s="15">
        <f t="shared" si="127"/>
        <v>53714</v>
      </c>
      <c r="H304" s="5"/>
      <c r="I304" s="31">
        <v>4.0000000000000001E-3</v>
      </c>
      <c r="J304" s="100"/>
      <c r="K304" s="15">
        <f t="shared" si="128"/>
        <v>214.85599999999999</v>
      </c>
      <c r="L304" s="5"/>
      <c r="M304" s="31">
        <f t="shared" si="124"/>
        <v>-1.9E-3</v>
      </c>
      <c r="N304" s="100"/>
      <c r="O304" s="15">
        <f t="shared" si="129"/>
        <v>-102.0566</v>
      </c>
      <c r="S304" s="138">
        <f t="shared" si="130"/>
        <v>0</v>
      </c>
      <c r="T304" s="139">
        <f t="shared" si="131"/>
        <v>0</v>
      </c>
    </row>
    <row r="305" spans="1:20" s="164" customFormat="1">
      <c r="A305" s="377" t="s">
        <v>176</v>
      </c>
      <c r="B305" s="160"/>
      <c r="C305" s="4">
        <v>143</v>
      </c>
      <c r="D305" s="167"/>
      <c r="E305" s="14">
        <v>11.93</v>
      </c>
      <c r="F305" s="100"/>
      <c r="G305" s="15">
        <f t="shared" si="127"/>
        <v>1706</v>
      </c>
      <c r="H305" s="5"/>
      <c r="I305" s="31">
        <v>4.0000000000000001E-3</v>
      </c>
      <c r="J305" s="100"/>
      <c r="K305" s="15">
        <f t="shared" si="128"/>
        <v>6.8239999999999998</v>
      </c>
      <c r="L305" s="5"/>
      <c r="M305" s="31">
        <f t="shared" si="124"/>
        <v>-1.9E-3</v>
      </c>
      <c r="N305" s="100"/>
      <c r="O305" s="15">
        <f t="shared" si="129"/>
        <v>-3.2414000000000001</v>
      </c>
      <c r="S305" s="138">
        <f t="shared" si="130"/>
        <v>0</v>
      </c>
      <c r="T305" s="139">
        <f t="shared" si="131"/>
        <v>0</v>
      </c>
    </row>
    <row r="306" spans="1:20" s="164" customFormat="1">
      <c r="A306" s="377" t="s">
        <v>160</v>
      </c>
      <c r="B306" s="160"/>
      <c r="C306" s="4">
        <v>10133</v>
      </c>
      <c r="D306" s="167"/>
      <c r="E306" s="14">
        <v>14</v>
      </c>
      <c r="F306" s="100"/>
      <c r="G306" s="15">
        <f t="shared" si="127"/>
        <v>141862</v>
      </c>
      <c r="H306" s="5"/>
      <c r="I306" s="31">
        <v>4.0000000000000001E-3</v>
      </c>
      <c r="J306" s="100"/>
      <c r="K306" s="15">
        <f t="shared" si="128"/>
        <v>567.44799999999998</v>
      </c>
      <c r="L306" s="5"/>
      <c r="M306" s="31">
        <f t="shared" si="124"/>
        <v>-1.9E-3</v>
      </c>
      <c r="N306" s="100"/>
      <c r="O306" s="15">
        <f t="shared" si="129"/>
        <v>-269.5378</v>
      </c>
      <c r="S306" s="138">
        <f t="shared" si="130"/>
        <v>0</v>
      </c>
      <c r="T306" s="139">
        <f t="shared" si="131"/>
        <v>0</v>
      </c>
    </row>
    <row r="307" spans="1:20" s="164" customFormat="1">
      <c r="A307" s="377" t="s">
        <v>177</v>
      </c>
      <c r="B307" s="160"/>
      <c r="C307" s="4">
        <v>157</v>
      </c>
      <c r="D307" s="167"/>
      <c r="E307" s="14">
        <v>15.56</v>
      </c>
      <c r="F307" s="100"/>
      <c r="G307" s="15">
        <f t="shared" si="127"/>
        <v>2443</v>
      </c>
      <c r="H307" s="5"/>
      <c r="I307" s="31">
        <v>4.0000000000000001E-3</v>
      </c>
      <c r="J307" s="100"/>
      <c r="K307" s="15">
        <f t="shared" si="128"/>
        <v>9.7720000000000002</v>
      </c>
      <c r="L307" s="5"/>
      <c r="M307" s="31">
        <f t="shared" si="124"/>
        <v>-1.9E-3</v>
      </c>
      <c r="N307" s="100"/>
      <c r="O307" s="15">
        <f t="shared" si="129"/>
        <v>-4.6417000000000002</v>
      </c>
      <c r="S307" s="138">
        <f t="shared" si="130"/>
        <v>0</v>
      </c>
      <c r="T307" s="139">
        <f t="shared" si="131"/>
        <v>0</v>
      </c>
    </row>
    <row r="308" spans="1:20" s="164" customFormat="1">
      <c r="A308" s="381" t="s">
        <v>129</v>
      </c>
      <c r="B308" s="160"/>
      <c r="C308" s="4"/>
      <c r="D308" s="167"/>
      <c r="E308" s="14"/>
      <c r="F308" s="100"/>
      <c r="G308" s="15"/>
      <c r="H308" s="5"/>
      <c r="I308" s="31"/>
      <c r="J308" s="100"/>
      <c r="K308" s="15"/>
      <c r="L308" s="5"/>
      <c r="M308" s="31"/>
      <c r="N308" s="100"/>
      <c r="O308" s="15"/>
      <c r="S308" s="138">
        <f t="shared" si="130"/>
        <v>0</v>
      </c>
      <c r="T308" s="139">
        <f t="shared" si="131"/>
        <v>0</v>
      </c>
    </row>
    <row r="309" spans="1:20" s="164" customFormat="1">
      <c r="A309" s="377" t="s">
        <v>178</v>
      </c>
      <c r="B309" s="160"/>
      <c r="C309" s="4">
        <v>702</v>
      </c>
      <c r="D309" s="167"/>
      <c r="E309" s="14">
        <v>9.19</v>
      </c>
      <c r="F309" s="100"/>
      <c r="G309" s="15">
        <f t="shared" si="127"/>
        <v>6451</v>
      </c>
      <c r="H309" s="5"/>
      <c r="I309" s="31">
        <v>4.0000000000000001E-3</v>
      </c>
      <c r="J309" s="100"/>
      <c r="K309" s="15">
        <f t="shared" si="128"/>
        <v>25.804000000000002</v>
      </c>
      <c r="L309" s="5"/>
      <c r="M309" s="31">
        <f t="shared" ref="M309:M315" si="132">$R$121</f>
        <v>-1.9E-3</v>
      </c>
      <c r="N309" s="100"/>
      <c r="O309" s="15">
        <f t="shared" si="129"/>
        <v>-12.2569</v>
      </c>
      <c r="S309" s="138">
        <f t="shared" si="130"/>
        <v>0</v>
      </c>
      <c r="T309" s="139">
        <f t="shared" si="131"/>
        <v>0</v>
      </c>
    </row>
    <row r="310" spans="1:20" s="164" customFormat="1">
      <c r="A310" s="377" t="s">
        <v>162</v>
      </c>
      <c r="B310" s="160"/>
      <c r="C310" s="4">
        <v>1617</v>
      </c>
      <c r="D310" s="167"/>
      <c r="E310" s="14">
        <v>13.57</v>
      </c>
      <c r="F310" s="100"/>
      <c r="G310" s="15">
        <f t="shared" si="127"/>
        <v>21943</v>
      </c>
      <c r="H310" s="5"/>
      <c r="I310" s="31">
        <v>4.0000000000000001E-3</v>
      </c>
      <c r="J310" s="100"/>
      <c r="K310" s="15">
        <f t="shared" si="128"/>
        <v>87.772000000000006</v>
      </c>
      <c r="L310" s="5"/>
      <c r="M310" s="31">
        <f t="shared" si="132"/>
        <v>-1.9E-3</v>
      </c>
      <c r="N310" s="100"/>
      <c r="O310" s="15">
        <f t="shared" si="129"/>
        <v>-41.691699999999997</v>
      </c>
      <c r="S310" s="138">
        <f t="shared" si="130"/>
        <v>0</v>
      </c>
      <c r="T310" s="139">
        <f t="shared" si="131"/>
        <v>0</v>
      </c>
    </row>
    <row r="311" spans="1:20" s="164" customFormat="1">
      <c r="A311" s="377" t="s">
        <v>179</v>
      </c>
      <c r="B311" s="160"/>
      <c r="C311" s="4">
        <v>225</v>
      </c>
      <c r="D311" s="167"/>
      <c r="E311" s="14">
        <v>11.09</v>
      </c>
      <c r="F311" s="100"/>
      <c r="G311" s="15">
        <f t="shared" si="127"/>
        <v>2495</v>
      </c>
      <c r="H311" s="5"/>
      <c r="I311" s="31">
        <v>4.0000000000000001E-3</v>
      </c>
      <c r="J311" s="100"/>
      <c r="K311" s="15">
        <f t="shared" si="128"/>
        <v>9.98</v>
      </c>
      <c r="L311" s="5"/>
      <c r="M311" s="31">
        <f t="shared" si="132"/>
        <v>-1.9E-3</v>
      </c>
      <c r="N311" s="100"/>
      <c r="O311" s="15">
        <f t="shared" si="129"/>
        <v>-4.7404999999999999</v>
      </c>
      <c r="S311" s="138">
        <f t="shared" si="130"/>
        <v>0</v>
      </c>
      <c r="T311" s="139">
        <f t="shared" si="131"/>
        <v>0</v>
      </c>
    </row>
    <row r="312" spans="1:20" s="164" customFormat="1">
      <c r="A312" s="377" t="s">
        <v>163</v>
      </c>
      <c r="B312" s="160"/>
      <c r="C312" s="4">
        <v>518</v>
      </c>
      <c r="D312" s="167"/>
      <c r="E312" s="14">
        <v>13.71</v>
      </c>
      <c r="F312" s="100"/>
      <c r="G312" s="21">
        <f t="shared" si="127"/>
        <v>7102</v>
      </c>
      <c r="H312" s="5"/>
      <c r="I312" s="31">
        <v>4.0000000000000001E-3</v>
      </c>
      <c r="J312" s="100"/>
      <c r="K312" s="21">
        <f t="shared" si="128"/>
        <v>28.408000000000001</v>
      </c>
      <c r="L312" s="5"/>
      <c r="M312" s="31">
        <f t="shared" si="132"/>
        <v>-1.9E-3</v>
      </c>
      <c r="N312" s="100"/>
      <c r="O312" s="21">
        <f t="shared" si="129"/>
        <v>-13.4938</v>
      </c>
      <c r="S312" s="138">
        <f t="shared" si="130"/>
        <v>0</v>
      </c>
      <c r="T312" s="139">
        <f t="shared" si="131"/>
        <v>0</v>
      </c>
    </row>
    <row r="313" spans="1:20" s="164" customFormat="1">
      <c r="A313" s="377" t="s">
        <v>180</v>
      </c>
      <c r="B313" s="160"/>
      <c r="C313" s="4">
        <v>6034</v>
      </c>
      <c r="D313" s="167"/>
      <c r="E313" s="14">
        <v>14.13</v>
      </c>
      <c r="F313" s="100"/>
      <c r="G313" s="15">
        <f t="shared" ref="G313:G315" si="133">ROUND(C313*E313,0)</f>
        <v>85260</v>
      </c>
      <c r="H313" s="5"/>
      <c r="I313" s="31">
        <v>4.0000000000000001E-3</v>
      </c>
      <c r="J313" s="100"/>
      <c r="K313" s="15">
        <f t="shared" ref="K313:K315" si="134">$G313*I313</f>
        <v>341.04</v>
      </c>
      <c r="L313" s="5"/>
      <c r="M313" s="31">
        <f t="shared" si="132"/>
        <v>-1.9E-3</v>
      </c>
      <c r="N313" s="100"/>
      <c r="O313" s="15">
        <f t="shared" ref="O313:O315" si="135">$G313*M313</f>
        <v>-161.994</v>
      </c>
      <c r="S313" s="138">
        <f t="shared" ref="S313:S315" si="136">G313*I313-K313</f>
        <v>0</v>
      </c>
      <c r="T313" s="139">
        <f t="shared" ref="T313:T315" si="137">G313*M313-O313</f>
        <v>0</v>
      </c>
    </row>
    <row r="314" spans="1:20" s="164" customFormat="1">
      <c r="A314" s="377" t="s">
        <v>164</v>
      </c>
      <c r="B314" s="160"/>
      <c r="C314" s="4">
        <v>544</v>
      </c>
      <c r="D314" s="167"/>
      <c r="E314" s="14">
        <v>14.58</v>
      </c>
      <c r="F314" s="100"/>
      <c r="G314" s="15">
        <f t="shared" si="133"/>
        <v>7932</v>
      </c>
      <c r="H314" s="5"/>
      <c r="I314" s="31">
        <v>4.0000000000000001E-3</v>
      </c>
      <c r="J314" s="100"/>
      <c r="K314" s="15">
        <f t="shared" si="134"/>
        <v>31.728000000000002</v>
      </c>
      <c r="L314" s="5"/>
      <c r="M314" s="31">
        <f t="shared" si="132"/>
        <v>-1.9E-3</v>
      </c>
      <c r="N314" s="100"/>
      <c r="O314" s="15">
        <f t="shared" si="135"/>
        <v>-15.0708</v>
      </c>
      <c r="S314" s="138">
        <f t="shared" si="136"/>
        <v>0</v>
      </c>
      <c r="T314" s="139">
        <f t="shared" si="137"/>
        <v>0</v>
      </c>
    </row>
    <row r="315" spans="1:20" s="164" customFormat="1">
      <c r="A315" s="377" t="s">
        <v>181</v>
      </c>
      <c r="B315" s="160"/>
      <c r="C315" s="16">
        <v>669</v>
      </c>
      <c r="D315" s="167"/>
      <c r="E315" s="100">
        <v>15.79</v>
      </c>
      <c r="F315" s="100"/>
      <c r="G315" s="21">
        <f t="shared" si="133"/>
        <v>10564</v>
      </c>
      <c r="H315" s="5"/>
      <c r="I315" s="31">
        <v>4.0000000000000001E-3</v>
      </c>
      <c r="J315" s="100"/>
      <c r="K315" s="21">
        <f t="shared" si="134"/>
        <v>42.256</v>
      </c>
      <c r="L315" s="5"/>
      <c r="M315" s="31">
        <f t="shared" si="132"/>
        <v>-1.9E-3</v>
      </c>
      <c r="N315" s="100"/>
      <c r="O315" s="21">
        <f t="shared" si="135"/>
        <v>-20.0716</v>
      </c>
      <c r="S315" s="138">
        <f t="shared" si="136"/>
        <v>0</v>
      </c>
      <c r="T315" s="139">
        <f t="shared" si="137"/>
        <v>0</v>
      </c>
    </row>
    <row r="316" spans="1:20" s="164" customFormat="1">
      <c r="A316" s="381" t="s">
        <v>182</v>
      </c>
      <c r="B316" s="160"/>
      <c r="C316" s="4"/>
      <c r="D316" s="167"/>
      <c r="E316" s="14"/>
      <c r="F316" s="100"/>
      <c r="G316" s="15"/>
      <c r="H316" s="5"/>
      <c r="I316" s="31"/>
      <c r="J316" s="100"/>
      <c r="K316" s="15"/>
      <c r="L316" s="5"/>
      <c r="M316" s="31"/>
      <c r="N316" s="100"/>
      <c r="O316" s="15"/>
      <c r="S316" s="138"/>
      <c r="T316" s="139"/>
    </row>
    <row r="317" spans="1:20" s="164" customFormat="1">
      <c r="A317" s="377" t="s">
        <v>183</v>
      </c>
      <c r="B317" s="160"/>
      <c r="C317" s="4">
        <v>0</v>
      </c>
      <c r="D317" s="167"/>
      <c r="E317" s="14">
        <v>3.75</v>
      </c>
      <c r="F317" s="100"/>
      <c r="G317" s="15">
        <f>ROUND(C317*E317,0)</f>
        <v>0</v>
      </c>
      <c r="H317" s="5"/>
      <c r="I317" s="31">
        <v>4.0000000000000001E-3</v>
      </c>
      <c r="J317" s="100"/>
      <c r="K317" s="15">
        <f t="shared" ref="K317:K318" si="138">$G317*I317</f>
        <v>0</v>
      </c>
      <c r="L317" s="5"/>
      <c r="M317" s="31">
        <f>$R$121</f>
        <v>-1.9E-3</v>
      </c>
      <c r="N317" s="100"/>
      <c r="O317" s="15">
        <f t="shared" ref="O317:O318" si="139">$G317*M317</f>
        <v>0</v>
      </c>
      <c r="S317" s="138">
        <f>G317*I317-K317</f>
        <v>0</v>
      </c>
      <c r="T317" s="139">
        <f>G317*M317-O317</f>
        <v>0</v>
      </c>
    </row>
    <row r="318" spans="1:20" s="164" customFormat="1">
      <c r="A318" s="377" t="s">
        <v>184</v>
      </c>
      <c r="B318" s="160"/>
      <c r="C318" s="4">
        <v>83</v>
      </c>
      <c r="D318" s="167"/>
      <c r="E318" s="14">
        <v>13.92</v>
      </c>
      <c r="F318" s="100"/>
      <c r="G318" s="21">
        <f>ROUND(C318*E318,0)</f>
        <v>1155</v>
      </c>
      <c r="H318" s="5"/>
      <c r="I318" s="111">
        <v>4.0000000000000001E-3</v>
      </c>
      <c r="J318" s="100"/>
      <c r="K318" s="21">
        <f t="shared" si="138"/>
        <v>4.62</v>
      </c>
      <c r="L318" s="5"/>
      <c r="M318" s="111">
        <f>$R$121</f>
        <v>-1.9E-3</v>
      </c>
      <c r="N318" s="100"/>
      <c r="O318" s="21">
        <f t="shared" si="139"/>
        <v>-2.1945000000000001</v>
      </c>
      <c r="S318" s="138">
        <f>G318*I318-K318</f>
        <v>0</v>
      </c>
      <c r="T318" s="139">
        <f>G318*M318-O318</f>
        <v>0</v>
      </c>
    </row>
    <row r="319" spans="1:20" s="164" customFormat="1">
      <c r="A319" s="381" t="s">
        <v>166</v>
      </c>
      <c r="B319" s="160"/>
      <c r="C319" s="23">
        <v>5219064.5578195509</v>
      </c>
      <c r="D319" s="167"/>
      <c r="E319" s="176"/>
      <c r="F319" s="167"/>
      <c r="G319" s="37">
        <f>SUM(G290:G318)</f>
        <v>660059</v>
      </c>
      <c r="H319" s="5"/>
      <c r="I319" s="31"/>
      <c r="J319" s="100"/>
      <c r="K319" s="37">
        <f>SUM(K290:K318)</f>
        <v>2640.2359999999999</v>
      </c>
      <c r="L319" s="5"/>
      <c r="M319" s="31"/>
      <c r="N319" s="100"/>
      <c r="O319" s="37">
        <f>SUM(O290:O318)</f>
        <v>-1254.1121000000001</v>
      </c>
    </row>
    <row r="320" spans="1:20" s="164" customFormat="1">
      <c r="A320" s="381" t="s">
        <v>83</v>
      </c>
      <c r="B320" s="160"/>
      <c r="C320" s="16"/>
      <c r="D320" s="167"/>
      <c r="E320" s="14"/>
      <c r="F320" s="102"/>
      <c r="G320" s="21"/>
      <c r="H320" s="5"/>
      <c r="I320" s="125"/>
      <c r="J320" s="100"/>
      <c r="K320" s="21"/>
      <c r="L320" s="5"/>
      <c r="M320" s="125"/>
      <c r="N320" s="100"/>
      <c r="O320" s="21"/>
    </row>
    <row r="321" spans="1:20" s="164" customFormat="1">
      <c r="A321" s="381" t="s">
        <v>152</v>
      </c>
      <c r="B321" s="160"/>
      <c r="C321" s="48">
        <v>5219064.5578195509</v>
      </c>
      <c r="D321" s="167"/>
      <c r="E321" s="175"/>
      <c r="F321" s="102"/>
      <c r="G321" s="37">
        <f>SUM(G319:G320)</f>
        <v>660059</v>
      </c>
      <c r="H321" s="5"/>
      <c r="I321" s="125"/>
      <c r="J321" s="100"/>
      <c r="K321" s="37">
        <f>SUM(K319:K320)</f>
        <v>2640.2359999999999</v>
      </c>
      <c r="L321" s="5"/>
      <c r="M321" s="125"/>
      <c r="N321" s="100"/>
      <c r="O321" s="37">
        <f>SUM(O319:O320)</f>
        <v>-1254.1121000000001</v>
      </c>
    </row>
    <row r="322" spans="1:20" s="164" customFormat="1">
      <c r="A322" s="381" t="s">
        <v>308</v>
      </c>
      <c r="B322" s="160"/>
      <c r="C322" s="16">
        <v>221</v>
      </c>
      <c r="D322" s="167"/>
      <c r="E322" s="167"/>
      <c r="F322" s="167"/>
      <c r="G322" s="21"/>
      <c r="H322" s="5"/>
      <c r="I322" s="31"/>
      <c r="J322" s="100"/>
      <c r="K322" s="21"/>
      <c r="L322" s="5"/>
      <c r="M322" s="31"/>
      <c r="N322" s="100"/>
      <c r="O322" s="21"/>
    </row>
    <row r="323" spans="1:20" s="164" customFormat="1">
      <c r="A323" s="389" t="s">
        <v>185</v>
      </c>
      <c r="B323" s="160"/>
      <c r="C323" s="4"/>
      <c r="D323" s="167"/>
      <c r="E323" s="14"/>
      <c r="F323" s="100"/>
      <c r="G323" s="92"/>
      <c r="H323" s="5"/>
      <c r="I323" s="201"/>
      <c r="J323" s="201"/>
      <c r="K323" s="92"/>
      <c r="L323" s="5"/>
      <c r="M323" s="201"/>
      <c r="N323" s="201"/>
      <c r="O323" s="92"/>
    </row>
    <row r="324" spans="1:20" s="164" customFormat="1">
      <c r="A324" s="381" t="s">
        <v>168</v>
      </c>
      <c r="B324" s="160"/>
      <c r="C324" s="4"/>
      <c r="D324" s="167"/>
      <c r="E324" s="14"/>
      <c r="F324" s="100"/>
      <c r="G324" s="15"/>
      <c r="H324" s="5"/>
      <c r="I324" s="201"/>
      <c r="J324" s="201"/>
      <c r="K324" s="15"/>
      <c r="L324" s="5"/>
      <c r="M324" s="201"/>
      <c r="N324" s="201"/>
      <c r="O324" s="15"/>
    </row>
    <row r="325" spans="1:20" s="164" customFormat="1">
      <c r="A325" s="377" t="s">
        <v>147</v>
      </c>
      <c r="B325" s="160"/>
      <c r="C325" s="4">
        <v>36</v>
      </c>
      <c r="D325" s="167"/>
      <c r="E325" s="14">
        <v>17.73</v>
      </c>
      <c r="F325" s="100"/>
      <c r="G325" s="15">
        <f>ROUND(C325*E325,0)</f>
        <v>638</v>
      </c>
      <c r="H325" s="5"/>
      <c r="I325" s="31">
        <v>4.0000000000000001E-3</v>
      </c>
      <c r="J325" s="100"/>
      <c r="K325" s="15">
        <f t="shared" ref="K325:K326" si="140">$G325*I325</f>
        <v>2.552</v>
      </c>
      <c r="L325" s="5"/>
      <c r="M325" s="31">
        <f>$R$121</f>
        <v>-1.9E-3</v>
      </c>
      <c r="N325" s="100"/>
      <c r="O325" s="15">
        <f t="shared" ref="O325:O326" si="141">$G325*M325</f>
        <v>-1.2121999999999999</v>
      </c>
      <c r="S325" s="138">
        <f>G325*I325-K325</f>
        <v>0</v>
      </c>
      <c r="T325" s="139">
        <f>G325*M325-O325</f>
        <v>0</v>
      </c>
    </row>
    <row r="326" spans="1:20" s="164" customFormat="1">
      <c r="A326" s="377" t="s">
        <v>142</v>
      </c>
      <c r="B326" s="160"/>
      <c r="C326" s="4">
        <v>12</v>
      </c>
      <c r="D326" s="167"/>
      <c r="E326" s="14">
        <v>23.4</v>
      </c>
      <c r="F326" s="100"/>
      <c r="G326" s="15">
        <f>ROUND(C326*E326,0)</f>
        <v>281</v>
      </c>
      <c r="H326" s="5"/>
      <c r="I326" s="31">
        <v>4.0000000000000001E-3</v>
      </c>
      <c r="J326" s="100"/>
      <c r="K326" s="15">
        <f t="shared" si="140"/>
        <v>1.1240000000000001</v>
      </c>
      <c r="L326" s="5"/>
      <c r="M326" s="31">
        <f>$R$121</f>
        <v>-1.9E-3</v>
      </c>
      <c r="N326" s="100"/>
      <c r="O326" s="15">
        <f t="shared" si="141"/>
        <v>-0.53390000000000004</v>
      </c>
      <c r="S326" s="138">
        <f>G326*I326-K326</f>
        <v>0</v>
      </c>
      <c r="T326" s="139">
        <f>G326*M326-O326</f>
        <v>0</v>
      </c>
    </row>
    <row r="327" spans="1:20" s="164" customFormat="1">
      <c r="A327" s="381" t="s">
        <v>170</v>
      </c>
      <c r="B327" s="160"/>
      <c r="C327" s="4"/>
      <c r="D327" s="167"/>
      <c r="E327" s="168"/>
      <c r="F327" s="167"/>
      <c r="G327" s="92"/>
      <c r="H327" s="5"/>
      <c r="I327" s="91"/>
      <c r="J327" s="5"/>
      <c r="K327" s="92"/>
      <c r="L327" s="5"/>
      <c r="M327" s="91"/>
      <c r="N327" s="5"/>
      <c r="O327" s="92"/>
      <c r="S327" s="138"/>
      <c r="T327" s="139"/>
    </row>
    <row r="328" spans="1:20" s="164" customFormat="1">
      <c r="A328" s="377" t="s">
        <v>56</v>
      </c>
      <c r="B328" s="160"/>
      <c r="C328" s="4">
        <v>42</v>
      </c>
      <c r="D328" s="167"/>
      <c r="E328" s="14">
        <v>8.0299999999999994</v>
      </c>
      <c r="F328" s="100"/>
      <c r="G328" s="15">
        <f>ROUND(C328*E328,0)</f>
        <v>337</v>
      </c>
      <c r="H328" s="5"/>
      <c r="I328" s="31">
        <v>4.0000000000000001E-3</v>
      </c>
      <c r="J328" s="100"/>
      <c r="K328" s="15">
        <f t="shared" ref="K328:K330" si="142">$G328*I328</f>
        <v>1.3480000000000001</v>
      </c>
      <c r="L328" s="5"/>
      <c r="M328" s="31">
        <f>$R$121</f>
        <v>-1.9E-3</v>
      </c>
      <c r="N328" s="100"/>
      <c r="O328" s="15">
        <f t="shared" ref="O328:O330" si="143">$G328*M328</f>
        <v>-0.64029999999999998</v>
      </c>
      <c r="S328" s="138">
        <f>G328*I328-K328</f>
        <v>0</v>
      </c>
      <c r="T328" s="139">
        <f>G328*M328-O328</f>
        <v>0</v>
      </c>
    </row>
    <row r="329" spans="1:20" s="164" customFormat="1">
      <c r="A329" s="377" t="s">
        <v>58</v>
      </c>
      <c r="B329" s="160"/>
      <c r="C329" s="4">
        <v>0</v>
      </c>
      <c r="D329" s="167"/>
      <c r="E329" s="14">
        <v>15.3</v>
      </c>
      <c r="F329" s="100"/>
      <c r="G329" s="15">
        <f>ROUND(C329*E329,0)</f>
        <v>0</v>
      </c>
      <c r="H329" s="5"/>
      <c r="I329" s="31">
        <v>4.0000000000000001E-3</v>
      </c>
      <c r="J329" s="100"/>
      <c r="K329" s="15">
        <f t="shared" si="142"/>
        <v>0</v>
      </c>
      <c r="L329" s="5"/>
      <c r="M329" s="31">
        <f>$R$121</f>
        <v>-1.9E-3</v>
      </c>
      <c r="N329" s="100"/>
      <c r="O329" s="15">
        <f t="shared" si="143"/>
        <v>0</v>
      </c>
      <c r="S329" s="138">
        <f>G329*I329-K329</f>
        <v>0</v>
      </c>
      <c r="T329" s="139">
        <f>G329*M329-O329</f>
        <v>0</v>
      </c>
    </row>
    <row r="330" spans="1:20" s="164" customFormat="1">
      <c r="A330" s="377" t="s">
        <v>171</v>
      </c>
      <c r="B330" s="160"/>
      <c r="C330" s="4">
        <v>96</v>
      </c>
      <c r="D330" s="167"/>
      <c r="E330" s="100">
        <v>32.479999999999997</v>
      </c>
      <c r="F330" s="100"/>
      <c r="G330" s="21">
        <f>ROUND(C330*E330,0)</f>
        <v>3118</v>
      </c>
      <c r="H330" s="5"/>
      <c r="I330" s="31">
        <v>4.0000000000000001E-3</v>
      </c>
      <c r="J330" s="100"/>
      <c r="K330" s="21">
        <f t="shared" si="142"/>
        <v>12.472</v>
      </c>
      <c r="L330" s="5"/>
      <c r="M330" s="31">
        <f>$R$121</f>
        <v>-1.9E-3</v>
      </c>
      <c r="N330" s="100"/>
      <c r="O330" s="21">
        <f t="shared" si="143"/>
        <v>-5.9241999999999999</v>
      </c>
      <c r="S330" s="138">
        <f>G330*I330-K330</f>
        <v>0</v>
      </c>
      <c r="T330" s="139">
        <f>G330*M330-O330</f>
        <v>0</v>
      </c>
    </row>
    <row r="331" spans="1:20" s="164" customFormat="1" ht="14.25" customHeight="1">
      <c r="A331" s="381" t="s">
        <v>113</v>
      </c>
      <c r="B331" s="160"/>
      <c r="C331" s="4"/>
      <c r="D331" s="167"/>
      <c r="E331" s="105"/>
      <c r="F331" s="20"/>
      <c r="G331" s="15"/>
      <c r="H331" s="5"/>
      <c r="I331" s="106"/>
      <c r="J331" s="20"/>
      <c r="K331" s="15"/>
      <c r="L331" s="5"/>
      <c r="M331" s="106"/>
      <c r="N331" s="20"/>
      <c r="O331" s="15"/>
      <c r="S331" s="138"/>
      <c r="T331" s="139"/>
    </row>
    <row r="332" spans="1:20" s="164" customFormat="1">
      <c r="A332" s="377" t="s">
        <v>156</v>
      </c>
      <c r="B332" s="160"/>
      <c r="C332" s="4">
        <v>4275</v>
      </c>
      <c r="D332" s="167"/>
      <c r="E332" s="14">
        <v>4.68</v>
      </c>
      <c r="F332" s="100"/>
      <c r="G332" s="15">
        <f t="shared" ref="G332:G337" si="144">ROUND(C332*E332,0)</f>
        <v>20007</v>
      </c>
      <c r="H332" s="5"/>
      <c r="I332" s="31">
        <v>4.0000000000000001E-3</v>
      </c>
      <c r="J332" s="100"/>
      <c r="K332" s="15">
        <f t="shared" ref="K332:K337" si="145">$G332*I332</f>
        <v>80.028000000000006</v>
      </c>
      <c r="L332" s="5"/>
      <c r="M332" s="31">
        <f t="shared" ref="M332:M337" si="146">$R$121</f>
        <v>-1.9E-3</v>
      </c>
      <c r="N332" s="100"/>
      <c r="O332" s="15">
        <f t="shared" ref="O332:O337" si="147">$G332*M332</f>
        <v>-38.013300000000001</v>
      </c>
      <c r="S332" s="138">
        <f t="shared" ref="S332:S337" si="148">G332*I332-K332</f>
        <v>0</v>
      </c>
      <c r="T332" s="139">
        <f t="shared" ref="T332:T337" si="149">G332*M332-O332</f>
        <v>0</v>
      </c>
    </row>
    <row r="333" spans="1:20" s="164" customFormat="1">
      <c r="A333" s="377" t="s">
        <v>157</v>
      </c>
      <c r="B333" s="160"/>
      <c r="C333" s="4">
        <v>14686</v>
      </c>
      <c r="D333" s="167"/>
      <c r="E333" s="14">
        <v>6.16</v>
      </c>
      <c r="F333" s="100"/>
      <c r="G333" s="15">
        <f t="shared" si="144"/>
        <v>90466</v>
      </c>
      <c r="H333" s="5"/>
      <c r="I333" s="31">
        <v>4.0000000000000001E-3</v>
      </c>
      <c r="J333" s="100"/>
      <c r="K333" s="15">
        <f t="shared" si="145"/>
        <v>361.86400000000003</v>
      </c>
      <c r="L333" s="5"/>
      <c r="M333" s="31">
        <f t="shared" si="146"/>
        <v>-1.9E-3</v>
      </c>
      <c r="N333" s="100"/>
      <c r="O333" s="15">
        <f t="shared" si="147"/>
        <v>-171.8854</v>
      </c>
      <c r="S333" s="138">
        <f t="shared" si="148"/>
        <v>0</v>
      </c>
      <c r="T333" s="139">
        <f t="shared" si="149"/>
        <v>0</v>
      </c>
    </row>
    <row r="334" spans="1:20" s="164" customFormat="1">
      <c r="A334" s="377" t="s">
        <v>158</v>
      </c>
      <c r="B334" s="160"/>
      <c r="C334" s="4">
        <v>1259</v>
      </c>
      <c r="D334" s="167"/>
      <c r="E334" s="14">
        <v>7.47</v>
      </c>
      <c r="F334" s="100"/>
      <c r="G334" s="15">
        <f t="shared" si="144"/>
        <v>9405</v>
      </c>
      <c r="H334" s="5"/>
      <c r="I334" s="31">
        <v>4.0000000000000001E-3</v>
      </c>
      <c r="J334" s="100"/>
      <c r="K334" s="15">
        <f t="shared" si="145"/>
        <v>37.619999999999997</v>
      </c>
      <c r="L334" s="5"/>
      <c r="M334" s="31">
        <f t="shared" si="146"/>
        <v>-1.9E-3</v>
      </c>
      <c r="N334" s="100"/>
      <c r="O334" s="15">
        <f t="shared" si="147"/>
        <v>-17.869499999999999</v>
      </c>
      <c r="S334" s="138">
        <f t="shared" si="148"/>
        <v>0</v>
      </c>
      <c r="T334" s="139">
        <f t="shared" si="149"/>
        <v>0</v>
      </c>
    </row>
    <row r="335" spans="1:20" s="164" customFormat="1">
      <c r="A335" s="377" t="s">
        <v>66</v>
      </c>
      <c r="B335" s="160"/>
      <c r="C335" s="4">
        <v>0</v>
      </c>
      <c r="D335" s="167"/>
      <c r="E335" s="14">
        <v>9.44</v>
      </c>
      <c r="F335" s="100"/>
      <c r="G335" s="15">
        <f t="shared" si="144"/>
        <v>0</v>
      </c>
      <c r="H335" s="5"/>
      <c r="I335" s="31">
        <v>4.0000000000000001E-3</v>
      </c>
      <c r="J335" s="100"/>
      <c r="K335" s="15">
        <f t="shared" si="145"/>
        <v>0</v>
      </c>
      <c r="L335" s="5"/>
      <c r="M335" s="31">
        <f t="shared" si="146"/>
        <v>-1.9E-3</v>
      </c>
      <c r="N335" s="100"/>
      <c r="O335" s="15">
        <f t="shared" si="147"/>
        <v>0</v>
      </c>
      <c r="S335" s="138">
        <f t="shared" si="148"/>
        <v>0</v>
      </c>
      <c r="T335" s="139">
        <f t="shared" si="149"/>
        <v>0</v>
      </c>
    </row>
    <row r="336" spans="1:20" s="164" customFormat="1">
      <c r="A336" s="377" t="s">
        <v>159</v>
      </c>
      <c r="B336" s="160"/>
      <c r="C336" s="4">
        <v>2408</v>
      </c>
      <c r="D336" s="167"/>
      <c r="E336" s="14">
        <v>10.99</v>
      </c>
      <c r="F336" s="100"/>
      <c r="G336" s="15">
        <f t="shared" si="144"/>
        <v>26464</v>
      </c>
      <c r="H336" s="5"/>
      <c r="I336" s="31">
        <v>4.0000000000000001E-3</v>
      </c>
      <c r="J336" s="100"/>
      <c r="K336" s="15">
        <f t="shared" si="145"/>
        <v>105.85600000000001</v>
      </c>
      <c r="L336" s="5"/>
      <c r="M336" s="31">
        <f t="shared" si="146"/>
        <v>-1.9E-3</v>
      </c>
      <c r="N336" s="100"/>
      <c r="O336" s="15">
        <f t="shared" si="147"/>
        <v>-50.281599999999997</v>
      </c>
      <c r="S336" s="138">
        <f t="shared" si="148"/>
        <v>0</v>
      </c>
      <c r="T336" s="139">
        <f t="shared" si="149"/>
        <v>0</v>
      </c>
    </row>
    <row r="337" spans="1:20" s="164" customFormat="1">
      <c r="A337" s="377" t="s">
        <v>160</v>
      </c>
      <c r="B337" s="160"/>
      <c r="C337" s="4">
        <v>1967</v>
      </c>
      <c r="D337" s="167"/>
      <c r="E337" s="14">
        <v>16.02</v>
      </c>
      <c r="F337" s="100"/>
      <c r="G337" s="21">
        <f t="shared" si="144"/>
        <v>31511</v>
      </c>
      <c r="H337" s="5"/>
      <c r="I337" s="31">
        <v>4.0000000000000001E-3</v>
      </c>
      <c r="J337" s="100"/>
      <c r="K337" s="21">
        <f t="shared" si="145"/>
        <v>126.044</v>
      </c>
      <c r="L337" s="5"/>
      <c r="M337" s="31">
        <f t="shared" si="146"/>
        <v>-1.9E-3</v>
      </c>
      <c r="N337" s="100"/>
      <c r="O337" s="21">
        <f t="shared" si="147"/>
        <v>-59.870899999999999</v>
      </c>
      <c r="S337" s="138">
        <f t="shared" si="148"/>
        <v>0</v>
      </c>
      <c r="T337" s="139">
        <f t="shared" si="149"/>
        <v>0</v>
      </c>
    </row>
    <row r="338" spans="1:20" s="164" customFormat="1">
      <c r="A338" s="381" t="s">
        <v>129</v>
      </c>
      <c r="B338" s="160"/>
      <c r="C338" s="4"/>
      <c r="D338" s="167"/>
      <c r="E338" s="168"/>
      <c r="F338" s="167"/>
      <c r="G338" s="92"/>
      <c r="H338" s="5"/>
      <c r="I338" s="91"/>
      <c r="J338" s="5"/>
      <c r="K338" s="92"/>
      <c r="L338" s="5"/>
      <c r="M338" s="91"/>
      <c r="N338" s="5"/>
      <c r="O338" s="92"/>
      <c r="S338" s="138"/>
      <c r="T338" s="139"/>
    </row>
    <row r="339" spans="1:20" s="164" customFormat="1">
      <c r="A339" s="377" t="s">
        <v>162</v>
      </c>
      <c r="B339" s="160"/>
      <c r="C339" s="4">
        <v>1188</v>
      </c>
      <c r="D339" s="167"/>
      <c r="E339" s="14">
        <v>15.58</v>
      </c>
      <c r="F339" s="100"/>
      <c r="G339" s="15">
        <f>ROUND(C339*E339,0)</f>
        <v>18509</v>
      </c>
      <c r="H339" s="5"/>
      <c r="I339" s="31">
        <v>4.0000000000000001E-3</v>
      </c>
      <c r="J339" s="100"/>
      <c r="K339" s="15">
        <f t="shared" ref="K339:K342" si="150">$G339*I339</f>
        <v>74.036000000000001</v>
      </c>
      <c r="L339" s="5"/>
      <c r="M339" s="31">
        <f>$R$121</f>
        <v>-1.9E-3</v>
      </c>
      <c r="N339" s="100"/>
      <c r="O339" s="15">
        <f t="shared" ref="O339:O342" si="151">$G339*M339</f>
        <v>-35.167099999999998</v>
      </c>
      <c r="S339" s="138">
        <f>G339*I339-K339</f>
        <v>0</v>
      </c>
      <c r="T339" s="139">
        <f>G339*M339-O339</f>
        <v>0</v>
      </c>
    </row>
    <row r="340" spans="1:20" s="164" customFormat="1">
      <c r="A340" s="377" t="s">
        <v>163</v>
      </c>
      <c r="B340" s="160"/>
      <c r="C340" s="4">
        <v>724</v>
      </c>
      <c r="D340" s="167"/>
      <c r="E340" s="14">
        <v>15.73</v>
      </c>
      <c r="F340" s="100"/>
      <c r="G340" s="15">
        <f>ROUND(C340*E340,0)</f>
        <v>11389</v>
      </c>
      <c r="H340" s="5"/>
      <c r="I340" s="31">
        <v>4.0000000000000001E-3</v>
      </c>
      <c r="J340" s="100"/>
      <c r="K340" s="15">
        <f t="shared" si="150"/>
        <v>45.556000000000004</v>
      </c>
      <c r="L340" s="5"/>
      <c r="M340" s="31">
        <f>$R$121</f>
        <v>-1.9E-3</v>
      </c>
      <c r="N340" s="100"/>
      <c r="O340" s="15">
        <f t="shared" si="151"/>
        <v>-21.639099999999999</v>
      </c>
      <c r="S340" s="138">
        <f>G340*I340-K340</f>
        <v>0</v>
      </c>
      <c r="T340" s="139">
        <f>G340*M340-O340</f>
        <v>0</v>
      </c>
    </row>
    <row r="341" spans="1:20" s="164" customFormat="1">
      <c r="A341" s="377" t="s">
        <v>164</v>
      </c>
      <c r="B341" s="160"/>
      <c r="C341" s="4">
        <v>881</v>
      </c>
      <c r="D341" s="167"/>
      <c r="E341" s="14">
        <v>16.72</v>
      </c>
      <c r="F341" s="100"/>
      <c r="G341" s="15">
        <f>ROUND(C341*E341,0)</f>
        <v>14730</v>
      </c>
      <c r="H341" s="5"/>
      <c r="I341" s="31">
        <v>4.0000000000000001E-3</v>
      </c>
      <c r="J341" s="100"/>
      <c r="K341" s="15">
        <f t="shared" si="150"/>
        <v>58.92</v>
      </c>
      <c r="L341" s="5"/>
      <c r="M341" s="31">
        <f>$R$121</f>
        <v>-1.9E-3</v>
      </c>
      <c r="N341" s="100"/>
      <c r="O341" s="15">
        <f t="shared" si="151"/>
        <v>-27.986999999999998</v>
      </c>
      <c r="S341" s="138">
        <f>G341*I341-K341</f>
        <v>0</v>
      </c>
      <c r="T341" s="139">
        <f>G341*M341-O341</f>
        <v>0</v>
      </c>
    </row>
    <row r="342" spans="1:20" s="164" customFormat="1">
      <c r="A342" s="377" t="s">
        <v>186</v>
      </c>
      <c r="B342" s="160"/>
      <c r="C342" s="48">
        <v>96</v>
      </c>
      <c r="D342" s="167"/>
      <c r="E342" s="400">
        <v>33.049999999999997</v>
      </c>
      <c r="F342" s="100"/>
      <c r="G342" s="24">
        <f>ROUND(C342*E342,0)</f>
        <v>3173</v>
      </c>
      <c r="H342" s="5"/>
      <c r="I342" s="31">
        <v>4.0000000000000001E-3</v>
      </c>
      <c r="J342" s="100"/>
      <c r="K342" s="24">
        <f t="shared" si="150"/>
        <v>12.692</v>
      </c>
      <c r="L342" s="5"/>
      <c r="M342" s="31">
        <f>$R$121</f>
        <v>-1.9E-3</v>
      </c>
      <c r="N342" s="100"/>
      <c r="O342" s="24">
        <f t="shared" si="151"/>
        <v>-6.0286999999999997</v>
      </c>
      <c r="S342" s="138">
        <f>G342*I342-K342</f>
        <v>0</v>
      </c>
      <c r="T342" s="139">
        <f>G342*M342-O342</f>
        <v>0</v>
      </c>
    </row>
    <row r="343" spans="1:20" s="164" customFormat="1">
      <c r="A343" s="381" t="s">
        <v>166</v>
      </c>
      <c r="B343" s="160"/>
      <c r="C343" s="16">
        <v>1644139.7735008644</v>
      </c>
      <c r="D343" s="167"/>
      <c r="E343" s="167"/>
      <c r="F343" s="167"/>
      <c r="G343" s="21">
        <f>SUM(G325:G342)</f>
        <v>230028</v>
      </c>
      <c r="H343" s="5"/>
      <c r="I343" s="125"/>
      <c r="J343" s="100"/>
      <c r="K343" s="21">
        <f>SUM(K325:K342)</f>
        <v>920.11199999999997</v>
      </c>
      <c r="L343" s="5"/>
      <c r="M343" s="125"/>
      <c r="N343" s="100"/>
      <c r="O343" s="21">
        <f>SUM(O325:O342)</f>
        <v>-437.05320000000006</v>
      </c>
    </row>
    <row r="344" spans="1:20" s="164" customFormat="1">
      <c r="A344" s="381" t="s">
        <v>83</v>
      </c>
      <c r="B344" s="160"/>
      <c r="C344" s="16"/>
      <c r="D344" s="167"/>
      <c r="E344" s="100"/>
      <c r="F344" s="102"/>
      <c r="G344" s="21"/>
      <c r="H344" s="5"/>
      <c r="I344" s="125"/>
      <c r="J344" s="100"/>
      <c r="K344" s="21"/>
      <c r="L344" s="5"/>
      <c r="M344" s="125"/>
      <c r="N344" s="100"/>
      <c r="O344" s="21"/>
    </row>
    <row r="345" spans="1:20" s="164" customFormat="1">
      <c r="A345" s="381" t="s">
        <v>152</v>
      </c>
      <c r="B345" s="160"/>
      <c r="C345" s="48">
        <v>1644139.7735008644</v>
      </c>
      <c r="D345" s="167"/>
      <c r="E345" s="400"/>
      <c r="F345" s="102"/>
      <c r="G345" s="37">
        <f>SUM(G343:G344)</f>
        <v>230028</v>
      </c>
      <c r="H345" s="5"/>
      <c r="I345" s="125"/>
      <c r="J345" s="100"/>
      <c r="K345" s="37">
        <f>SUM(K343:K344)</f>
        <v>920.11199999999997</v>
      </c>
      <c r="L345" s="5"/>
      <c r="M345" s="125"/>
      <c r="N345" s="100"/>
      <c r="O345" s="37">
        <f>SUM(O343:O344)</f>
        <v>-437.05320000000006</v>
      </c>
    </row>
    <row r="346" spans="1:20" s="164" customFormat="1">
      <c r="A346" s="381" t="s">
        <v>308</v>
      </c>
      <c r="B346" s="160"/>
      <c r="C346" s="16">
        <v>99</v>
      </c>
      <c r="D346" s="167"/>
      <c r="E346" s="167"/>
      <c r="F346" s="167"/>
      <c r="G346" s="21"/>
      <c r="H346" s="5"/>
      <c r="I346" s="202"/>
      <c r="J346" s="201"/>
      <c r="K346" s="21"/>
      <c r="L346" s="5"/>
      <c r="M346" s="202"/>
      <c r="N346" s="201"/>
      <c r="O346" s="21"/>
    </row>
    <row r="347" spans="1:20" s="164" customFormat="1">
      <c r="A347" s="377"/>
      <c r="B347" s="160"/>
      <c r="C347" s="48"/>
      <c r="D347" s="167"/>
      <c r="E347" s="100"/>
      <c r="F347" s="100"/>
      <c r="G347" s="24"/>
      <c r="H347" s="5"/>
      <c r="I347" s="111"/>
      <c r="J347" s="100"/>
      <c r="K347" s="24"/>
      <c r="L347" s="5"/>
      <c r="M347" s="111"/>
      <c r="N347" s="100"/>
      <c r="O347" s="24"/>
    </row>
    <row r="348" spans="1:20" s="164" customFormat="1">
      <c r="A348" s="377" t="s">
        <v>187</v>
      </c>
      <c r="B348" s="160"/>
      <c r="C348" s="45">
        <v>56516774.129293256</v>
      </c>
      <c r="D348" s="167"/>
      <c r="E348" s="176"/>
      <c r="F348" s="167"/>
      <c r="G348" s="24">
        <f>G284+G319+G343</f>
        <v>4144867</v>
      </c>
      <c r="H348" s="5"/>
      <c r="I348" s="126"/>
      <c r="J348" s="5"/>
      <c r="K348" s="24">
        <f>K284+K319+K343</f>
        <v>16579.468000000001</v>
      </c>
      <c r="L348" s="5"/>
      <c r="M348" s="126"/>
      <c r="N348" s="5"/>
      <c r="O348" s="24">
        <f>O284+O319+O343</f>
        <v>-7875.2473000000009</v>
      </c>
    </row>
    <row r="349" spans="1:20" s="164" customFormat="1">
      <c r="A349" s="377" t="s">
        <v>84</v>
      </c>
      <c r="B349" s="160"/>
      <c r="C349" s="13">
        <v>839</v>
      </c>
      <c r="D349" s="167"/>
      <c r="E349" s="168"/>
      <c r="F349" s="167"/>
      <c r="G349" s="92"/>
      <c r="H349" s="5"/>
      <c r="I349" s="126"/>
      <c r="J349" s="5"/>
      <c r="K349" s="92"/>
      <c r="L349" s="5"/>
      <c r="M349" s="126"/>
      <c r="N349" s="5"/>
      <c r="O349" s="92"/>
    </row>
    <row r="350" spans="1:20" s="164" customFormat="1">
      <c r="A350" s="377" t="s">
        <v>83</v>
      </c>
      <c r="B350" s="160"/>
      <c r="C350" s="45"/>
      <c r="D350" s="167"/>
      <c r="E350" s="176"/>
      <c r="F350" s="167"/>
      <c r="G350" s="24">
        <v>0</v>
      </c>
      <c r="H350" s="5"/>
      <c r="I350" s="126"/>
      <c r="J350" s="5"/>
      <c r="K350" s="24"/>
      <c r="L350" s="5"/>
      <c r="M350" s="126"/>
      <c r="N350" s="5"/>
      <c r="O350" s="24"/>
    </row>
    <row r="351" spans="1:20" s="164" customFormat="1" ht="16.5" thickBot="1">
      <c r="A351" s="377" t="s">
        <v>152</v>
      </c>
      <c r="B351" s="160"/>
      <c r="C351" s="43">
        <v>56516774.129293256</v>
      </c>
      <c r="D351" s="167"/>
      <c r="E351" s="46"/>
      <c r="F351" s="122"/>
      <c r="G351" s="470">
        <f>G350+G348</f>
        <v>4144867</v>
      </c>
      <c r="H351" s="5"/>
      <c r="I351" s="123"/>
      <c r="J351" s="122"/>
      <c r="K351" s="470">
        <f>K350+K348</f>
        <v>16579.468000000001</v>
      </c>
      <c r="L351" s="5"/>
      <c r="M351" s="123"/>
      <c r="N351" s="122"/>
      <c r="O351" s="470">
        <f>O350+O348</f>
        <v>-7875.2473000000009</v>
      </c>
    </row>
    <row r="352" spans="1:20" s="164" customFormat="1" ht="16.5" thickTop="1">
      <c r="A352" s="198"/>
      <c r="B352" s="168"/>
      <c r="C352" s="47"/>
      <c r="D352" s="167"/>
      <c r="E352" s="167"/>
      <c r="F352" s="167"/>
      <c r="G352" s="21"/>
      <c r="H352" s="5"/>
      <c r="I352" s="108"/>
      <c r="J352" s="109"/>
      <c r="K352" s="21"/>
      <c r="L352" s="5"/>
      <c r="M352" s="108"/>
      <c r="N352" s="109"/>
      <c r="O352" s="21"/>
    </row>
    <row r="353" spans="1:20" s="164" customFormat="1">
      <c r="A353" s="389" t="s">
        <v>437</v>
      </c>
      <c r="B353" s="160"/>
      <c r="C353" s="4"/>
      <c r="D353" s="167"/>
      <c r="E353" s="168"/>
      <c r="F353" s="167"/>
      <c r="G353" s="92"/>
      <c r="H353" s="5"/>
      <c r="I353" s="126"/>
      <c r="J353" s="5"/>
      <c r="K353" s="92"/>
      <c r="L353" s="5"/>
      <c r="M353" s="126"/>
      <c r="N353" s="5"/>
      <c r="O353" s="92"/>
    </row>
    <row r="354" spans="1:20" s="164" customFormat="1">
      <c r="A354" s="377" t="s">
        <v>188</v>
      </c>
      <c r="B354" s="160"/>
      <c r="C354" s="4">
        <v>20286</v>
      </c>
      <c r="D354" s="167"/>
      <c r="E354" s="14">
        <v>11</v>
      </c>
      <c r="F354" s="100"/>
      <c r="G354" s="15">
        <f>ROUND(C354*E354,0)</f>
        <v>223146</v>
      </c>
      <c r="H354" s="5"/>
      <c r="I354" s="91"/>
      <c r="J354" s="5"/>
      <c r="K354" s="15"/>
      <c r="L354" s="5"/>
      <c r="M354" s="91"/>
      <c r="N354" s="5"/>
      <c r="O354" s="15"/>
      <c r="Q354" s="70" t="s">
        <v>14</v>
      </c>
      <c r="R354" s="17">
        <f>O360</f>
        <v>-4779.1845000000003</v>
      </c>
      <c r="S354" s="138"/>
      <c r="T354" s="139"/>
    </row>
    <row r="355" spans="1:20" s="164" customFormat="1">
      <c r="A355" s="377" t="s">
        <v>189</v>
      </c>
      <c r="B355" s="160"/>
      <c r="C355" s="4">
        <v>497</v>
      </c>
      <c r="D355" s="167"/>
      <c r="E355" s="14">
        <v>72.5</v>
      </c>
      <c r="F355" s="100"/>
      <c r="G355" s="15">
        <f>ROUND(C355*E355,0)</f>
        <v>36033</v>
      </c>
      <c r="H355" s="5"/>
      <c r="I355" s="31"/>
      <c r="J355" s="100"/>
      <c r="K355" s="15"/>
      <c r="L355" s="5"/>
      <c r="M355" s="31"/>
      <c r="N355" s="100"/>
      <c r="O355" s="15"/>
      <c r="Q355" s="71" t="s">
        <v>16</v>
      </c>
      <c r="R355" s="18">
        <f>'Exhibit-RMP(RMM-1) page 2'!K43*1000</f>
        <v>-4737.8410266772889</v>
      </c>
      <c r="S355" s="138"/>
      <c r="T355" s="139"/>
    </row>
    <row r="356" spans="1:20" s="164" customFormat="1">
      <c r="A356" s="377" t="s">
        <v>190</v>
      </c>
      <c r="B356" s="160"/>
      <c r="C356" s="390">
        <v>0</v>
      </c>
      <c r="D356" s="167"/>
      <c r="E356" s="14">
        <v>127.5</v>
      </c>
      <c r="F356" s="100"/>
      <c r="G356" s="15">
        <f>ROUND(C356*E356,0)</f>
        <v>0</v>
      </c>
      <c r="H356" s="5"/>
      <c r="I356" s="31"/>
      <c r="J356" s="100"/>
      <c r="K356" s="15"/>
      <c r="L356" s="5"/>
      <c r="M356" s="31"/>
      <c r="N356" s="100"/>
      <c r="O356" s="15"/>
      <c r="Q356" s="72" t="s">
        <v>18</v>
      </c>
      <c r="R356" s="19">
        <f>R355-R354</f>
        <v>41.343473322711361</v>
      </c>
      <c r="S356" s="138"/>
      <c r="T356" s="139"/>
    </row>
    <row r="357" spans="1:20" s="164" customFormat="1">
      <c r="A357" s="377" t="s">
        <v>191</v>
      </c>
      <c r="B357" s="160"/>
      <c r="C357" s="4">
        <v>6182</v>
      </c>
      <c r="D357" s="167"/>
      <c r="E357" s="14">
        <v>6.2</v>
      </c>
      <c r="F357" s="100"/>
      <c r="G357" s="15">
        <f>ROUND(C357*E357,0)</f>
        <v>38328</v>
      </c>
      <c r="H357" s="5"/>
      <c r="I357" s="31"/>
      <c r="J357" s="100"/>
      <c r="K357" s="15"/>
      <c r="L357" s="5"/>
      <c r="M357" s="31"/>
      <c r="N357" s="100"/>
      <c r="O357" s="15"/>
      <c r="Q357" s="75" t="s">
        <v>21</v>
      </c>
      <c r="R357" s="76">
        <f>ROUND(R355/SUM(G358),$R$12)</f>
        <v>-5.1000000000000004E-3</v>
      </c>
      <c r="S357" s="138"/>
      <c r="T357" s="139"/>
    </row>
    <row r="358" spans="1:20" s="164" customFormat="1">
      <c r="A358" s="377" t="s">
        <v>192</v>
      </c>
      <c r="B358" s="160"/>
      <c r="C358" s="4">
        <v>17536444.611929484</v>
      </c>
      <c r="D358" s="167"/>
      <c r="E358" s="118">
        <v>5.3437000000000001</v>
      </c>
      <c r="F358" s="102" t="s">
        <v>11</v>
      </c>
      <c r="G358" s="15">
        <f>ROUND(C358*E358/100,0)</f>
        <v>937095</v>
      </c>
      <c r="H358" s="5"/>
      <c r="I358" s="31">
        <v>1.0699999999999999E-2</v>
      </c>
      <c r="J358" s="102"/>
      <c r="K358" s="15">
        <f t="shared" ref="K358" si="152">$G358*I358</f>
        <v>10026.916499999999</v>
      </c>
      <c r="L358" s="5"/>
      <c r="M358" s="31">
        <f>R357</f>
        <v>-5.1000000000000004E-3</v>
      </c>
      <c r="N358" s="102"/>
      <c r="O358" s="15">
        <f t="shared" ref="O358" si="153">$G358*M358</f>
        <v>-4779.1845000000003</v>
      </c>
      <c r="S358" s="138">
        <f>G358*I358-K358</f>
        <v>0</v>
      </c>
      <c r="T358" s="139">
        <f>G358*M358-O358</f>
        <v>0</v>
      </c>
    </row>
    <row r="359" spans="1:20" s="164" customFormat="1">
      <c r="A359" s="377" t="s">
        <v>193</v>
      </c>
      <c r="B359" s="160"/>
      <c r="C359" s="23">
        <v>0</v>
      </c>
      <c r="D359" s="167"/>
      <c r="E359" s="168"/>
      <c r="F359" s="167"/>
      <c r="G359" s="24">
        <v>0</v>
      </c>
      <c r="H359" s="5"/>
      <c r="I359" s="91"/>
      <c r="J359" s="5"/>
      <c r="K359" s="24"/>
      <c r="L359" s="5"/>
      <c r="M359" s="91"/>
      <c r="N359" s="5"/>
      <c r="O359" s="24"/>
      <c r="Q359" s="41"/>
      <c r="R359" s="42"/>
      <c r="S359" s="138"/>
      <c r="T359" s="139"/>
    </row>
    <row r="360" spans="1:20" s="164" customFormat="1" ht="16.5" thickBot="1">
      <c r="A360" s="160" t="s">
        <v>152</v>
      </c>
      <c r="B360" s="160"/>
      <c r="C360" s="29">
        <v>17536444.611929484</v>
      </c>
      <c r="D360" s="167"/>
      <c r="E360" s="174"/>
      <c r="F360" s="167"/>
      <c r="G360" s="28">
        <f>SUM(G354:G359)</f>
        <v>1234602</v>
      </c>
      <c r="H360" s="5"/>
      <c r="I360" s="113"/>
      <c r="J360" s="5"/>
      <c r="K360" s="28">
        <f>SUM(K354:K359)</f>
        <v>10026.916499999999</v>
      </c>
      <c r="L360" s="5"/>
      <c r="M360" s="113"/>
      <c r="N360" s="5"/>
      <c r="O360" s="28">
        <f>SUM(O354:O359)</f>
        <v>-4779.1845000000003</v>
      </c>
      <c r="Q360" s="41"/>
      <c r="R360" s="42"/>
      <c r="S360" s="138"/>
      <c r="T360" s="139"/>
    </row>
    <row r="361" spans="1:20" s="164" customFormat="1" ht="16.5" thickTop="1">
      <c r="A361" s="377"/>
      <c r="B361" s="160"/>
      <c r="C361" s="47"/>
      <c r="D361" s="167"/>
      <c r="E361" s="167"/>
      <c r="F361" s="167"/>
      <c r="G361" s="92"/>
      <c r="H361" s="5"/>
      <c r="I361" s="108"/>
      <c r="J361" s="109"/>
      <c r="K361" s="92"/>
      <c r="L361" s="5"/>
      <c r="M361" s="108"/>
      <c r="N361" s="109"/>
      <c r="O361" s="92"/>
      <c r="Q361" s="41"/>
      <c r="R361" s="42"/>
      <c r="S361" s="138"/>
      <c r="T361" s="139"/>
    </row>
    <row r="362" spans="1:20" s="164" customFormat="1">
      <c r="A362" s="389" t="s">
        <v>438</v>
      </c>
      <c r="B362" s="160"/>
      <c r="C362" s="4"/>
      <c r="D362" s="167"/>
      <c r="E362" s="167"/>
      <c r="F362" s="167"/>
      <c r="G362" s="21"/>
      <c r="H362" s="5"/>
      <c r="I362" s="91"/>
      <c r="J362" s="5"/>
      <c r="K362" s="21"/>
      <c r="L362" s="5"/>
      <c r="M362" s="91"/>
      <c r="N362" s="5"/>
      <c r="O362" s="21"/>
      <c r="Q362" s="70" t="s">
        <v>14</v>
      </c>
      <c r="R362" s="17">
        <f>O366</f>
        <v>-1765.4499999999998</v>
      </c>
      <c r="S362" s="138"/>
      <c r="T362" s="139"/>
    </row>
    <row r="363" spans="1:20" s="164" customFormat="1">
      <c r="A363" s="377" t="s">
        <v>194</v>
      </c>
      <c r="B363" s="160"/>
      <c r="C363" s="4">
        <v>29596</v>
      </c>
      <c r="D363" s="167"/>
      <c r="E363" s="14">
        <v>5.5</v>
      </c>
      <c r="F363" s="100"/>
      <c r="G363" s="15">
        <f>ROUND(C363*E363,0)</f>
        <v>162778</v>
      </c>
      <c r="H363" s="5"/>
      <c r="I363" s="126"/>
      <c r="J363" s="5"/>
      <c r="K363" s="15"/>
      <c r="L363" s="5"/>
      <c r="M363" s="126"/>
      <c r="N363" s="5"/>
      <c r="O363" s="15"/>
      <c r="Q363" s="71" t="s">
        <v>16</v>
      </c>
      <c r="R363" s="18">
        <f>'Exhibit-RMP(RMM-1) page 2'!K44*1000</f>
        <v>-1771.8865909085996</v>
      </c>
      <c r="S363" s="138"/>
      <c r="T363" s="139"/>
    </row>
    <row r="364" spans="1:20" s="164" customFormat="1">
      <c r="A364" s="377" t="s">
        <v>192</v>
      </c>
      <c r="B364" s="160"/>
      <c r="C364" s="4">
        <v>6177947.158763391</v>
      </c>
      <c r="D364" s="167"/>
      <c r="E364" s="387">
        <v>8.4048999999999996</v>
      </c>
      <c r="F364" s="102" t="s">
        <v>11</v>
      </c>
      <c r="G364" s="15">
        <f>ROUND(C364*E364/100,0)</f>
        <v>519250</v>
      </c>
      <c r="H364" s="5"/>
      <c r="I364" s="31">
        <v>7.3000000000000001E-3</v>
      </c>
      <c r="J364" s="102"/>
      <c r="K364" s="15">
        <f t="shared" ref="K364" si="154">$G364*I364</f>
        <v>3790.5250000000001</v>
      </c>
      <c r="L364" s="5"/>
      <c r="M364" s="31">
        <f>R365</f>
        <v>-3.3999999999999998E-3</v>
      </c>
      <c r="N364" s="102"/>
      <c r="O364" s="15">
        <f t="shared" ref="O364" si="155">$G364*M364</f>
        <v>-1765.4499999999998</v>
      </c>
      <c r="Q364" s="72" t="s">
        <v>18</v>
      </c>
      <c r="R364" s="19">
        <f>R363-R362</f>
        <v>-6.4365909085997828</v>
      </c>
      <c r="S364" s="138">
        <f>G364*I364-K364</f>
        <v>0</v>
      </c>
      <c r="T364" s="139">
        <f>G364*M364-O364</f>
        <v>0</v>
      </c>
    </row>
    <row r="365" spans="1:20" s="164" customFormat="1">
      <c r="A365" s="377" t="s">
        <v>193</v>
      </c>
      <c r="B365" s="160"/>
      <c r="C365" s="48">
        <v>0</v>
      </c>
      <c r="D365" s="167"/>
      <c r="E365" s="168"/>
      <c r="F365" s="167"/>
      <c r="G365" s="24">
        <v>0</v>
      </c>
      <c r="H365" s="5"/>
      <c r="I365" s="91"/>
      <c r="J365" s="5"/>
      <c r="K365" s="24"/>
      <c r="L365" s="5"/>
      <c r="M365" s="91"/>
      <c r="N365" s="5"/>
      <c r="O365" s="24"/>
      <c r="Q365" s="75" t="s">
        <v>21</v>
      </c>
      <c r="R365" s="76">
        <f>ROUND(R363/SUM(G364),$R$12)</f>
        <v>-3.3999999999999998E-3</v>
      </c>
      <c r="S365" s="138"/>
      <c r="T365" s="139"/>
    </row>
    <row r="366" spans="1:20" s="164" customFormat="1" ht="16.5" thickBot="1">
      <c r="A366" s="160" t="s">
        <v>152</v>
      </c>
      <c r="B366" s="160"/>
      <c r="C366" s="29">
        <v>6177947.158763391</v>
      </c>
      <c r="D366" s="167"/>
      <c r="E366" s="174"/>
      <c r="F366" s="167"/>
      <c r="G366" s="28">
        <f>SUM(G363:G365)</f>
        <v>682028</v>
      </c>
      <c r="H366" s="5"/>
      <c r="I366" s="113"/>
      <c r="J366" s="5"/>
      <c r="K366" s="28">
        <f>SUM(K363:K365)</f>
        <v>3790.5250000000001</v>
      </c>
      <c r="L366" s="5"/>
      <c r="M366" s="113"/>
      <c r="N366" s="5"/>
      <c r="O366" s="28">
        <f>SUM(O363:O365)</f>
        <v>-1765.4499999999998</v>
      </c>
      <c r="S366" s="138"/>
      <c r="T366" s="139"/>
    </row>
    <row r="367" spans="1:20" s="164" customFormat="1" ht="16.5" thickTop="1">
      <c r="A367" s="160"/>
      <c r="B367" s="160"/>
      <c r="C367" s="4"/>
      <c r="D367" s="167"/>
      <c r="E367" s="168"/>
      <c r="F367" s="167"/>
      <c r="G367" s="21"/>
      <c r="H367" s="5"/>
      <c r="I367" s="201"/>
      <c r="J367" s="201"/>
      <c r="K367" s="21"/>
      <c r="L367" s="5"/>
      <c r="M367" s="201"/>
      <c r="N367" s="201"/>
      <c r="O367" s="21"/>
    </row>
    <row r="368" spans="1:20" s="164" customFormat="1">
      <c r="A368" s="376" t="s">
        <v>195</v>
      </c>
      <c r="B368" s="372"/>
      <c r="C368" s="4"/>
      <c r="D368" s="167"/>
      <c r="E368" s="168"/>
      <c r="F368" s="167"/>
      <c r="G368" s="92"/>
      <c r="H368" s="5"/>
      <c r="I368" s="201"/>
      <c r="J368" s="201"/>
      <c r="K368" s="92"/>
      <c r="L368" s="5"/>
      <c r="M368" s="201"/>
      <c r="N368" s="201"/>
      <c r="O368" s="92"/>
    </row>
    <row r="369" spans="1:20" s="164" customFormat="1">
      <c r="A369" s="391" t="s">
        <v>196</v>
      </c>
      <c r="B369" s="372"/>
      <c r="C369" s="4"/>
      <c r="D369" s="167"/>
      <c r="E369" s="168"/>
      <c r="F369" s="167"/>
      <c r="G369" s="92"/>
      <c r="H369" s="5"/>
      <c r="I369" s="108"/>
      <c r="J369" s="109"/>
      <c r="K369" s="92"/>
      <c r="L369" s="5"/>
      <c r="M369" s="108"/>
      <c r="N369" s="109"/>
      <c r="O369" s="92"/>
      <c r="Q369" s="41"/>
      <c r="R369" s="41"/>
      <c r="S369" s="138"/>
      <c r="T369" s="139"/>
    </row>
    <row r="370" spans="1:20" s="164" customFormat="1">
      <c r="A370" s="377" t="s">
        <v>7</v>
      </c>
      <c r="B370" s="372"/>
      <c r="C370" s="16">
        <v>36</v>
      </c>
      <c r="D370" s="167"/>
      <c r="E370" s="14">
        <v>127</v>
      </c>
      <c r="F370" s="100"/>
      <c r="G370" s="15">
        <f>ROUND(E370*$C370,0)</f>
        <v>4572</v>
      </c>
      <c r="H370" s="5"/>
      <c r="I370" s="108"/>
      <c r="J370" s="109"/>
      <c r="K370" s="15"/>
      <c r="L370" s="5"/>
      <c r="M370" s="108"/>
      <c r="N370" s="109"/>
      <c r="O370" s="15"/>
      <c r="Q370" s="41"/>
      <c r="R370" s="2"/>
      <c r="S370" s="138"/>
      <c r="T370" s="139"/>
    </row>
    <row r="371" spans="1:20">
      <c r="A371" s="377" t="s">
        <v>197</v>
      </c>
      <c r="B371" s="372"/>
      <c r="C371" s="16">
        <v>10893</v>
      </c>
      <c r="E371" s="14">
        <v>4.3</v>
      </c>
      <c r="F371" s="100"/>
      <c r="G371" s="15">
        <f>ROUND(E371*$C371,0)</f>
        <v>46840</v>
      </c>
      <c r="K371" s="15"/>
      <c r="O371" s="15"/>
      <c r="Q371" s="44"/>
      <c r="R371" s="2"/>
      <c r="S371" s="138"/>
      <c r="T371" s="139"/>
    </row>
    <row r="372" spans="1:20">
      <c r="A372" s="377" t="s">
        <v>198</v>
      </c>
      <c r="B372" s="372"/>
      <c r="C372" s="16">
        <v>423833</v>
      </c>
      <c r="E372" s="127">
        <v>6.8446999999999996</v>
      </c>
      <c r="F372" s="102" t="s">
        <v>11</v>
      </c>
      <c r="G372" s="15">
        <f>ROUND(E372*$C372/100,0)</f>
        <v>29010</v>
      </c>
      <c r="I372" s="128">
        <v>2.2499999999999999E-2</v>
      </c>
      <c r="J372" s="102"/>
      <c r="K372" s="15">
        <f t="shared" ref="K372" si="156">$G372*I372</f>
        <v>652.72500000000002</v>
      </c>
      <c r="M372" s="128">
        <f>$R$375</f>
        <v>-1.06E-2</v>
      </c>
      <c r="N372" s="102"/>
      <c r="O372" s="15">
        <f t="shared" ref="O372:O373" si="157">$G372*M372</f>
        <v>-307.50600000000003</v>
      </c>
      <c r="Q372" s="70" t="s">
        <v>14</v>
      </c>
      <c r="R372" s="17">
        <f>O383</f>
        <v>-2308.3725999999997</v>
      </c>
      <c r="S372" s="138">
        <f>G372*I372-K372</f>
        <v>0</v>
      </c>
      <c r="T372" s="139">
        <f>G372*M372-O372</f>
        <v>0</v>
      </c>
    </row>
    <row r="373" spans="1:20">
      <c r="A373" s="377" t="s">
        <v>102</v>
      </c>
      <c r="B373" s="372"/>
      <c r="C373" s="16">
        <v>0</v>
      </c>
      <c r="E373" s="127">
        <v>5.7472000000000003</v>
      </c>
      <c r="F373" s="102" t="s">
        <v>11</v>
      </c>
      <c r="G373" s="15">
        <f>ROUND(E373*$C373/100,0)</f>
        <v>0</v>
      </c>
      <c r="I373" s="128">
        <v>2.2499999999999999E-2</v>
      </c>
      <c r="J373" s="102"/>
      <c r="K373" s="15">
        <f t="shared" ref="K373" si="158">$G373*I373</f>
        <v>0</v>
      </c>
      <c r="M373" s="128">
        <f>$R$375</f>
        <v>-1.06E-2</v>
      </c>
      <c r="N373" s="102"/>
      <c r="O373" s="15">
        <f t="shared" si="157"/>
        <v>0</v>
      </c>
      <c r="Q373" s="71" t="s">
        <v>16</v>
      </c>
      <c r="R373" s="18">
        <f>'Exhibit-RMP(RMM-1) page 2'!K31*1000</f>
        <v>-2306.9485831554903</v>
      </c>
      <c r="S373" s="138">
        <f>G373*I373-K373</f>
        <v>0</v>
      </c>
      <c r="T373" s="139">
        <f>G373*M373-O373</f>
        <v>0</v>
      </c>
    </row>
    <row r="374" spans="1:20">
      <c r="A374" s="377" t="s">
        <v>24</v>
      </c>
      <c r="B374" s="372"/>
      <c r="C374" s="23">
        <v>0</v>
      </c>
      <c r="E374" s="127"/>
      <c r="F374" s="124"/>
      <c r="G374" s="24">
        <v>0</v>
      </c>
      <c r="I374" s="128"/>
      <c r="J374" s="124"/>
      <c r="K374" s="24"/>
      <c r="M374" s="128"/>
      <c r="N374" s="124"/>
      <c r="O374" s="24"/>
      <c r="Q374" s="72" t="s">
        <v>18</v>
      </c>
      <c r="R374" s="19">
        <f>R373-R372</f>
        <v>1.4240168445094241</v>
      </c>
      <c r="S374" s="138"/>
      <c r="T374" s="139"/>
    </row>
    <row r="375" spans="1:20">
      <c r="A375" s="377" t="s">
        <v>199</v>
      </c>
      <c r="B375" s="372"/>
      <c r="C375" s="4">
        <v>423833</v>
      </c>
      <c r="E375" s="30"/>
      <c r="F375" s="115"/>
      <c r="G375" s="15">
        <f>SUM(G370:G374)</f>
        <v>80422</v>
      </c>
      <c r="I375" s="106"/>
      <c r="J375" s="115"/>
      <c r="K375" s="15">
        <f>SUM(K370:K374)</f>
        <v>652.72500000000002</v>
      </c>
      <c r="M375" s="106"/>
      <c r="N375" s="115"/>
      <c r="O375" s="15">
        <f>SUM(O370:O374)</f>
        <v>-307.50600000000003</v>
      </c>
      <c r="Q375" s="75" t="s">
        <v>21</v>
      </c>
      <c r="R375" s="76">
        <f>ROUND(R373/SUM(G372:G373,G379:G380),$R$12)</f>
        <v>-1.06E-2</v>
      </c>
      <c r="S375" s="138"/>
      <c r="T375" s="139"/>
    </row>
    <row r="376" spans="1:20">
      <c r="A376" s="391" t="s">
        <v>200</v>
      </c>
      <c r="B376" s="372"/>
      <c r="C376" s="16"/>
      <c r="E376" s="30"/>
      <c r="F376" s="115"/>
      <c r="G376" s="92"/>
      <c r="I376" s="106"/>
      <c r="J376" s="115"/>
      <c r="M376" s="106"/>
      <c r="N376" s="115"/>
      <c r="S376" s="138"/>
      <c r="T376" s="139"/>
    </row>
    <row r="377" spans="1:20">
      <c r="A377" s="377" t="s">
        <v>7</v>
      </c>
      <c r="B377" s="372"/>
      <c r="C377" s="16">
        <v>24</v>
      </c>
      <c r="E377" s="14">
        <v>127</v>
      </c>
      <c r="F377" s="100"/>
      <c r="G377" s="15">
        <f>ROUND(E377*$C377,0)</f>
        <v>3048</v>
      </c>
      <c r="I377" s="31"/>
      <c r="J377" s="100"/>
      <c r="K377" s="15"/>
      <c r="M377" s="31"/>
      <c r="N377" s="100"/>
      <c r="O377" s="15"/>
      <c r="Q377" s="8"/>
      <c r="R377" s="22"/>
      <c r="S377" s="138"/>
      <c r="T377" s="139"/>
    </row>
    <row r="378" spans="1:20">
      <c r="A378" s="377" t="s">
        <v>197</v>
      </c>
      <c r="B378" s="372"/>
      <c r="C378" s="16">
        <v>47371</v>
      </c>
      <c r="E378" s="14">
        <v>4.3</v>
      </c>
      <c r="F378" s="100"/>
      <c r="G378" s="15">
        <f>ROUND(E378*$C378,0)</f>
        <v>203695</v>
      </c>
      <c r="I378" s="31"/>
      <c r="J378" s="100"/>
      <c r="K378" s="15"/>
      <c r="M378" s="31"/>
      <c r="N378" s="100"/>
      <c r="O378" s="15"/>
      <c r="Q378" s="8"/>
      <c r="R378" s="2"/>
      <c r="S378" s="138"/>
      <c r="T378" s="139"/>
    </row>
    <row r="379" spans="1:20">
      <c r="A379" s="377" t="s">
        <v>198</v>
      </c>
      <c r="B379" s="372"/>
      <c r="C379" s="16">
        <v>2660898</v>
      </c>
      <c r="E379" s="127">
        <v>5.3851000000000004</v>
      </c>
      <c r="F379" s="102" t="s">
        <v>11</v>
      </c>
      <c r="G379" s="15">
        <f>ROUND(E379*$C379/100,0)</f>
        <v>143292</v>
      </c>
      <c r="I379" s="128">
        <v>2.2499999999999999E-2</v>
      </c>
      <c r="J379" s="102"/>
      <c r="K379" s="15">
        <f t="shared" ref="K379:K380" si="159">$G379*I379</f>
        <v>3224.0699999999997</v>
      </c>
      <c r="M379" s="128">
        <f>$R$375</f>
        <v>-1.06E-2</v>
      </c>
      <c r="N379" s="102"/>
      <c r="O379" s="15">
        <f t="shared" ref="O379:O380" si="160">$G379*M379</f>
        <v>-1518.8951999999999</v>
      </c>
      <c r="Q379" s="3"/>
      <c r="R379" s="2"/>
      <c r="S379" s="138">
        <f>G379*I379-K379</f>
        <v>0</v>
      </c>
      <c r="T379" s="139">
        <f>G379*M379-O379</f>
        <v>0</v>
      </c>
    </row>
    <row r="380" spans="1:20">
      <c r="A380" s="377" t="s">
        <v>102</v>
      </c>
      <c r="B380" s="372"/>
      <c r="C380" s="16">
        <v>963969.33770158794</v>
      </c>
      <c r="E380" s="127">
        <v>4.7168999999999999</v>
      </c>
      <c r="F380" s="102" t="s">
        <v>11</v>
      </c>
      <c r="G380" s="15">
        <f>ROUND(E380*$C380/100,0)</f>
        <v>45469</v>
      </c>
      <c r="I380" s="128">
        <v>2.2499999999999999E-2</v>
      </c>
      <c r="J380" s="102"/>
      <c r="K380" s="15">
        <f t="shared" si="159"/>
        <v>1023.0525</v>
      </c>
      <c r="M380" s="128">
        <f>$R$375</f>
        <v>-1.06E-2</v>
      </c>
      <c r="N380" s="102"/>
      <c r="O380" s="15">
        <f t="shared" si="160"/>
        <v>-481.97140000000002</v>
      </c>
      <c r="Q380" s="3"/>
      <c r="R380" s="2"/>
      <c r="S380" s="138">
        <f>G380*I380-K380</f>
        <v>0</v>
      </c>
      <c r="T380" s="139">
        <f>G380*M380-O380</f>
        <v>0</v>
      </c>
    </row>
    <row r="381" spans="1:20">
      <c r="A381" s="377" t="s">
        <v>24</v>
      </c>
      <c r="B381" s="372"/>
      <c r="C381" s="23">
        <v>0</v>
      </c>
      <c r="E381" s="127"/>
      <c r="F381" s="124"/>
      <c r="G381" s="24">
        <v>0</v>
      </c>
      <c r="I381" s="128"/>
      <c r="J381" s="124"/>
      <c r="K381" s="24"/>
      <c r="M381" s="128"/>
      <c r="N381" s="124"/>
      <c r="O381" s="24"/>
      <c r="Q381" s="3"/>
      <c r="R381" s="2"/>
      <c r="S381" s="138"/>
      <c r="T381" s="139"/>
    </row>
    <row r="382" spans="1:20">
      <c r="A382" s="377" t="s">
        <v>199</v>
      </c>
      <c r="B382" s="372"/>
      <c r="C382" s="4">
        <v>3624867.3377015879</v>
      </c>
      <c r="E382" s="30"/>
      <c r="F382" s="115"/>
      <c r="G382" s="15">
        <f>SUM(G377:G381)</f>
        <v>395504</v>
      </c>
      <c r="I382" s="106"/>
      <c r="J382" s="115"/>
      <c r="K382" s="15">
        <f>SUM(K377:K381)</f>
        <v>4247.1224999999995</v>
      </c>
      <c r="M382" s="106"/>
      <c r="N382" s="115"/>
      <c r="O382" s="15">
        <f>SUM(O377:O381)</f>
        <v>-2000.8665999999998</v>
      </c>
      <c r="Q382" s="3"/>
      <c r="R382" s="2"/>
      <c r="S382" s="138"/>
      <c r="T382" s="139"/>
    </row>
    <row r="383" spans="1:20" ht="16.5" thickBot="1">
      <c r="A383" s="377" t="s">
        <v>25</v>
      </c>
      <c r="B383" s="372"/>
      <c r="C383" s="29">
        <v>4048700.3377015879</v>
      </c>
      <c r="E383" s="174"/>
      <c r="G383" s="28">
        <f>G382+G375</f>
        <v>475926</v>
      </c>
      <c r="I383" s="113"/>
      <c r="K383" s="28">
        <f>K382+K375</f>
        <v>4899.8474999999999</v>
      </c>
      <c r="M383" s="113"/>
      <c r="O383" s="28">
        <f>O382+O375</f>
        <v>-2308.3725999999997</v>
      </c>
      <c r="Q383" s="3"/>
      <c r="R383" s="2"/>
      <c r="S383" s="138"/>
      <c r="T383" s="139"/>
    </row>
    <row r="384" spans="1:20" ht="16.5" thickTop="1">
      <c r="A384" s="160"/>
      <c r="B384" s="372"/>
      <c r="C384" s="4"/>
      <c r="G384" s="92"/>
      <c r="Q384" s="3"/>
      <c r="R384" s="49"/>
      <c r="S384" s="138"/>
      <c r="T384" s="139"/>
    </row>
    <row r="385" spans="1:20">
      <c r="A385" s="376" t="s">
        <v>439</v>
      </c>
      <c r="B385" s="372"/>
      <c r="C385" s="392"/>
      <c r="G385" s="92"/>
      <c r="Q385" s="3"/>
      <c r="R385" s="50"/>
      <c r="S385" s="138"/>
      <c r="T385" s="139"/>
    </row>
    <row r="386" spans="1:20">
      <c r="A386" s="377" t="s">
        <v>7</v>
      </c>
      <c r="B386" s="372"/>
      <c r="C386" s="4">
        <v>992017.98512850888</v>
      </c>
      <c r="E386" s="14">
        <v>10</v>
      </c>
      <c r="F386" s="100"/>
      <c r="G386" s="15">
        <f>ROUND(E386*$C386,0)</f>
        <v>9920180</v>
      </c>
      <c r="K386" s="15"/>
      <c r="O386" s="15"/>
      <c r="Q386" s="70" t="s">
        <v>14</v>
      </c>
      <c r="R386" s="17">
        <f>O396</f>
        <v>-426313.9485</v>
      </c>
      <c r="S386" s="138"/>
      <c r="T386" s="139"/>
    </row>
    <row r="387" spans="1:20">
      <c r="A387" s="377" t="s">
        <v>30</v>
      </c>
      <c r="B387" s="372"/>
      <c r="C387" s="4">
        <v>387746</v>
      </c>
      <c r="E387" s="14">
        <v>8.65</v>
      </c>
      <c r="F387" s="100"/>
      <c r="G387" s="15">
        <f>ROUND(E387*$C387,0)</f>
        <v>3354003</v>
      </c>
      <c r="I387" s="31">
        <v>6.8999999999999999E-3</v>
      </c>
      <c r="J387" s="100"/>
      <c r="K387" s="15">
        <f t="shared" ref="K387" si="161">$G387*I387</f>
        <v>23142.620699999999</v>
      </c>
      <c r="M387" s="31">
        <f>$R$389</f>
        <v>-3.3E-3</v>
      </c>
      <c r="N387" s="100"/>
      <c r="O387" s="15">
        <f t="shared" ref="O387:O388" si="162">$G387*M387</f>
        <v>-11068.2099</v>
      </c>
      <c r="Q387" s="71" t="s">
        <v>16</v>
      </c>
      <c r="R387" s="18">
        <f>'Exhibit-RMP(RMM-1) page 2'!K32*1000</f>
        <v>-420066.00809333479</v>
      </c>
      <c r="S387" s="138">
        <f>G387*I387-K387</f>
        <v>0</v>
      </c>
      <c r="T387" s="139">
        <f>G387*M387-O387</f>
        <v>0</v>
      </c>
    </row>
    <row r="388" spans="1:20">
      <c r="A388" s="377" t="s">
        <v>31</v>
      </c>
      <c r="B388" s="372"/>
      <c r="C388" s="4">
        <v>347761</v>
      </c>
      <c r="E388" s="14">
        <v>8.7000000000000011</v>
      </c>
      <c r="F388" s="100"/>
      <c r="G388" s="15">
        <f>ROUND(E388*$C388,0)</f>
        <v>3025521</v>
      </c>
      <c r="I388" s="31">
        <v>6.8999999999999999E-3</v>
      </c>
      <c r="J388" s="100"/>
      <c r="K388" s="15">
        <f t="shared" ref="K388" si="163">$G388*I388</f>
        <v>20876.0949</v>
      </c>
      <c r="M388" s="31">
        <f>$R$389</f>
        <v>-3.3E-3</v>
      </c>
      <c r="N388" s="100"/>
      <c r="O388" s="15">
        <f t="shared" si="162"/>
        <v>-9984.2193000000007</v>
      </c>
      <c r="Q388" s="72" t="s">
        <v>18</v>
      </c>
      <c r="R388" s="19">
        <f>R387-R386</f>
        <v>6247.940406665206</v>
      </c>
      <c r="S388" s="138">
        <f>G388*I388-K388</f>
        <v>0</v>
      </c>
      <c r="T388" s="139">
        <f>G388*M388-O388</f>
        <v>0</v>
      </c>
    </row>
    <row r="389" spans="1:20">
      <c r="A389" s="377" t="s">
        <v>32</v>
      </c>
      <c r="B389" s="372"/>
      <c r="C389" s="4">
        <v>7029</v>
      </c>
      <c r="E389" s="14">
        <v>-0.48</v>
      </c>
      <c r="F389" s="100"/>
      <c r="G389" s="15">
        <f>ROUND(E389*$C389,0)</f>
        <v>-3374</v>
      </c>
      <c r="I389" s="31"/>
      <c r="J389" s="100"/>
      <c r="K389" s="15"/>
      <c r="M389" s="31"/>
      <c r="N389" s="100"/>
      <c r="O389" s="15"/>
      <c r="Q389" s="75" t="s">
        <v>21</v>
      </c>
      <c r="R389" s="76">
        <f>ROUND(R387/SUM(G387:G388,G390:G393),$R$12)+R392</f>
        <v>-3.3E-3</v>
      </c>
      <c r="S389" s="138"/>
      <c r="T389" s="139"/>
    </row>
    <row r="390" spans="1:20">
      <c r="A390" s="377" t="s">
        <v>33</v>
      </c>
      <c r="B390" s="372"/>
      <c r="C390" s="4">
        <v>295977608</v>
      </c>
      <c r="E390" s="104">
        <v>11.733599999999999</v>
      </c>
      <c r="F390" s="102" t="s">
        <v>11</v>
      </c>
      <c r="G390" s="15">
        <f>ROUND(E390*$C390/100,0)</f>
        <v>34728829</v>
      </c>
      <c r="I390" s="31">
        <v>6.8999999999999999E-3</v>
      </c>
      <c r="J390" s="100"/>
      <c r="K390" s="15">
        <f t="shared" ref="K390:K393" si="164">$G390*I390</f>
        <v>239628.92009999999</v>
      </c>
      <c r="M390" s="31">
        <f>$R$389</f>
        <v>-3.3E-3</v>
      </c>
      <c r="N390" s="100"/>
      <c r="O390" s="15">
        <f t="shared" ref="O390:O393" si="165">$G390*M390</f>
        <v>-114605.1357</v>
      </c>
      <c r="Q390" s="32" t="s">
        <v>45</v>
      </c>
      <c r="R390" s="33">
        <f>'Exhibit-RMP(RMM-1) page 1'!S49</f>
        <v>7700.6162854928007</v>
      </c>
      <c r="S390" s="138">
        <f>G390*I390-K390</f>
        <v>0</v>
      </c>
      <c r="T390" s="139">
        <f>G390*M390-O390</f>
        <v>0</v>
      </c>
    </row>
    <row r="391" spans="1:20">
      <c r="A391" s="377" t="s">
        <v>34</v>
      </c>
      <c r="B391" s="372"/>
      <c r="C391" s="4">
        <v>309000007.78318173</v>
      </c>
      <c r="E391" s="104">
        <v>6.5782999999999996</v>
      </c>
      <c r="F391" s="102" t="s">
        <v>11</v>
      </c>
      <c r="G391" s="15">
        <f>ROUND(E391*$C391/100,0)</f>
        <v>20326948</v>
      </c>
      <c r="I391" s="31">
        <v>6.8999999999999999E-3</v>
      </c>
      <c r="J391" s="100"/>
      <c r="K391" s="15">
        <f t="shared" si="164"/>
        <v>140255.9412</v>
      </c>
      <c r="M391" s="31">
        <f>$R$389</f>
        <v>-3.3E-3</v>
      </c>
      <c r="N391" s="100"/>
      <c r="O391" s="15">
        <f t="shared" si="165"/>
        <v>-67078.928400000004</v>
      </c>
      <c r="Q391" s="32" t="s">
        <v>46</v>
      </c>
      <c r="R391" s="33">
        <f>'Exhibit-RMP(RMM-1) page 2'!K49</f>
        <v>-6542.8373956631322</v>
      </c>
      <c r="S391" s="138">
        <f>G391*I391-K391</f>
        <v>0</v>
      </c>
      <c r="T391" s="139">
        <f>G391*M391-O391</f>
        <v>0</v>
      </c>
    </row>
    <row r="392" spans="1:20">
      <c r="A392" s="377" t="s">
        <v>35</v>
      </c>
      <c r="B392" s="372"/>
      <c r="C392" s="4">
        <v>424820226</v>
      </c>
      <c r="E392" s="104">
        <v>10.8</v>
      </c>
      <c r="F392" s="102" t="s">
        <v>11</v>
      </c>
      <c r="G392" s="15">
        <f>ROUND(E392*$C392/100,0)</f>
        <v>45880584</v>
      </c>
      <c r="I392" s="31">
        <v>6.8999999999999999E-3</v>
      </c>
      <c r="J392" s="100"/>
      <c r="K392" s="15">
        <f t="shared" si="164"/>
        <v>316576.02960000001</v>
      </c>
      <c r="M392" s="31">
        <f>$R$389</f>
        <v>-3.3E-3</v>
      </c>
      <c r="N392" s="100"/>
      <c r="O392" s="15">
        <f t="shared" si="165"/>
        <v>-151405.92720000001</v>
      </c>
      <c r="Q392" s="34" t="s">
        <v>26</v>
      </c>
      <c r="R392" s="35">
        <v>0</v>
      </c>
      <c r="S392" s="138">
        <f>G392*I392-K392</f>
        <v>0</v>
      </c>
      <c r="T392" s="139">
        <f>G392*M392-O392</f>
        <v>0</v>
      </c>
    </row>
    <row r="393" spans="1:20">
      <c r="A393" s="377" t="s">
        <v>36</v>
      </c>
      <c r="B393" s="372"/>
      <c r="C393" s="4">
        <v>361090368.97025329</v>
      </c>
      <c r="E393" s="104">
        <v>6.0567000000000002</v>
      </c>
      <c r="F393" s="102" t="s">
        <v>11</v>
      </c>
      <c r="G393" s="15">
        <f>ROUND(E393*$C393/100,0)</f>
        <v>21870160</v>
      </c>
      <c r="I393" s="31">
        <v>6.8999999999999999E-3</v>
      </c>
      <c r="J393" s="100"/>
      <c r="K393" s="15">
        <f t="shared" si="164"/>
        <v>150904.10399999999</v>
      </c>
      <c r="M393" s="31">
        <f>$R$389</f>
        <v>-3.3E-3</v>
      </c>
      <c r="N393" s="100"/>
      <c r="O393" s="15">
        <f t="shared" si="165"/>
        <v>-72171.528000000006</v>
      </c>
      <c r="S393" s="138">
        <f>G393*I393-K393</f>
        <v>0</v>
      </c>
      <c r="T393" s="139">
        <f>G393*M393-O393</f>
        <v>0</v>
      </c>
    </row>
    <row r="394" spans="1:20">
      <c r="A394" s="377" t="s">
        <v>37</v>
      </c>
      <c r="B394" s="372"/>
      <c r="C394" s="4">
        <v>0</v>
      </c>
      <c r="E394" s="14">
        <v>120</v>
      </c>
      <c r="F394" s="100"/>
      <c r="G394" s="15">
        <f>ROUND(E394*$C394,0)</f>
        <v>0</v>
      </c>
      <c r="I394" s="31"/>
      <c r="J394" s="100"/>
      <c r="K394" s="15"/>
      <c r="M394" s="31"/>
      <c r="N394" s="100"/>
      <c r="O394" s="15"/>
    </row>
    <row r="395" spans="1:20">
      <c r="A395" s="377" t="s">
        <v>24</v>
      </c>
      <c r="B395" s="372"/>
      <c r="C395" s="23">
        <v>0</v>
      </c>
      <c r="G395" s="24">
        <v>0</v>
      </c>
      <c r="K395" s="24"/>
      <c r="O395" s="24"/>
    </row>
    <row r="396" spans="1:20" ht="16.5" thickBot="1">
      <c r="A396" s="377" t="s">
        <v>25</v>
      </c>
      <c r="B396" s="372"/>
      <c r="C396" s="29">
        <v>1390888210.7534347</v>
      </c>
      <c r="E396" s="174"/>
      <c r="G396" s="28">
        <f>SUM(G386:G395)</f>
        <v>139102851</v>
      </c>
      <c r="I396" s="113"/>
      <c r="K396" s="28">
        <f>SUM(K386:K395)</f>
        <v>891383.71050000004</v>
      </c>
      <c r="M396" s="113"/>
      <c r="O396" s="28">
        <f>SUM(O386:O395)</f>
        <v>-426313.9485</v>
      </c>
    </row>
    <row r="397" spans="1:20" ht="16.5" thickTop="1">
      <c r="C397" s="4"/>
      <c r="G397" s="92"/>
    </row>
    <row r="398" spans="1:20">
      <c r="A398" s="376" t="s">
        <v>440</v>
      </c>
      <c r="B398" s="372"/>
      <c r="C398" s="4"/>
      <c r="E398" s="30"/>
      <c r="F398" s="115"/>
      <c r="G398" s="92"/>
    </row>
    <row r="399" spans="1:20">
      <c r="A399" s="391" t="s">
        <v>201</v>
      </c>
      <c r="B399" s="372"/>
      <c r="C399" s="4"/>
      <c r="G399" s="92"/>
    </row>
    <row r="400" spans="1:20">
      <c r="A400" s="377" t="s">
        <v>202</v>
      </c>
      <c r="B400" s="377"/>
      <c r="C400" s="4">
        <v>0</v>
      </c>
      <c r="E400" s="14">
        <v>133</v>
      </c>
      <c r="F400" s="100"/>
      <c r="G400" s="15">
        <f>ROUND(E400*$C400,0)</f>
        <v>0</v>
      </c>
      <c r="I400" s="111"/>
      <c r="J400" s="100"/>
      <c r="K400" s="15"/>
      <c r="M400" s="111"/>
      <c r="N400" s="100"/>
      <c r="O400" s="15"/>
    </row>
    <row r="401" spans="1:15">
      <c r="A401" s="377" t="s">
        <v>203</v>
      </c>
      <c r="B401" s="377"/>
      <c r="C401" s="4">
        <v>0</v>
      </c>
      <c r="E401" s="14">
        <v>5.6</v>
      </c>
      <c r="F401" s="100"/>
      <c r="G401" s="15">
        <f>ROUND(E401*$C401,0)</f>
        <v>0</v>
      </c>
      <c r="I401" s="111"/>
      <c r="J401" s="100"/>
      <c r="K401" s="15"/>
      <c r="M401" s="111"/>
      <c r="N401" s="100"/>
      <c r="O401" s="15"/>
    </row>
    <row r="402" spans="1:15">
      <c r="A402" s="377" t="s">
        <v>204</v>
      </c>
      <c r="B402" s="377"/>
      <c r="C402" s="4"/>
      <c r="E402" s="105"/>
      <c r="F402" s="20"/>
      <c r="G402" s="15"/>
      <c r="I402" s="111"/>
      <c r="J402" s="100"/>
      <c r="K402" s="15"/>
      <c r="M402" s="111"/>
      <c r="N402" s="100"/>
      <c r="O402" s="15"/>
    </row>
    <row r="403" spans="1:15">
      <c r="A403" s="377" t="s">
        <v>205</v>
      </c>
      <c r="B403" s="377"/>
      <c r="C403" s="4">
        <v>0</v>
      </c>
      <c r="E403" s="129"/>
      <c r="F403" s="130"/>
      <c r="G403" s="15"/>
      <c r="I403" s="111"/>
      <c r="J403" s="100"/>
      <c r="K403" s="15"/>
      <c r="M403" s="111"/>
      <c r="N403" s="100"/>
      <c r="O403" s="15"/>
    </row>
    <row r="404" spans="1:15">
      <c r="A404" s="377" t="s">
        <v>441</v>
      </c>
      <c r="B404" s="377"/>
      <c r="C404" s="4">
        <v>0</v>
      </c>
      <c r="E404" s="14">
        <v>0.88</v>
      </c>
      <c r="F404" s="130"/>
      <c r="G404" s="15">
        <f>ROUND(E404*$C404,0)</f>
        <v>0</v>
      </c>
      <c r="I404" s="111"/>
      <c r="J404" s="100"/>
      <c r="K404" s="15"/>
      <c r="M404" s="111"/>
      <c r="N404" s="100"/>
      <c r="O404" s="15"/>
    </row>
    <row r="405" spans="1:15">
      <c r="A405" s="377" t="s">
        <v>442</v>
      </c>
      <c r="B405" s="377"/>
      <c r="C405" s="4">
        <v>0</v>
      </c>
      <c r="E405" s="14">
        <v>0.62</v>
      </c>
      <c r="F405" s="130"/>
      <c r="G405" s="15">
        <f>ROUND(E405*$C405,0)</f>
        <v>0</v>
      </c>
      <c r="I405" s="111"/>
      <c r="J405" s="100"/>
      <c r="K405" s="15"/>
      <c r="M405" s="111"/>
      <c r="N405" s="100"/>
      <c r="O405" s="15"/>
    </row>
    <row r="406" spans="1:15">
      <c r="A406" s="377" t="s">
        <v>206</v>
      </c>
      <c r="B406" s="377"/>
      <c r="C406" s="4">
        <v>0</v>
      </c>
      <c r="E406" s="129"/>
      <c r="F406" s="131"/>
      <c r="G406" s="92"/>
      <c r="I406" s="111"/>
      <c r="J406" s="100"/>
      <c r="M406" s="111"/>
      <c r="N406" s="100"/>
    </row>
    <row r="407" spans="1:15">
      <c r="A407" s="377" t="s">
        <v>441</v>
      </c>
      <c r="B407" s="377"/>
      <c r="C407" s="4">
        <v>0</v>
      </c>
      <c r="E407" s="393">
        <v>0.44</v>
      </c>
      <c r="F407" s="131"/>
      <c r="G407" s="15">
        <f>ROUND(E407*$C407,0)</f>
        <v>0</v>
      </c>
      <c r="I407" s="111"/>
      <c r="J407" s="20"/>
      <c r="K407" s="15"/>
      <c r="M407" s="111"/>
      <c r="N407" s="20"/>
      <c r="O407" s="15"/>
    </row>
    <row r="408" spans="1:15">
      <c r="A408" s="377" t="s">
        <v>442</v>
      </c>
      <c r="B408" s="377"/>
      <c r="C408" s="4">
        <v>0</v>
      </c>
      <c r="E408" s="393">
        <v>0.31</v>
      </c>
      <c r="F408" s="131"/>
      <c r="G408" s="15">
        <f>ROUND(E408*$C408,0)</f>
        <v>0</v>
      </c>
      <c r="I408" s="126"/>
      <c r="K408" s="15"/>
      <c r="M408" s="126"/>
      <c r="O408" s="15"/>
    </row>
    <row r="409" spans="1:15">
      <c r="A409" s="377" t="s">
        <v>207</v>
      </c>
      <c r="B409" s="377"/>
      <c r="C409" s="4">
        <v>0</v>
      </c>
      <c r="E409" s="129"/>
      <c r="F409" s="100"/>
      <c r="G409" s="15"/>
      <c r="I409" s="111"/>
      <c r="J409" s="100"/>
      <c r="K409" s="15"/>
      <c r="M409" s="111"/>
      <c r="N409" s="100"/>
      <c r="O409" s="15"/>
    </row>
    <row r="410" spans="1:15">
      <c r="A410" s="377" t="s">
        <v>441</v>
      </c>
      <c r="B410" s="377"/>
      <c r="C410" s="4">
        <v>0</v>
      </c>
      <c r="E410" s="14">
        <v>40.81</v>
      </c>
      <c r="F410" s="100"/>
      <c r="G410" s="15">
        <f>ROUND(E410*$C410,0)</f>
        <v>0</v>
      </c>
      <c r="I410" s="111"/>
      <c r="J410" s="100"/>
      <c r="K410" s="15"/>
      <c r="M410" s="111"/>
      <c r="N410" s="100"/>
      <c r="O410" s="15"/>
    </row>
    <row r="411" spans="1:15">
      <c r="A411" s="377" t="s">
        <v>442</v>
      </c>
      <c r="B411" s="377"/>
      <c r="C411" s="4">
        <v>0</v>
      </c>
      <c r="E411" s="14">
        <v>32.04</v>
      </c>
      <c r="F411" s="100"/>
      <c r="G411" s="15">
        <f>ROUND(E411*$C411,0)</f>
        <v>0</v>
      </c>
      <c r="I411" s="111"/>
      <c r="J411" s="100"/>
      <c r="K411" s="15"/>
      <c r="M411" s="111"/>
      <c r="N411" s="100"/>
      <c r="O411" s="15"/>
    </row>
    <row r="412" spans="1:15">
      <c r="A412" s="391" t="s">
        <v>208</v>
      </c>
      <c r="B412" s="372"/>
      <c r="C412" s="4"/>
      <c r="G412" s="15"/>
      <c r="I412" s="111"/>
      <c r="J412" s="100"/>
      <c r="K412" s="15"/>
      <c r="M412" s="111"/>
      <c r="N412" s="100"/>
      <c r="O412" s="15"/>
    </row>
    <row r="413" spans="1:15">
      <c r="A413" s="377" t="s">
        <v>202</v>
      </c>
      <c r="B413" s="372"/>
      <c r="C413" s="4">
        <v>24</v>
      </c>
      <c r="E413" s="14">
        <v>605</v>
      </c>
      <c r="F413" s="100"/>
      <c r="G413" s="15">
        <f>ROUND(E413*$C413,0)</f>
        <v>14520</v>
      </c>
      <c r="I413" s="125"/>
      <c r="J413" s="100"/>
      <c r="M413" s="125"/>
      <c r="N413" s="100"/>
    </row>
    <row r="414" spans="1:15">
      <c r="A414" s="377" t="s">
        <v>203</v>
      </c>
      <c r="B414" s="372"/>
      <c r="C414" s="4">
        <v>38791</v>
      </c>
      <c r="E414" s="14">
        <v>4.46</v>
      </c>
      <c r="F414" s="100"/>
      <c r="G414" s="15">
        <f>ROUND(E414*$C414,0)</f>
        <v>173008</v>
      </c>
      <c r="I414" s="125"/>
      <c r="J414" s="100"/>
      <c r="K414" s="15"/>
      <c r="M414" s="125"/>
      <c r="N414" s="100"/>
      <c r="O414" s="15"/>
    </row>
    <row r="415" spans="1:15">
      <c r="A415" s="377" t="s">
        <v>204</v>
      </c>
      <c r="B415" s="372"/>
      <c r="C415" s="4"/>
      <c r="E415" s="105"/>
      <c r="F415" s="100"/>
      <c r="G415" s="15"/>
      <c r="I415" s="125"/>
      <c r="J415" s="100"/>
      <c r="K415" s="15"/>
      <c r="M415" s="125"/>
      <c r="N415" s="100"/>
      <c r="O415" s="15"/>
    </row>
    <row r="416" spans="1:15">
      <c r="A416" s="377" t="s">
        <v>205</v>
      </c>
      <c r="B416" s="372"/>
      <c r="C416" s="4">
        <v>195683</v>
      </c>
      <c r="E416" s="129"/>
      <c r="F416" s="130"/>
      <c r="G416" s="15"/>
      <c r="I416" s="111"/>
      <c r="J416" s="100"/>
      <c r="K416" s="15"/>
      <c r="M416" s="111"/>
      <c r="N416" s="100"/>
      <c r="O416" s="15"/>
    </row>
    <row r="417" spans="1:15">
      <c r="A417" s="377" t="s">
        <v>441</v>
      </c>
      <c r="B417" s="372"/>
      <c r="C417" s="4">
        <v>79030</v>
      </c>
      <c r="E417" s="14">
        <v>0.86</v>
      </c>
      <c r="F417" s="130"/>
      <c r="G417" s="15">
        <f>ROUND(E417*$C417,0)</f>
        <v>67966</v>
      </c>
      <c r="I417" s="126"/>
      <c r="K417" s="15"/>
      <c r="M417" s="126"/>
      <c r="O417" s="15"/>
    </row>
    <row r="418" spans="1:15">
      <c r="A418" s="377" t="s">
        <v>442</v>
      </c>
      <c r="B418" s="372"/>
      <c r="C418" s="4">
        <v>116653</v>
      </c>
      <c r="E418" s="14">
        <v>0.6</v>
      </c>
      <c r="F418" s="130"/>
      <c r="G418" s="15">
        <f>ROUND(E418*$C418,0)</f>
        <v>69992</v>
      </c>
      <c r="I418" s="111"/>
      <c r="J418" s="100"/>
      <c r="K418" s="15"/>
      <c r="M418" s="111"/>
      <c r="N418" s="100"/>
      <c r="O418" s="15"/>
    </row>
    <row r="419" spans="1:15">
      <c r="A419" s="377" t="s">
        <v>206</v>
      </c>
      <c r="B419" s="372"/>
      <c r="C419" s="4">
        <v>24254</v>
      </c>
      <c r="E419" s="129"/>
      <c r="F419" s="131"/>
      <c r="G419" s="15"/>
      <c r="I419" s="111"/>
      <c r="J419" s="100"/>
      <c r="K419" s="15"/>
      <c r="M419" s="111"/>
      <c r="N419" s="100"/>
      <c r="O419" s="15"/>
    </row>
    <row r="420" spans="1:15">
      <c r="A420" s="377" t="s">
        <v>441</v>
      </c>
      <c r="B420" s="372"/>
      <c r="C420" s="4">
        <v>24254</v>
      </c>
      <c r="E420" s="393">
        <v>0.43</v>
      </c>
      <c r="F420" s="131"/>
      <c r="G420" s="15">
        <f>ROUND(E420*$C420,0)</f>
        <v>10429</v>
      </c>
      <c r="I420" s="111"/>
      <c r="J420" s="100"/>
      <c r="K420" s="15"/>
      <c r="M420" s="111"/>
      <c r="N420" s="100"/>
      <c r="O420" s="15"/>
    </row>
    <row r="421" spans="1:15">
      <c r="A421" s="377" t="s">
        <v>442</v>
      </c>
      <c r="B421" s="372"/>
      <c r="C421" s="4">
        <v>0</v>
      </c>
      <c r="E421" s="393">
        <v>0.3</v>
      </c>
      <c r="F421" s="131"/>
      <c r="G421" s="15">
        <f>ROUND(E421*$C421,0)</f>
        <v>0</v>
      </c>
      <c r="I421" s="111"/>
      <c r="J421" s="100"/>
      <c r="K421" s="15"/>
      <c r="M421" s="111"/>
      <c r="N421" s="100"/>
      <c r="O421" s="15"/>
    </row>
    <row r="422" spans="1:15">
      <c r="A422" s="377" t="s">
        <v>207</v>
      </c>
      <c r="B422" s="372"/>
      <c r="C422" s="4">
        <v>30</v>
      </c>
      <c r="E422" s="129"/>
      <c r="F422" s="100"/>
      <c r="G422" s="15"/>
      <c r="I422" s="111"/>
      <c r="J422" s="100"/>
      <c r="K422" s="15"/>
      <c r="M422" s="111"/>
      <c r="N422" s="100"/>
      <c r="O422" s="15"/>
    </row>
    <row r="423" spans="1:15">
      <c r="A423" s="377" t="s">
        <v>441</v>
      </c>
      <c r="B423" s="372"/>
      <c r="C423" s="4">
        <v>0</v>
      </c>
      <c r="E423" s="14">
        <v>38.54</v>
      </c>
      <c r="F423" s="100"/>
      <c r="G423" s="15">
        <f>ROUND(E423*$C423,0)</f>
        <v>0</v>
      </c>
      <c r="I423" s="111"/>
      <c r="J423" s="100"/>
      <c r="K423" s="15"/>
      <c r="M423" s="111"/>
      <c r="N423" s="100"/>
      <c r="O423" s="15"/>
    </row>
    <row r="424" spans="1:15">
      <c r="A424" s="377" t="s">
        <v>442</v>
      </c>
      <c r="B424" s="372"/>
      <c r="C424" s="4">
        <v>30</v>
      </c>
      <c r="E424" s="14">
        <v>29.77</v>
      </c>
      <c r="F424" s="100"/>
      <c r="G424" s="15">
        <f>ROUND(E424*$C424,0)</f>
        <v>893</v>
      </c>
      <c r="I424" s="111"/>
      <c r="J424" s="100"/>
      <c r="M424" s="111"/>
      <c r="N424" s="100"/>
    </row>
    <row r="425" spans="1:15">
      <c r="A425" s="391" t="s">
        <v>209</v>
      </c>
      <c r="B425" s="372"/>
      <c r="C425" s="4"/>
      <c r="G425" s="15"/>
      <c r="I425" s="111"/>
      <c r="J425" s="20"/>
      <c r="K425" s="15"/>
      <c r="M425" s="111"/>
      <c r="N425" s="20"/>
      <c r="O425" s="15"/>
    </row>
    <row r="426" spans="1:15">
      <c r="A426" s="377" t="s">
        <v>202</v>
      </c>
      <c r="B426" s="372"/>
      <c r="C426" s="4">
        <v>24</v>
      </c>
      <c r="E426" s="14">
        <v>678</v>
      </c>
      <c r="F426" s="100"/>
      <c r="G426" s="15">
        <f>ROUND(E426*$C426,0)</f>
        <v>16272</v>
      </c>
      <c r="I426" s="126"/>
      <c r="K426" s="15"/>
      <c r="M426" s="126"/>
      <c r="O426" s="15"/>
    </row>
    <row r="427" spans="1:15">
      <c r="A427" s="377" t="s">
        <v>203</v>
      </c>
      <c r="B427" s="372"/>
      <c r="C427" s="4">
        <v>153429</v>
      </c>
      <c r="E427" s="14">
        <v>2.63</v>
      </c>
      <c r="F427" s="100"/>
      <c r="G427" s="15">
        <f>ROUND(E427*$C427,0)</f>
        <v>403518</v>
      </c>
      <c r="I427" s="111"/>
      <c r="J427" s="100"/>
      <c r="K427" s="15"/>
      <c r="M427" s="111"/>
      <c r="N427" s="100"/>
      <c r="O427" s="15"/>
    </row>
    <row r="428" spans="1:15">
      <c r="A428" s="377" t="s">
        <v>204</v>
      </c>
      <c r="B428" s="372"/>
      <c r="C428" s="4"/>
      <c r="E428" s="105"/>
      <c r="F428" s="20"/>
      <c r="G428" s="15"/>
      <c r="I428" s="111"/>
      <c r="J428" s="100"/>
      <c r="K428" s="15"/>
      <c r="M428" s="111"/>
      <c r="N428" s="100"/>
      <c r="O428" s="15"/>
    </row>
    <row r="429" spans="1:15">
      <c r="A429" s="377" t="s">
        <v>205</v>
      </c>
      <c r="B429" s="372"/>
      <c r="C429" s="4">
        <v>391585</v>
      </c>
      <c r="E429" s="129"/>
      <c r="F429" s="130"/>
      <c r="G429" s="15"/>
      <c r="I429" s="111"/>
      <c r="J429" s="100"/>
      <c r="K429" s="15"/>
      <c r="M429" s="111"/>
      <c r="N429" s="100"/>
      <c r="O429" s="15"/>
    </row>
    <row r="430" spans="1:15">
      <c r="A430" s="377" t="s">
        <v>441</v>
      </c>
      <c r="B430" s="372"/>
      <c r="C430" s="4">
        <v>239920</v>
      </c>
      <c r="E430" s="14">
        <v>0.76</v>
      </c>
      <c r="F430" s="130"/>
      <c r="G430" s="15">
        <f>ROUND(E430*$C430,0)</f>
        <v>182339</v>
      </c>
      <c r="I430" s="111"/>
      <c r="J430" s="100"/>
      <c r="K430" s="15"/>
      <c r="M430" s="111"/>
      <c r="N430" s="100"/>
      <c r="O430" s="15"/>
    </row>
    <row r="431" spans="1:15">
      <c r="A431" s="377" t="s">
        <v>442</v>
      </c>
      <c r="B431" s="372"/>
      <c r="C431" s="4">
        <v>151665</v>
      </c>
      <c r="E431" s="14">
        <v>0.51</v>
      </c>
      <c r="F431" s="130"/>
      <c r="G431" s="15">
        <f>ROUND(E431*$C431,0)</f>
        <v>77349</v>
      </c>
      <c r="I431" s="125"/>
      <c r="J431" s="100"/>
      <c r="M431" s="125"/>
      <c r="N431" s="100"/>
    </row>
    <row r="432" spans="1:15">
      <c r="A432" s="377" t="s">
        <v>206</v>
      </c>
      <c r="B432" s="372"/>
      <c r="C432" s="4">
        <v>0</v>
      </c>
      <c r="E432" s="129"/>
      <c r="F432" s="131"/>
      <c r="G432" s="15"/>
      <c r="I432" s="125"/>
      <c r="J432" s="100"/>
      <c r="K432" s="15"/>
      <c r="M432" s="125"/>
      <c r="N432" s="100"/>
      <c r="O432" s="15"/>
    </row>
    <row r="433" spans="1:20">
      <c r="A433" s="377" t="s">
        <v>441</v>
      </c>
      <c r="B433" s="372"/>
      <c r="C433" s="4">
        <v>0</v>
      </c>
      <c r="E433" s="393">
        <v>0.38</v>
      </c>
      <c r="F433" s="131"/>
      <c r="G433" s="15">
        <f>ROUND(E433*$C433,0)</f>
        <v>0</v>
      </c>
      <c r="I433" s="125"/>
      <c r="J433" s="100"/>
      <c r="K433" s="15"/>
      <c r="M433" s="125"/>
      <c r="N433" s="100"/>
      <c r="O433" s="15"/>
    </row>
    <row r="434" spans="1:20">
      <c r="A434" s="377" t="s">
        <v>442</v>
      </c>
      <c r="B434" s="372"/>
      <c r="C434" s="4">
        <v>0</v>
      </c>
      <c r="E434" s="393">
        <v>0.255</v>
      </c>
      <c r="F434" s="131"/>
      <c r="G434" s="15">
        <f>ROUND(E434*$C434,0)</f>
        <v>0</v>
      </c>
      <c r="I434" s="111"/>
      <c r="J434" s="100"/>
      <c r="K434" s="15"/>
      <c r="M434" s="111"/>
      <c r="N434" s="100"/>
      <c r="O434" s="15"/>
    </row>
    <row r="435" spans="1:20">
      <c r="A435" s="377" t="s">
        <v>207</v>
      </c>
      <c r="B435" s="372"/>
      <c r="C435" s="4">
        <v>0</v>
      </c>
      <c r="E435" s="129"/>
      <c r="F435" s="100"/>
      <c r="G435" s="15"/>
      <c r="I435" s="126"/>
      <c r="K435" s="15"/>
      <c r="M435" s="126"/>
      <c r="O435" s="15"/>
    </row>
    <row r="436" spans="1:20">
      <c r="A436" s="377" t="s">
        <v>441</v>
      </c>
      <c r="B436" s="372"/>
      <c r="C436" s="4">
        <v>0</v>
      </c>
      <c r="E436" s="14">
        <v>32.35</v>
      </c>
      <c r="F436" s="100"/>
      <c r="G436" s="15">
        <f>ROUND(E436*$C436,0)</f>
        <v>0</v>
      </c>
      <c r="I436" s="126"/>
      <c r="K436" s="15"/>
      <c r="M436" s="126"/>
      <c r="O436" s="15"/>
    </row>
    <row r="437" spans="1:20">
      <c r="A437" s="377" t="s">
        <v>442</v>
      </c>
      <c r="B437" s="372"/>
      <c r="C437" s="4">
        <v>0</v>
      </c>
      <c r="E437" s="14">
        <v>23.36</v>
      </c>
      <c r="F437" s="100"/>
      <c r="G437" s="37">
        <f>ROUND(E437*$C437,0)</f>
        <v>0</v>
      </c>
      <c r="I437" s="126"/>
      <c r="K437" s="37"/>
      <c r="M437" s="126"/>
      <c r="O437" s="37"/>
    </row>
    <row r="438" spans="1:20">
      <c r="A438" s="377" t="s">
        <v>199</v>
      </c>
      <c r="B438" s="372"/>
      <c r="C438" s="45"/>
      <c r="E438" s="30"/>
      <c r="F438" s="115"/>
      <c r="G438" s="24">
        <f>SUM(G400:G437)</f>
        <v>1016286</v>
      </c>
      <c r="I438" s="178"/>
      <c r="J438" s="122"/>
      <c r="K438" s="24">
        <f>SUM(K400:K437)</f>
        <v>0</v>
      </c>
      <c r="M438" s="178"/>
      <c r="N438" s="122"/>
      <c r="O438" s="24">
        <f>SUM(O400:O437)</f>
        <v>0</v>
      </c>
    </row>
    <row r="439" spans="1:20">
      <c r="A439" s="391" t="s">
        <v>210</v>
      </c>
      <c r="B439" s="372"/>
      <c r="G439" s="92"/>
    </row>
    <row r="440" spans="1:20">
      <c r="A440" s="376" t="s">
        <v>211</v>
      </c>
      <c r="B440" s="372"/>
      <c r="C440" s="4"/>
      <c r="E440" s="105"/>
      <c r="F440" s="20"/>
      <c r="G440" s="15"/>
      <c r="I440" s="108"/>
      <c r="J440" s="109"/>
      <c r="K440" s="15"/>
      <c r="M440" s="108"/>
      <c r="N440" s="109"/>
      <c r="O440" s="15"/>
    </row>
    <row r="441" spans="1:20">
      <c r="A441" s="377" t="s">
        <v>87</v>
      </c>
      <c r="B441" s="372"/>
      <c r="C441" s="4">
        <v>16065</v>
      </c>
      <c r="E441" s="105">
        <v>4.76</v>
      </c>
      <c r="F441" s="20"/>
      <c r="G441" s="15">
        <f>ROUND(E441*$C441,0)</f>
        <v>76469</v>
      </c>
      <c r="I441" s="126"/>
      <c r="K441" s="15"/>
      <c r="M441" s="126"/>
      <c r="O441" s="15"/>
    </row>
    <row r="442" spans="1:20">
      <c r="A442" s="377" t="s">
        <v>88</v>
      </c>
      <c r="B442" s="372"/>
      <c r="C442" s="4">
        <v>0</v>
      </c>
      <c r="E442" s="105">
        <v>15.56</v>
      </c>
      <c r="F442" s="20"/>
      <c r="G442" s="15">
        <f>ROUND(E442*$C442,0)</f>
        <v>0</v>
      </c>
      <c r="I442" s="91">
        <v>9.1999999999999998E-3</v>
      </c>
      <c r="K442" s="15">
        <f t="shared" ref="K442" si="166">$G442*I442</f>
        <v>0</v>
      </c>
      <c r="M442" s="31">
        <f>$R$160</f>
        <v>-4.3E-3</v>
      </c>
      <c r="O442" s="15">
        <f t="shared" ref="O442:O443" si="167">$G442*M442</f>
        <v>0</v>
      </c>
      <c r="S442" s="138">
        <f>G442*I442-K442</f>
        <v>0</v>
      </c>
      <c r="T442" s="139">
        <f>G442*M442-O442</f>
        <v>0</v>
      </c>
    </row>
    <row r="443" spans="1:20">
      <c r="A443" s="377" t="s">
        <v>89</v>
      </c>
      <c r="B443" s="372"/>
      <c r="C443" s="4">
        <v>16065</v>
      </c>
      <c r="E443" s="105">
        <v>11.19</v>
      </c>
      <c r="F443" s="20"/>
      <c r="G443" s="15">
        <f>ROUND(E443*$C443,0)</f>
        <v>179767</v>
      </c>
      <c r="I443" s="91">
        <v>9.1999999999999998E-3</v>
      </c>
      <c r="K443" s="15">
        <f t="shared" ref="K443" si="168">$G443*I443</f>
        <v>1653.8563999999999</v>
      </c>
      <c r="M443" s="31">
        <f>$R$160</f>
        <v>-4.3E-3</v>
      </c>
      <c r="O443" s="15">
        <f t="shared" si="167"/>
        <v>-772.99810000000002</v>
      </c>
      <c r="S443" s="138">
        <f>G443*I443-K443</f>
        <v>0</v>
      </c>
      <c r="T443" s="139">
        <f>G443*M443-O443</f>
        <v>0</v>
      </c>
    </row>
    <row r="444" spans="1:20">
      <c r="A444" s="377" t="s">
        <v>32</v>
      </c>
      <c r="B444" s="372"/>
      <c r="C444" s="4">
        <v>16065</v>
      </c>
      <c r="E444" s="105">
        <v>-1.1299999999999999</v>
      </c>
      <c r="F444" s="20"/>
      <c r="G444" s="15">
        <f>ROUND(E444*$C444,0)</f>
        <v>-18153</v>
      </c>
      <c r="I444" s="31"/>
      <c r="J444" s="100"/>
      <c r="K444" s="15"/>
      <c r="M444" s="31"/>
      <c r="N444" s="100"/>
      <c r="O444" s="15"/>
      <c r="S444" s="138"/>
      <c r="T444" s="139"/>
    </row>
    <row r="445" spans="1:20">
      <c r="A445" s="377" t="s">
        <v>27</v>
      </c>
      <c r="B445" s="372"/>
      <c r="C445" s="4">
        <v>1044794</v>
      </c>
      <c r="E445" s="30">
        <v>5.0473999999999997</v>
      </c>
      <c r="F445" s="102" t="s">
        <v>11</v>
      </c>
      <c r="G445" s="15">
        <f>ROUND(E445*$C445/100,0)</f>
        <v>52735</v>
      </c>
      <c r="I445" s="91">
        <v>9.1999999999999998E-3</v>
      </c>
      <c r="K445" s="15">
        <f t="shared" ref="K445:K447" si="169">$G445*I445</f>
        <v>485.16199999999998</v>
      </c>
      <c r="M445" s="31">
        <f>$R$160</f>
        <v>-4.3E-3</v>
      </c>
      <c r="O445" s="15">
        <f t="shared" ref="O445:O447" si="170">$G445*M445</f>
        <v>-226.76050000000001</v>
      </c>
      <c r="S445" s="138">
        <f>G445*I445-K445</f>
        <v>0</v>
      </c>
      <c r="T445" s="139">
        <f>G445*M445-O445</f>
        <v>0</v>
      </c>
    </row>
    <row r="446" spans="1:20">
      <c r="A446" s="377" t="s">
        <v>52</v>
      </c>
      <c r="B446" s="372"/>
      <c r="C446" s="4">
        <v>3934668</v>
      </c>
      <c r="E446" s="30">
        <v>3.9510999999999998</v>
      </c>
      <c r="F446" s="102" t="s">
        <v>11</v>
      </c>
      <c r="G446" s="15">
        <f>ROUND(E446*$C446/100,0)</f>
        <v>155463</v>
      </c>
      <c r="I446" s="91">
        <v>9.1999999999999998E-3</v>
      </c>
      <c r="K446" s="15">
        <f t="shared" si="169"/>
        <v>1430.2595999999999</v>
      </c>
      <c r="M446" s="31">
        <f>$R$160</f>
        <v>-4.3E-3</v>
      </c>
      <c r="O446" s="15">
        <f t="shared" si="170"/>
        <v>-668.49090000000001</v>
      </c>
      <c r="S446" s="138">
        <f>G446*I446-K446</f>
        <v>0</v>
      </c>
      <c r="T446" s="139">
        <f>G446*M446-O446</f>
        <v>0</v>
      </c>
    </row>
    <row r="447" spans="1:20">
      <c r="A447" s="377" t="s">
        <v>90</v>
      </c>
      <c r="B447" s="372"/>
      <c r="C447" s="4">
        <v>5030284.6792951785</v>
      </c>
      <c r="E447" s="30">
        <v>3.4001999999999999</v>
      </c>
      <c r="F447" s="102" t="s">
        <v>11</v>
      </c>
      <c r="G447" s="15">
        <f>ROUND(E447*$C447/100,0)</f>
        <v>171040</v>
      </c>
      <c r="I447" s="91">
        <v>9.1999999999999998E-3</v>
      </c>
      <c r="K447" s="15">
        <f t="shared" si="169"/>
        <v>1573.568</v>
      </c>
      <c r="M447" s="31">
        <f>$R$160</f>
        <v>-4.3E-3</v>
      </c>
      <c r="O447" s="15">
        <f t="shared" si="170"/>
        <v>-735.47199999999998</v>
      </c>
      <c r="S447" s="138">
        <f>G447*I447-K447</f>
        <v>0</v>
      </c>
      <c r="T447" s="139">
        <f>G447*M447-O447</f>
        <v>0</v>
      </c>
    </row>
    <row r="448" spans="1:20">
      <c r="A448" s="376" t="s">
        <v>212</v>
      </c>
      <c r="B448" s="372"/>
      <c r="C448" s="4"/>
      <c r="E448" s="105"/>
      <c r="F448" s="20"/>
      <c r="G448" s="15"/>
      <c r="K448" s="15"/>
      <c r="O448" s="15"/>
      <c r="S448" s="138"/>
      <c r="T448" s="139"/>
    </row>
    <row r="449" spans="1:24">
      <c r="A449" s="377" t="s">
        <v>87</v>
      </c>
      <c r="B449" s="372"/>
      <c r="C449" s="4">
        <v>103313</v>
      </c>
      <c r="E449" s="105">
        <v>2.2200000000000002</v>
      </c>
      <c r="F449" s="20"/>
      <c r="G449" s="15">
        <f>ROUND(E449*$C449,0)</f>
        <v>229355</v>
      </c>
      <c r="K449" s="15"/>
      <c r="O449" s="15"/>
      <c r="S449" s="138"/>
      <c r="T449" s="139"/>
    </row>
    <row r="450" spans="1:24">
      <c r="A450" s="377" t="s">
        <v>88</v>
      </c>
      <c r="B450" s="372"/>
      <c r="C450" s="4">
        <v>49491</v>
      </c>
      <c r="E450" s="105">
        <v>13.96</v>
      </c>
      <c r="F450" s="20"/>
      <c r="G450" s="15">
        <f>ROUND(E450*$C450,0)</f>
        <v>690894</v>
      </c>
      <c r="I450" s="91">
        <v>1.12E-2</v>
      </c>
      <c r="J450" s="109"/>
      <c r="K450" s="15">
        <f t="shared" ref="K450" si="171">$G450*I450</f>
        <v>7738.0127999999995</v>
      </c>
      <c r="M450" s="31">
        <f>$R$172</f>
        <v>-5.1999999999999998E-3</v>
      </c>
      <c r="N450" s="109"/>
      <c r="O450" s="15">
        <f t="shared" ref="O450:O454" si="172">$G450*M450</f>
        <v>-3592.6487999999999</v>
      </c>
      <c r="S450" s="138">
        <f>G450*I450-K450</f>
        <v>0</v>
      </c>
      <c r="T450" s="139">
        <f>G450*M450-O450</f>
        <v>0</v>
      </c>
    </row>
    <row r="451" spans="1:24">
      <c r="A451" s="377" t="s">
        <v>89</v>
      </c>
      <c r="B451" s="372"/>
      <c r="C451" s="4">
        <v>50080</v>
      </c>
      <c r="E451" s="105">
        <v>9.4700000000000006</v>
      </c>
      <c r="F451" s="20"/>
      <c r="G451" s="15">
        <f>ROUND(E451*$C451,0)</f>
        <v>474258</v>
      </c>
      <c r="I451" s="91">
        <v>1.12E-2</v>
      </c>
      <c r="K451" s="15">
        <f t="shared" ref="K451:K454" si="173">$G451*I451</f>
        <v>5311.6895999999997</v>
      </c>
      <c r="M451" s="31">
        <f>$R$172</f>
        <v>-5.1999999999999998E-3</v>
      </c>
      <c r="O451" s="15">
        <f t="shared" si="172"/>
        <v>-2466.1415999999999</v>
      </c>
      <c r="S451" s="138">
        <f>G451*I451-K451</f>
        <v>0</v>
      </c>
      <c r="T451" s="139">
        <f>G451*M451-O451</f>
        <v>0</v>
      </c>
    </row>
    <row r="452" spans="1:24">
      <c r="A452" s="377" t="s">
        <v>92</v>
      </c>
      <c r="B452" s="372"/>
      <c r="C452" s="4">
        <v>7647176</v>
      </c>
      <c r="E452" s="119">
        <v>4.6531000000000002</v>
      </c>
      <c r="F452" s="102" t="s">
        <v>11</v>
      </c>
      <c r="G452" s="15">
        <f>ROUND(E452*$C452/100,0)</f>
        <v>355831</v>
      </c>
      <c r="I452" s="126">
        <v>1.12E-2</v>
      </c>
      <c r="K452" s="15">
        <f t="shared" si="173"/>
        <v>3985.3071999999997</v>
      </c>
      <c r="M452" s="31">
        <f>$R$172</f>
        <v>-5.1999999999999998E-3</v>
      </c>
      <c r="O452" s="15">
        <f t="shared" si="172"/>
        <v>-1850.3211999999999</v>
      </c>
      <c r="S452" s="138">
        <f>G452*I452-K452</f>
        <v>0</v>
      </c>
      <c r="T452" s="139">
        <f>G452*M452-O452</f>
        <v>0</v>
      </c>
    </row>
    <row r="453" spans="1:24">
      <c r="A453" s="377" t="s">
        <v>93</v>
      </c>
      <c r="B453" s="372"/>
      <c r="C453" s="4">
        <v>10898121</v>
      </c>
      <c r="E453" s="119">
        <v>3.4988999999999999</v>
      </c>
      <c r="F453" s="102" t="s">
        <v>11</v>
      </c>
      <c r="G453" s="15">
        <f>ROUND(E453*$C453/100,0)</f>
        <v>381314</v>
      </c>
      <c r="I453" s="31">
        <v>1.12E-2</v>
      </c>
      <c r="J453" s="100"/>
      <c r="K453" s="15">
        <f t="shared" si="173"/>
        <v>4270.7168000000001</v>
      </c>
      <c r="M453" s="31">
        <f>$R$172</f>
        <v>-5.1999999999999998E-3</v>
      </c>
      <c r="N453" s="100"/>
      <c r="O453" s="15">
        <f t="shared" si="172"/>
        <v>-1982.8327999999999</v>
      </c>
      <c r="S453" s="138">
        <f>G453*I453-K453</f>
        <v>0</v>
      </c>
      <c r="T453" s="139">
        <f>G453*M453-O453</f>
        <v>0</v>
      </c>
    </row>
    <row r="454" spans="1:24">
      <c r="A454" s="377" t="s">
        <v>90</v>
      </c>
      <c r="B454" s="372"/>
      <c r="C454" s="48">
        <v>27727401.345819965</v>
      </c>
      <c r="E454" s="394">
        <v>2.9224999999999999</v>
      </c>
      <c r="F454" s="102" t="s">
        <v>11</v>
      </c>
      <c r="G454" s="37">
        <f>ROUND(E454*$C454/100,0)</f>
        <v>810333</v>
      </c>
      <c r="I454" s="31">
        <v>1.12E-2</v>
      </c>
      <c r="J454" s="102"/>
      <c r="K454" s="37">
        <f t="shared" si="173"/>
        <v>9075.7296000000006</v>
      </c>
      <c r="M454" s="31">
        <f>$R$172</f>
        <v>-5.1999999999999998E-3</v>
      </c>
      <c r="N454" s="102"/>
      <c r="O454" s="37">
        <f t="shared" si="172"/>
        <v>-4213.7316000000001</v>
      </c>
      <c r="S454" s="138">
        <f>G454*I454-K454</f>
        <v>0</v>
      </c>
      <c r="T454" s="139">
        <f>G454*M454-O454</f>
        <v>0</v>
      </c>
    </row>
    <row r="455" spans="1:24">
      <c r="A455" s="377" t="s">
        <v>199</v>
      </c>
      <c r="B455" s="372"/>
      <c r="C455" s="16"/>
      <c r="E455" s="177"/>
      <c r="F455" s="102"/>
      <c r="G455" s="21">
        <f>SUM(G441:G454)</f>
        <v>3559306</v>
      </c>
      <c r="I455" s="126"/>
      <c r="K455" s="21">
        <f>SUM(K441:K454)</f>
        <v>35524.301999999996</v>
      </c>
      <c r="M455" s="126"/>
      <c r="O455" s="21">
        <f>SUM(O441:O454)</f>
        <v>-16509.397499999999</v>
      </c>
    </row>
    <row r="456" spans="1:24">
      <c r="A456" s="160" t="s">
        <v>83</v>
      </c>
      <c r="B456" s="372"/>
      <c r="C456" s="45">
        <v>0</v>
      </c>
      <c r="E456" s="30"/>
      <c r="F456" s="115"/>
      <c r="G456" s="24">
        <v>0</v>
      </c>
      <c r="I456" s="126"/>
      <c r="K456" s="24"/>
      <c r="M456" s="126"/>
      <c r="O456" s="24"/>
    </row>
    <row r="457" spans="1:24" ht="16.5" thickBot="1">
      <c r="A457" s="377" t="s">
        <v>213</v>
      </c>
      <c r="B457" s="372"/>
      <c r="C457" s="29">
        <v>56282445.025115147</v>
      </c>
      <c r="E457" s="174"/>
      <c r="G457" s="28">
        <f>G438+G455+G456</f>
        <v>4575592</v>
      </c>
      <c r="I457" s="109"/>
      <c r="J457" s="109"/>
      <c r="K457" s="28">
        <f>K438+K455+K456</f>
        <v>35524.301999999996</v>
      </c>
      <c r="M457" s="109"/>
      <c r="N457" s="109"/>
      <c r="O457" s="28">
        <f>O438+O455+O456</f>
        <v>-16509.397499999999</v>
      </c>
    </row>
    <row r="458" spans="1:24" ht="16.5" thickTop="1">
      <c r="G458" s="92"/>
      <c r="I458" s="109"/>
      <c r="J458" s="109"/>
      <c r="M458" s="109"/>
      <c r="N458" s="109"/>
    </row>
    <row r="459" spans="1:24">
      <c r="A459" s="376" t="s">
        <v>273</v>
      </c>
      <c r="B459" s="372"/>
      <c r="C459" s="4"/>
      <c r="G459" s="92"/>
      <c r="U459" s="354" t="s">
        <v>419</v>
      </c>
    </row>
    <row r="460" spans="1:24">
      <c r="A460" s="198" t="s">
        <v>457</v>
      </c>
      <c r="B460" s="372"/>
      <c r="C460" s="4">
        <v>12</v>
      </c>
      <c r="E460" s="30"/>
      <c r="F460" s="115"/>
      <c r="G460" s="51">
        <f>U460*$G$465/$U$465</f>
        <v>2455.1370887870371</v>
      </c>
      <c r="I460" s="31"/>
      <c r="J460" s="100"/>
      <c r="K460" s="51"/>
      <c r="M460" s="31"/>
      <c r="N460" s="100"/>
      <c r="O460" s="51"/>
      <c r="S460" s="138"/>
      <c r="T460" s="139"/>
      <c r="U460" s="355">
        <v>2617.6799999999989</v>
      </c>
      <c r="W460" s="472"/>
      <c r="X460" s="472"/>
    </row>
    <row r="461" spans="1:24">
      <c r="A461" s="198" t="s">
        <v>7</v>
      </c>
      <c r="B461" s="372"/>
      <c r="C461" s="4"/>
      <c r="E461" s="30"/>
      <c r="F461" s="115"/>
      <c r="G461" s="14">
        <f>U461*$G$465/$U$465</f>
        <v>1757447.7693870724</v>
      </c>
      <c r="I461" s="31"/>
      <c r="J461" s="100"/>
      <c r="K461" s="51"/>
      <c r="M461" s="31"/>
      <c r="N461" s="100"/>
      <c r="O461" s="51"/>
      <c r="Q461" s="70" t="s">
        <v>14</v>
      </c>
      <c r="R461" s="17">
        <f>O465</f>
        <v>-94315.853136686914</v>
      </c>
      <c r="S461" s="138"/>
      <c r="T461" s="139"/>
      <c r="U461" s="355">
        <v>1873800</v>
      </c>
      <c r="W461" s="472"/>
      <c r="X461" s="472"/>
    </row>
    <row r="462" spans="1:24">
      <c r="A462" s="198" t="s">
        <v>214</v>
      </c>
      <c r="B462" s="372"/>
      <c r="C462" s="4">
        <v>949050</v>
      </c>
      <c r="E462" s="30"/>
      <c r="F462" s="115"/>
      <c r="G462" s="51">
        <f t="shared" ref="G462:G464" si="174">U462*$G$465/$U$465</f>
        <v>9607156.0419391952</v>
      </c>
      <c r="I462" s="31">
        <v>7.7999999999999996E-3</v>
      </c>
      <c r="J462" s="102"/>
      <c r="K462" s="15">
        <f>$G462*I462</f>
        <v>74935.817127125716</v>
      </c>
      <c r="M462" s="31">
        <f>$R$464</f>
        <v>-3.5999999999999999E-3</v>
      </c>
      <c r="N462" s="102"/>
      <c r="O462" s="15">
        <f>$G462*M462</f>
        <v>-34585.761750981103</v>
      </c>
      <c r="Q462" s="71" t="s">
        <v>16</v>
      </c>
      <c r="R462" s="18">
        <f>'Exhibit-RMP(RMM-1) page 2'!K34*1000</f>
        <v>-94375.973383380056</v>
      </c>
      <c r="S462" s="138">
        <f t="shared" ref="S462:S464" si="175">G462*I462-K462</f>
        <v>0</v>
      </c>
      <c r="T462" s="139">
        <f t="shared" ref="T462:T464" si="176">G462*M462-O462</f>
        <v>0</v>
      </c>
      <c r="U462" s="355">
        <v>10243200.000000002</v>
      </c>
      <c r="W462" s="472"/>
      <c r="X462" s="472"/>
    </row>
    <row r="463" spans="1:24">
      <c r="A463" s="198" t="s">
        <v>215</v>
      </c>
      <c r="B463" s="372"/>
      <c r="C463" s="4">
        <v>237232647</v>
      </c>
      <c r="E463" s="132"/>
      <c r="F463" s="133"/>
      <c r="G463" s="51">
        <f t="shared" si="174"/>
        <v>8613813.3233023118</v>
      </c>
      <c r="I463" s="31">
        <v>7.7999999999999996E-3</v>
      </c>
      <c r="J463" s="102"/>
      <c r="K463" s="51">
        <f t="shared" ref="K463:K464" si="177">$G463*I463</f>
        <v>67187.743921758025</v>
      </c>
      <c r="M463" s="31">
        <f>$R$464</f>
        <v>-3.5999999999999999E-3</v>
      </c>
      <c r="N463" s="102"/>
      <c r="O463" s="51">
        <f t="shared" ref="O463:O464" si="178">$G463*M463</f>
        <v>-31009.727963888323</v>
      </c>
      <c r="Q463" s="72" t="s">
        <v>18</v>
      </c>
      <c r="R463" s="19">
        <f>R462-R461</f>
        <v>-60.12024669314269</v>
      </c>
      <c r="S463" s="138">
        <f t="shared" si="175"/>
        <v>0</v>
      </c>
      <c r="T463" s="139">
        <f t="shared" si="176"/>
        <v>0</v>
      </c>
      <c r="U463" s="355">
        <v>9184092.8000000007</v>
      </c>
      <c r="W463" s="472"/>
      <c r="X463" s="472"/>
    </row>
    <row r="464" spans="1:24">
      <c r="A464" s="198" t="s">
        <v>216</v>
      </c>
      <c r="B464" s="372"/>
      <c r="C464" s="23">
        <v>298488523</v>
      </c>
      <c r="G464" s="24">
        <f t="shared" si="174"/>
        <v>7977878.7282826342</v>
      </c>
      <c r="I464" s="31">
        <v>7.7999999999999996E-3</v>
      </c>
      <c r="J464" s="102"/>
      <c r="K464" s="24">
        <f t="shared" si="177"/>
        <v>62227.454080604541</v>
      </c>
      <c r="M464" s="31">
        <f>$R$464</f>
        <v>-3.5999999999999999E-3</v>
      </c>
      <c r="N464" s="102"/>
      <c r="O464" s="24">
        <f t="shared" si="178"/>
        <v>-28720.363421817481</v>
      </c>
      <c r="Q464" s="75" t="s">
        <v>21</v>
      </c>
      <c r="R464" s="76">
        <f>ROUND(R462/SUM(G462:G464),$R$12)</f>
        <v>-3.5999999999999999E-3</v>
      </c>
      <c r="S464" s="138">
        <f t="shared" si="175"/>
        <v>0</v>
      </c>
      <c r="T464" s="139">
        <f t="shared" si="176"/>
        <v>0</v>
      </c>
      <c r="U464" s="356">
        <v>8506056.0099999998</v>
      </c>
      <c r="W464" s="472"/>
      <c r="X464" s="472"/>
    </row>
    <row r="465" spans="1:24" ht="16.5" thickBot="1">
      <c r="A465" s="377" t="s">
        <v>25</v>
      </c>
      <c r="B465" s="372"/>
      <c r="C465" s="29">
        <v>535721170</v>
      </c>
      <c r="E465" s="114"/>
      <c r="F465" s="115"/>
      <c r="G465" s="28">
        <v>27958751</v>
      </c>
      <c r="I465" s="128"/>
      <c r="J465" s="124"/>
      <c r="K465" s="28">
        <f>SUM(K462:K464)</f>
        <v>204351.01512948828</v>
      </c>
      <c r="M465" s="128"/>
      <c r="N465" s="124"/>
      <c r="O465" s="28">
        <f>SUM(O462:O464)</f>
        <v>-94315.853136686914</v>
      </c>
      <c r="S465" s="138"/>
      <c r="T465" s="139"/>
      <c r="U465" s="357">
        <v>29809766.490000002</v>
      </c>
      <c r="W465" s="472"/>
      <c r="X465" s="472"/>
    </row>
    <row r="466" spans="1:24" ht="16.5" thickTop="1">
      <c r="A466" s="160"/>
      <c r="B466" s="372"/>
      <c r="C466" s="4"/>
      <c r="G466" s="15"/>
      <c r="I466" s="106"/>
      <c r="J466" s="115"/>
      <c r="K466" s="15"/>
      <c r="M466" s="106"/>
      <c r="N466" s="115"/>
      <c r="O466" s="15"/>
    </row>
    <row r="467" spans="1:24">
      <c r="A467" s="395" t="s">
        <v>274</v>
      </c>
      <c r="B467" s="373"/>
      <c r="C467" s="4"/>
      <c r="E467" s="30"/>
      <c r="F467" s="115"/>
      <c r="G467" s="92"/>
      <c r="I467" s="106"/>
      <c r="J467" s="115"/>
      <c r="M467" s="106"/>
      <c r="N467" s="115"/>
      <c r="Q467" s="70" t="s">
        <v>14</v>
      </c>
      <c r="R467" s="17">
        <f>O470</f>
        <v>-192845.89499999999</v>
      </c>
      <c r="S467" s="138"/>
      <c r="T467" s="139"/>
    </row>
    <row r="468" spans="1:24">
      <c r="A468" s="383" t="s">
        <v>7</v>
      </c>
      <c r="B468" s="373"/>
      <c r="C468" s="4">
        <v>12</v>
      </c>
      <c r="G468" s="92"/>
      <c r="I468" s="31"/>
      <c r="J468" s="100"/>
      <c r="M468" s="31"/>
      <c r="N468" s="100"/>
      <c r="Q468" s="71" t="s">
        <v>16</v>
      </c>
      <c r="R468" s="18">
        <f>'Exhibit-RMP(RMM-1) page 2'!K35*1000</f>
        <v>-193638.5540149842</v>
      </c>
      <c r="S468" s="138"/>
      <c r="T468" s="139"/>
    </row>
    <row r="469" spans="1:24">
      <c r="A469" s="383" t="s">
        <v>309</v>
      </c>
      <c r="B469" s="373"/>
      <c r="C469" s="4">
        <v>795798675.78575754</v>
      </c>
      <c r="E469" s="134"/>
      <c r="F469" s="135"/>
      <c r="G469" s="37">
        <v>35062890</v>
      </c>
      <c r="I469" s="91">
        <v>1.17E-2</v>
      </c>
      <c r="J469" s="109"/>
      <c r="K469" s="15">
        <f t="shared" ref="K469" si="179">$G469*I469</f>
        <v>410235.81300000002</v>
      </c>
      <c r="M469" s="91">
        <f>R470</f>
        <v>-5.4999999999999997E-3</v>
      </c>
      <c r="N469" s="109"/>
      <c r="O469" s="15">
        <f>$G469*M469</f>
        <v>-192845.89499999999</v>
      </c>
      <c r="Q469" s="72" t="s">
        <v>18</v>
      </c>
      <c r="R469" s="19">
        <f>R468-R467</f>
        <v>-792.65901498420862</v>
      </c>
      <c r="S469" s="138">
        <f t="shared" ref="S469" si="180">G469*I469-K469</f>
        <v>0</v>
      </c>
      <c r="T469" s="139">
        <f t="shared" ref="T469" si="181">G469*M469-O469</f>
        <v>0</v>
      </c>
    </row>
    <row r="470" spans="1:24" ht="16.5" thickBot="1">
      <c r="A470" s="377" t="s">
        <v>25</v>
      </c>
      <c r="B470" s="373"/>
      <c r="C470" s="52">
        <v>795798675.78575754</v>
      </c>
      <c r="E470" s="136"/>
      <c r="F470" s="115"/>
      <c r="G470" s="26">
        <v>35062890</v>
      </c>
      <c r="I470" s="125"/>
      <c r="J470" s="102"/>
      <c r="K470" s="26">
        <f>K469</f>
        <v>410235.81300000002</v>
      </c>
      <c r="M470" s="125"/>
      <c r="N470" s="102"/>
      <c r="O470" s="26">
        <f>O469</f>
        <v>-192845.89499999999</v>
      </c>
      <c r="Q470" s="75" t="s">
        <v>21</v>
      </c>
      <c r="R470" s="76">
        <f>ROUND(R468/G469,$R$12)</f>
        <v>-5.4999999999999997E-3</v>
      </c>
      <c r="S470" s="138"/>
      <c r="T470" s="139"/>
    </row>
    <row r="471" spans="1:24" ht="16.5" thickTop="1">
      <c r="A471" s="200"/>
      <c r="B471" s="167"/>
      <c r="C471" s="16"/>
      <c r="E471" s="109"/>
      <c r="F471" s="109"/>
      <c r="G471" s="21"/>
      <c r="I471" s="125"/>
      <c r="J471" s="102"/>
      <c r="K471" s="21"/>
      <c r="M471" s="125"/>
      <c r="N471" s="102"/>
      <c r="O471" s="21"/>
      <c r="R471" s="209"/>
    </row>
    <row r="472" spans="1:24">
      <c r="A472" s="376" t="s">
        <v>275</v>
      </c>
      <c r="B472" s="372"/>
      <c r="C472" s="4"/>
      <c r="E472" s="30"/>
      <c r="F472" s="115"/>
      <c r="G472" s="92"/>
      <c r="I472" s="125"/>
      <c r="J472" s="124"/>
      <c r="M472" s="125"/>
      <c r="N472" s="124"/>
    </row>
    <row r="473" spans="1:24">
      <c r="A473" s="377" t="s">
        <v>7</v>
      </c>
      <c r="B473" s="372"/>
      <c r="C473" s="4">
        <v>12</v>
      </c>
      <c r="E473" s="14"/>
      <c r="F473" s="115"/>
      <c r="G473" s="15">
        <v>8136</v>
      </c>
      <c r="I473" s="121"/>
      <c r="J473" s="115"/>
      <c r="K473" s="15"/>
      <c r="M473" s="121"/>
      <c r="N473" s="115"/>
      <c r="O473" s="15"/>
    </row>
    <row r="474" spans="1:24">
      <c r="A474" s="377" t="s">
        <v>310</v>
      </c>
      <c r="B474" s="372"/>
      <c r="C474" s="4">
        <v>422498</v>
      </c>
      <c r="E474" s="14"/>
      <c r="F474" s="115"/>
      <c r="G474" s="15">
        <v>921045</v>
      </c>
      <c r="I474" s="126"/>
      <c r="K474" s="15"/>
      <c r="M474" s="126"/>
      <c r="O474" s="15"/>
    </row>
    <row r="475" spans="1:24">
      <c r="A475" s="377" t="s">
        <v>217</v>
      </c>
      <c r="B475" s="372"/>
      <c r="C475" s="4"/>
      <c r="E475" s="105"/>
      <c r="F475" s="137"/>
      <c r="G475" s="51"/>
      <c r="I475" s="126"/>
      <c r="K475" s="15"/>
      <c r="M475" s="126"/>
      <c r="O475" s="15"/>
    </row>
    <row r="476" spans="1:24">
      <c r="A476" s="377" t="s">
        <v>205</v>
      </c>
      <c r="B476" s="372"/>
      <c r="C476" s="4">
        <v>3435490</v>
      </c>
      <c r="E476" s="129"/>
      <c r="F476" s="130"/>
      <c r="G476" s="15"/>
      <c r="I476" s="126"/>
      <c r="K476" s="15"/>
      <c r="M476" s="126"/>
      <c r="O476" s="15"/>
    </row>
    <row r="477" spans="1:24">
      <c r="A477" s="377" t="s">
        <v>441</v>
      </c>
      <c r="B477" s="372"/>
      <c r="C477" s="4">
        <v>3253488</v>
      </c>
      <c r="E477" s="129"/>
      <c r="F477" s="130"/>
      <c r="G477" s="15">
        <v>1673920</v>
      </c>
      <c r="I477" s="126"/>
      <c r="K477" s="15"/>
      <c r="M477" s="126"/>
      <c r="O477" s="15"/>
    </row>
    <row r="478" spans="1:24">
      <c r="A478" s="377" t="s">
        <v>442</v>
      </c>
      <c r="B478" s="372"/>
      <c r="C478" s="4">
        <v>182002</v>
      </c>
      <c r="E478" s="129"/>
      <c r="F478" s="130"/>
      <c r="G478" s="15">
        <v>93640</v>
      </c>
      <c r="I478" s="126"/>
      <c r="K478" s="15"/>
      <c r="M478" s="126"/>
      <c r="O478" s="15"/>
    </row>
    <row r="479" spans="1:24">
      <c r="A479" s="377" t="s">
        <v>206</v>
      </c>
      <c r="B479" s="372"/>
      <c r="C479" s="4">
        <v>0</v>
      </c>
      <c r="E479" s="129"/>
      <c r="F479" s="130"/>
      <c r="G479" s="15"/>
      <c r="I479" s="126"/>
      <c r="K479" s="15"/>
      <c r="M479" s="126"/>
      <c r="O479" s="15"/>
    </row>
    <row r="480" spans="1:24">
      <c r="A480" s="377" t="s">
        <v>441</v>
      </c>
      <c r="B480" s="372"/>
      <c r="C480" s="4"/>
      <c r="E480" s="129"/>
      <c r="F480" s="130"/>
      <c r="G480" s="15">
        <v>0</v>
      </c>
      <c r="I480" s="126"/>
      <c r="K480" s="15"/>
      <c r="M480" s="126"/>
      <c r="O480" s="15"/>
    </row>
    <row r="481" spans="1:20">
      <c r="A481" s="377" t="s">
        <v>442</v>
      </c>
      <c r="B481" s="372"/>
      <c r="C481" s="4"/>
      <c r="E481" s="129"/>
      <c r="F481" s="130"/>
      <c r="G481" s="15">
        <v>0</v>
      </c>
      <c r="I481" s="109"/>
      <c r="J481" s="109"/>
      <c r="K481" s="51"/>
      <c r="M481" s="109"/>
      <c r="N481" s="109"/>
      <c r="O481" s="51"/>
    </row>
    <row r="482" spans="1:20">
      <c r="A482" s="377" t="s">
        <v>218</v>
      </c>
      <c r="B482" s="372"/>
      <c r="C482" s="4">
        <v>0</v>
      </c>
      <c r="E482" s="129"/>
      <c r="F482" s="130"/>
      <c r="G482" s="15"/>
      <c r="K482" s="15"/>
      <c r="O482" s="15"/>
    </row>
    <row r="483" spans="1:20">
      <c r="A483" s="377" t="s">
        <v>441</v>
      </c>
      <c r="B483" s="372"/>
      <c r="C483" s="4"/>
      <c r="E483" s="129"/>
      <c r="F483" s="130"/>
      <c r="G483" s="15">
        <v>0</v>
      </c>
      <c r="K483" s="15"/>
      <c r="O483" s="15"/>
    </row>
    <row r="484" spans="1:20">
      <c r="A484" s="377" t="s">
        <v>442</v>
      </c>
      <c r="B484" s="372"/>
      <c r="C484" s="4"/>
      <c r="E484" s="129"/>
      <c r="F484" s="130"/>
      <c r="G484" s="15">
        <v>0</v>
      </c>
      <c r="I484" s="31"/>
      <c r="J484" s="100"/>
      <c r="K484" s="15"/>
      <c r="M484" s="31"/>
      <c r="N484" s="100"/>
      <c r="O484" s="15"/>
    </row>
    <row r="485" spans="1:20">
      <c r="A485" s="377" t="s">
        <v>219</v>
      </c>
      <c r="B485" s="372"/>
      <c r="C485" s="4"/>
      <c r="E485" s="118"/>
      <c r="F485" s="137"/>
      <c r="G485" s="51"/>
      <c r="I485" s="31"/>
      <c r="J485" s="100"/>
      <c r="K485" s="51"/>
      <c r="M485" s="31"/>
      <c r="N485" s="100"/>
      <c r="O485" s="51"/>
    </row>
    <row r="486" spans="1:20">
      <c r="A486" s="377" t="s">
        <v>220</v>
      </c>
      <c r="B486" s="372"/>
      <c r="C486" s="4">
        <v>24807</v>
      </c>
      <c r="E486" s="105"/>
      <c r="F486" s="20"/>
      <c r="G486" s="15">
        <v>346306</v>
      </c>
      <c r="I486" s="31">
        <v>1.12E-2</v>
      </c>
      <c r="J486" s="100"/>
      <c r="K486" s="15">
        <f t="shared" ref="K486" si="182">$G486*I486</f>
        <v>3878.6271999999999</v>
      </c>
      <c r="M486" s="31"/>
      <c r="N486" s="100"/>
      <c r="O486" s="15">
        <f t="shared" ref="O486:O487" si="183">$G486*M486</f>
        <v>0</v>
      </c>
      <c r="S486" s="138">
        <f t="shared" ref="S486:S491" si="184">G486*I486-K486</f>
        <v>0</v>
      </c>
      <c r="T486" s="139">
        <f t="shared" ref="T486:T491" si="185">G486*M486-O486</f>
        <v>0</v>
      </c>
    </row>
    <row r="487" spans="1:20">
      <c r="A487" s="377" t="s">
        <v>221</v>
      </c>
      <c r="B487" s="372"/>
      <c r="C487" s="4">
        <v>765402</v>
      </c>
      <c r="E487" s="105"/>
      <c r="F487" s="20"/>
      <c r="G487" s="15">
        <v>7248357</v>
      </c>
      <c r="I487" s="31">
        <v>1.12E-2</v>
      </c>
      <c r="J487" s="100"/>
      <c r="K487" s="15">
        <f t="shared" ref="K487" si="186">$G487*I487</f>
        <v>81181.598400000003</v>
      </c>
      <c r="M487" s="31"/>
      <c r="N487" s="100"/>
      <c r="O487" s="15">
        <f t="shared" si="183"/>
        <v>0</v>
      </c>
      <c r="S487" s="138">
        <f t="shared" si="184"/>
        <v>0</v>
      </c>
      <c r="T487" s="139">
        <f t="shared" si="185"/>
        <v>0</v>
      </c>
    </row>
    <row r="488" spans="1:20">
      <c r="A488" s="377" t="s">
        <v>222</v>
      </c>
      <c r="B488" s="372"/>
      <c r="C488" s="16"/>
      <c r="E488" s="137"/>
      <c r="F488" s="137"/>
      <c r="G488" s="21"/>
      <c r="I488" s="31"/>
      <c r="J488" s="100"/>
      <c r="K488" s="21"/>
      <c r="M488" s="31"/>
      <c r="N488" s="100"/>
      <c r="O488" s="21"/>
      <c r="S488" s="138"/>
      <c r="T488" s="139"/>
    </row>
    <row r="489" spans="1:20">
      <c r="A489" s="377" t="s">
        <v>223</v>
      </c>
      <c r="B489" s="372"/>
      <c r="C489" s="4">
        <v>22796861</v>
      </c>
      <c r="E489" s="119"/>
      <c r="F489" s="102" t="s">
        <v>11</v>
      </c>
      <c r="G489" s="15">
        <v>1060761</v>
      </c>
      <c r="I489" s="31">
        <v>1.12E-2</v>
      </c>
      <c r="J489" s="100"/>
      <c r="K489" s="15">
        <f t="shared" ref="K489:K491" si="187">$G489*I489</f>
        <v>11880.5232</v>
      </c>
      <c r="M489" s="31"/>
      <c r="N489" s="100"/>
      <c r="O489" s="15">
        <f t="shared" ref="O489:O491" si="188">$G489*M489</f>
        <v>0</v>
      </c>
      <c r="S489" s="138">
        <f t="shared" si="184"/>
        <v>0</v>
      </c>
      <c r="T489" s="139">
        <f t="shared" si="185"/>
        <v>0</v>
      </c>
    </row>
    <row r="490" spans="1:20">
      <c r="A490" s="377" t="s">
        <v>224</v>
      </c>
      <c r="B490" s="372"/>
      <c r="C490" s="4">
        <v>204228863</v>
      </c>
      <c r="E490" s="119"/>
      <c r="F490" s="102" t="s">
        <v>11</v>
      </c>
      <c r="G490" s="15">
        <v>7145764</v>
      </c>
      <c r="I490" s="31">
        <v>1.12E-2</v>
      </c>
      <c r="J490" s="100"/>
      <c r="K490" s="15">
        <f t="shared" si="187"/>
        <v>80032.556800000006</v>
      </c>
      <c r="M490" s="31"/>
      <c r="N490" s="100"/>
      <c r="O490" s="15">
        <f t="shared" si="188"/>
        <v>0</v>
      </c>
      <c r="S490" s="138">
        <f t="shared" si="184"/>
        <v>0</v>
      </c>
      <c r="T490" s="139">
        <f t="shared" si="185"/>
        <v>0</v>
      </c>
    </row>
    <row r="491" spans="1:20">
      <c r="A491" s="377" t="s">
        <v>225</v>
      </c>
      <c r="B491" s="372"/>
      <c r="C491" s="48">
        <v>394783609.25</v>
      </c>
      <c r="E491" s="394"/>
      <c r="F491" s="102" t="s">
        <v>11</v>
      </c>
      <c r="G491" s="37">
        <v>11537551</v>
      </c>
      <c r="I491" s="31">
        <v>1.12E-2</v>
      </c>
      <c r="J491" s="100"/>
      <c r="K491" s="37">
        <f t="shared" si="187"/>
        <v>129220.57120000001</v>
      </c>
      <c r="M491" s="31"/>
      <c r="N491" s="100"/>
      <c r="O491" s="37">
        <f t="shared" si="188"/>
        <v>0</v>
      </c>
      <c r="S491" s="138">
        <f t="shared" si="184"/>
        <v>0</v>
      </c>
      <c r="T491" s="139">
        <f t="shared" si="185"/>
        <v>0</v>
      </c>
    </row>
    <row r="492" spans="1:20" ht="16.5" thickBot="1">
      <c r="A492" s="377" t="s">
        <v>226</v>
      </c>
      <c r="B492" s="372"/>
      <c r="C492" s="29">
        <v>621809333.25</v>
      </c>
      <c r="E492" s="114"/>
      <c r="F492" s="115"/>
      <c r="G492" s="28">
        <v>30035480</v>
      </c>
      <c r="I492" s="31"/>
      <c r="J492" s="100"/>
      <c r="K492" s="28">
        <f>SUM(K473:K491)</f>
        <v>306193.87680000003</v>
      </c>
      <c r="M492" s="31"/>
      <c r="N492" s="100"/>
      <c r="O492" s="28">
        <f>SUM(O473:O491)</f>
        <v>0</v>
      </c>
    </row>
    <row r="493" spans="1:20" ht="16.5" thickTop="1">
      <c r="C493" s="4"/>
      <c r="E493" s="30"/>
      <c r="F493" s="115"/>
      <c r="G493" s="92"/>
    </row>
    <row r="494" spans="1:20">
      <c r="A494" s="376" t="s">
        <v>443</v>
      </c>
      <c r="B494" s="372"/>
      <c r="C494" s="4"/>
      <c r="G494" s="92"/>
      <c r="I494" s="126"/>
      <c r="K494" s="471"/>
      <c r="M494" s="126"/>
      <c r="O494" s="471"/>
    </row>
    <row r="495" spans="1:20">
      <c r="A495" s="377" t="s">
        <v>227</v>
      </c>
      <c r="B495" s="372"/>
      <c r="C495" s="4">
        <v>60</v>
      </c>
      <c r="E495" s="14">
        <v>2.1800000000000002</v>
      </c>
      <c r="F495" s="100"/>
      <c r="G495" s="15">
        <v>131</v>
      </c>
      <c r="I495" s="108"/>
      <c r="J495" s="109"/>
      <c r="K495" s="15"/>
      <c r="M495" s="108"/>
      <c r="N495" s="109"/>
      <c r="O495" s="15"/>
    </row>
    <row r="496" spans="1:20">
      <c r="A496" s="377" t="s">
        <v>228</v>
      </c>
      <c r="B496" s="372"/>
      <c r="C496" s="16">
        <v>207</v>
      </c>
      <c r="E496" s="131">
        <v>2.1858</v>
      </c>
      <c r="F496" s="102"/>
      <c r="G496" s="21">
        <v>452</v>
      </c>
      <c r="I496" s="108"/>
      <c r="J496" s="109"/>
      <c r="K496" s="15"/>
      <c r="M496" s="108"/>
      <c r="N496" s="109"/>
      <c r="O496" s="15"/>
    </row>
    <row r="497" spans="1:17">
      <c r="A497" s="377" t="s">
        <v>151</v>
      </c>
      <c r="B497" s="372"/>
      <c r="C497" s="48">
        <v>267</v>
      </c>
      <c r="E497" s="394"/>
      <c r="F497" s="102"/>
      <c r="G497" s="37">
        <v>583</v>
      </c>
      <c r="I497" s="108"/>
      <c r="J497" s="109"/>
      <c r="K497" s="15"/>
      <c r="M497" s="108"/>
      <c r="N497" s="109"/>
      <c r="O497" s="15"/>
    </row>
    <row r="498" spans="1:17">
      <c r="A498" s="377" t="s">
        <v>229</v>
      </c>
      <c r="B498" s="372"/>
      <c r="C498" s="47">
        <v>7736.6128294616919</v>
      </c>
      <c r="E498" s="167"/>
      <c r="G498" s="471"/>
      <c r="K498" s="15"/>
      <c r="O498" s="15"/>
    </row>
    <row r="499" spans="1:17">
      <c r="A499" s="377" t="s">
        <v>84</v>
      </c>
      <c r="B499" s="372"/>
      <c r="C499" s="47">
        <v>5</v>
      </c>
      <c r="E499" s="167"/>
      <c r="G499" s="471"/>
      <c r="I499" s="106"/>
      <c r="J499" s="115"/>
      <c r="K499" s="15"/>
      <c r="M499" s="106"/>
      <c r="N499" s="115"/>
      <c r="O499" s="15"/>
    </row>
    <row r="500" spans="1:17">
      <c r="A500" s="377" t="s">
        <v>83</v>
      </c>
      <c r="B500" s="372"/>
      <c r="C500" s="47">
        <v>0</v>
      </c>
      <c r="E500" s="167"/>
      <c r="G500" s="21"/>
      <c r="K500" s="24"/>
      <c r="O500" s="24"/>
    </row>
    <row r="501" spans="1:17" ht="16.5" thickBot="1">
      <c r="A501" s="377" t="s">
        <v>152</v>
      </c>
      <c r="B501" s="372"/>
      <c r="C501" s="43">
        <v>7736.6128294616919</v>
      </c>
      <c r="E501" s="46"/>
      <c r="F501" s="122"/>
      <c r="G501" s="470">
        <v>583</v>
      </c>
      <c r="I501" s="31"/>
      <c r="J501" s="100"/>
      <c r="K501" s="28">
        <f>SUM(K495:K500)</f>
        <v>0</v>
      </c>
      <c r="M501" s="31"/>
      <c r="N501" s="100"/>
      <c r="O501" s="28">
        <f>SUM(O495:O500)</f>
        <v>0</v>
      </c>
    </row>
    <row r="502" spans="1:17" ht="16.5" thickTop="1">
      <c r="A502" s="200"/>
      <c r="B502" s="167"/>
      <c r="C502" s="16"/>
      <c r="E502" s="115"/>
      <c r="F502" s="115"/>
      <c r="G502" s="21"/>
      <c r="I502" s="31"/>
      <c r="J502" s="100"/>
      <c r="K502" s="21"/>
      <c r="M502" s="31"/>
      <c r="N502" s="100"/>
      <c r="O502" s="21"/>
    </row>
    <row r="503" spans="1:17">
      <c r="A503" s="395" t="s">
        <v>230</v>
      </c>
      <c r="B503" s="373"/>
      <c r="E503" s="30"/>
      <c r="F503" s="115"/>
      <c r="G503" s="92"/>
      <c r="I503" s="106"/>
      <c r="J503" s="131"/>
      <c r="M503" s="106"/>
      <c r="N503" s="131"/>
    </row>
    <row r="504" spans="1:17">
      <c r="A504" s="383" t="s">
        <v>231</v>
      </c>
      <c r="B504" s="373"/>
      <c r="C504" s="53"/>
      <c r="E504" s="30"/>
      <c r="F504" s="115"/>
      <c r="G504" s="15">
        <v>33040.269999999997</v>
      </c>
      <c r="I504" s="31"/>
      <c r="J504" s="100"/>
      <c r="K504" s="15"/>
      <c r="M504" s="31"/>
      <c r="N504" s="100"/>
      <c r="O504" s="15"/>
    </row>
    <row r="505" spans="1:17">
      <c r="A505" s="383" t="s">
        <v>232</v>
      </c>
      <c r="B505" s="373"/>
      <c r="C505" s="53"/>
      <c r="E505" s="30"/>
      <c r="F505" s="115"/>
      <c r="G505" s="15">
        <v>2726577.8500000006</v>
      </c>
      <c r="K505" s="15"/>
      <c r="O505" s="15"/>
    </row>
    <row r="506" spans="1:17">
      <c r="A506" s="383" t="s">
        <v>233</v>
      </c>
      <c r="B506" s="373"/>
      <c r="C506" s="53"/>
      <c r="E506" s="30"/>
      <c r="F506" s="115"/>
      <c r="G506" s="15">
        <v>-5447.4699999999866</v>
      </c>
      <c r="I506" s="31"/>
      <c r="J506" s="100"/>
      <c r="K506" s="15"/>
      <c r="M506" s="31"/>
      <c r="N506" s="100"/>
      <c r="O506" s="15"/>
    </row>
    <row r="507" spans="1:17">
      <c r="A507" s="383" t="s">
        <v>234</v>
      </c>
      <c r="B507" s="373"/>
      <c r="C507" s="53"/>
      <c r="E507" s="30"/>
      <c r="F507" s="115"/>
      <c r="G507" s="15">
        <v>206563.33000000002</v>
      </c>
      <c r="I507" s="31"/>
      <c r="J507" s="100"/>
      <c r="K507" s="15"/>
      <c r="M507" s="31"/>
      <c r="N507" s="100"/>
      <c r="O507" s="15"/>
    </row>
    <row r="508" spans="1:17">
      <c r="A508" s="383" t="s">
        <v>235</v>
      </c>
      <c r="B508" s="373"/>
      <c r="C508" s="53"/>
      <c r="E508" s="30"/>
      <c r="F508" s="115"/>
      <c r="G508" s="15">
        <v>4661.6400000000003</v>
      </c>
      <c r="I508" s="106"/>
      <c r="J508" s="20"/>
      <c r="K508" s="15"/>
      <c r="M508" s="106"/>
      <c r="N508" s="20"/>
      <c r="O508" s="15"/>
    </row>
    <row r="509" spans="1:17">
      <c r="A509" s="383" t="s">
        <v>236</v>
      </c>
      <c r="B509" s="373"/>
      <c r="C509" s="53"/>
      <c r="E509" s="30"/>
      <c r="F509" s="115"/>
      <c r="G509" s="15">
        <v>0</v>
      </c>
      <c r="I509" s="31"/>
      <c r="J509" s="130"/>
      <c r="K509" s="15"/>
      <c r="M509" s="31"/>
      <c r="N509" s="130"/>
      <c r="O509" s="15"/>
    </row>
    <row r="510" spans="1:17" ht="16.5" thickBot="1">
      <c r="A510" s="383" t="s">
        <v>237</v>
      </c>
      <c r="B510" s="373"/>
      <c r="C510" s="54"/>
      <c r="E510" s="136"/>
      <c r="F510" s="115"/>
      <c r="G510" s="26">
        <v>2965395.6200000006</v>
      </c>
      <c r="I510" s="106"/>
      <c r="J510" s="131"/>
      <c r="K510" s="26">
        <f>SUM(K504:K509)</f>
        <v>0</v>
      </c>
      <c r="M510" s="106"/>
      <c r="N510" s="131"/>
      <c r="O510" s="26">
        <f>SUM(O504:O509)</f>
        <v>0</v>
      </c>
    </row>
    <row r="511" spans="1:17" ht="16.5" thickTop="1">
      <c r="A511" s="396"/>
      <c r="B511" s="373"/>
      <c r="E511" s="30"/>
      <c r="F511" s="115"/>
      <c r="G511" s="15"/>
      <c r="I511" s="31"/>
      <c r="J511" s="100"/>
      <c r="K511" s="15"/>
      <c r="M511" s="31"/>
      <c r="N511" s="100"/>
      <c r="O511" s="15"/>
    </row>
    <row r="512" spans="1:17" ht="16.5" thickBot="1">
      <c r="A512" s="397" t="s">
        <v>238</v>
      </c>
      <c r="B512" s="398"/>
      <c r="C512" s="54">
        <v>23244284921.518604</v>
      </c>
      <c r="E512" s="173"/>
      <c r="G512" s="26">
        <f>G29+G49+G71+G86+G101+G113+G153+G165+G176+G184+G200+G216+G268+G351+G360+G366+G383+G396+G457+G465+G470+G492+G501+G510</f>
        <v>1938306488.6199999</v>
      </c>
      <c r="I512" s="106"/>
      <c r="J512" s="115"/>
      <c r="K512" s="26">
        <f>K29+K49+K71+K86+K101+K113+K153+K165+K176+K184+K200+K216+K268+K351+K360+K366+K383+K396+K457+K465+K470+K492+K501+K510</f>
        <v>14224023.504729487</v>
      </c>
      <c r="M512" s="106"/>
      <c r="N512" s="115"/>
      <c r="O512" s="26">
        <f>O29+O49+O71+O86+O101+O113+O153+O165+O176+O184+O200+O216+O268+O351+O360+O366+O383+O396+O457+O465+O470+O492+O501+O510</f>
        <v>-6523407.2192366887</v>
      </c>
      <c r="Q512" s="347">
        <f>O512/K512-1</f>
        <v>-1.4586189847807589</v>
      </c>
    </row>
    <row r="513" spans="1:15" ht="16.5" thickTop="1">
      <c r="A513" s="159"/>
      <c r="B513" s="159"/>
      <c r="C513" s="159"/>
      <c r="D513" s="159"/>
      <c r="E513" s="159"/>
      <c r="F513" s="159"/>
      <c r="G513" s="159"/>
      <c r="H513" s="159"/>
      <c r="I513" s="126"/>
      <c r="K513" s="167"/>
      <c r="M513" s="126"/>
    </row>
    <row r="514" spans="1:15">
      <c r="A514" s="159"/>
      <c r="B514" s="159"/>
      <c r="C514" s="159"/>
      <c r="D514" s="159"/>
      <c r="E514" s="159"/>
      <c r="F514" s="159"/>
      <c r="G514" s="159"/>
      <c r="H514" s="159"/>
      <c r="O514" s="346"/>
    </row>
  </sheetData>
  <printOptions horizontalCentered="1"/>
  <pageMargins left="1" right="0.5" top="1" bottom="0.5" header="0.25" footer="0.25"/>
  <pageSetup scale="64" fitToHeight="88" orientation="portrait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9"/>
  <sheetViews>
    <sheetView workbookViewId="0">
      <selection activeCell="S32" sqref="S32"/>
    </sheetView>
  </sheetViews>
  <sheetFormatPr defaultColWidth="8" defaultRowHeight="12.75"/>
  <cols>
    <col min="1" max="1" width="7" style="229" customWidth="1"/>
    <col min="2" max="2" width="1.75" style="219" customWidth="1"/>
    <col min="3" max="3" width="7.875" style="230" bestFit="1" customWidth="1"/>
    <col min="4" max="4" width="1.5" style="219" customWidth="1"/>
    <col min="5" max="5" width="9" style="230" bestFit="1" customWidth="1"/>
    <col min="6" max="6" width="1.375" style="219" customWidth="1"/>
    <col min="7" max="7" width="8" style="237" bestFit="1" customWidth="1"/>
    <col min="8" max="8" width="1.375" style="219" customWidth="1"/>
    <col min="9" max="9" width="6.25" style="219" bestFit="1" customWidth="1"/>
    <col min="10" max="10" width="2.125" style="219" customWidth="1"/>
    <col min="11" max="11" width="7.875" style="230" bestFit="1" customWidth="1"/>
    <col min="12" max="12" width="0.875" style="219" customWidth="1"/>
    <col min="13" max="13" width="9" style="230" bestFit="1" customWidth="1"/>
    <col min="14" max="14" width="1.875" style="219" customWidth="1"/>
    <col min="15" max="15" width="7.375" style="237" bestFit="1" customWidth="1"/>
    <col min="16" max="16" width="0.75" style="219" customWidth="1"/>
    <col min="17" max="17" width="6.25" style="219" bestFit="1" customWidth="1"/>
    <col min="18" max="18" width="3.125" style="219" customWidth="1"/>
    <col min="19" max="19" width="10" style="219" bestFit="1" customWidth="1"/>
    <col min="20" max="20" width="7.625" style="219" bestFit="1" customWidth="1"/>
    <col min="21" max="21" width="9.75" style="219" customWidth="1"/>
    <col min="22" max="22" width="7" style="219" bestFit="1" customWidth="1"/>
    <col min="23" max="23" width="6.875" style="219" bestFit="1" customWidth="1"/>
    <col min="24" max="24" width="8.375" style="219" bestFit="1" customWidth="1"/>
    <col min="25" max="25" width="6.75" style="219" bestFit="1" customWidth="1"/>
    <col min="26" max="26" width="8.25" style="219" bestFit="1" customWidth="1"/>
    <col min="27" max="29" width="8.125" style="219" bestFit="1" customWidth="1"/>
    <col min="30" max="16384" width="8" style="219"/>
  </cols>
  <sheetData>
    <row r="1" spans="1:26" ht="16.5">
      <c r="A1" s="211" t="s">
        <v>239</v>
      </c>
      <c r="B1" s="212"/>
      <c r="C1" s="213"/>
      <c r="D1" s="212"/>
      <c r="E1" s="213"/>
      <c r="F1" s="212"/>
      <c r="G1" s="214"/>
      <c r="H1" s="212"/>
      <c r="I1" s="212"/>
      <c r="J1" s="212"/>
      <c r="K1" s="213"/>
      <c r="L1" s="212"/>
      <c r="M1" s="213"/>
      <c r="N1" s="212"/>
      <c r="O1" s="214"/>
      <c r="P1" s="212"/>
      <c r="Q1" s="215"/>
      <c r="R1" s="216"/>
      <c r="S1" s="216"/>
      <c r="T1" s="217"/>
      <c r="U1" s="218"/>
    </row>
    <row r="2" spans="1:26" ht="16.5">
      <c r="A2" s="211" t="s">
        <v>371</v>
      </c>
      <c r="B2" s="212"/>
      <c r="C2" s="213"/>
      <c r="D2" s="212"/>
      <c r="E2" s="213"/>
      <c r="F2" s="212"/>
      <c r="G2" s="214"/>
      <c r="H2" s="212"/>
      <c r="I2" s="212"/>
      <c r="J2" s="212"/>
      <c r="K2" s="213"/>
      <c r="L2" s="212"/>
      <c r="M2" s="213"/>
      <c r="N2" s="212"/>
      <c r="O2" s="214"/>
      <c r="P2" s="212"/>
      <c r="Q2" s="215"/>
      <c r="R2" s="216"/>
      <c r="S2" s="216"/>
      <c r="T2" s="217"/>
      <c r="U2" s="220"/>
    </row>
    <row r="3" spans="1:26" ht="16.5">
      <c r="A3" s="211" t="s">
        <v>372</v>
      </c>
      <c r="B3" s="212"/>
      <c r="C3" s="213"/>
      <c r="D3" s="212"/>
      <c r="E3" s="213"/>
      <c r="F3" s="212"/>
      <c r="G3" s="214"/>
      <c r="H3" s="212"/>
      <c r="I3" s="212"/>
      <c r="J3" s="212"/>
      <c r="K3" s="213"/>
      <c r="L3" s="212"/>
      <c r="M3" s="213"/>
      <c r="N3" s="212"/>
      <c r="O3" s="214"/>
      <c r="P3" s="212"/>
      <c r="Q3" s="215"/>
      <c r="R3" s="216"/>
      <c r="S3" s="216"/>
      <c r="T3" s="217"/>
      <c r="U3" s="218"/>
    </row>
    <row r="4" spans="1:26" ht="16.5">
      <c r="A4" s="211" t="s">
        <v>373</v>
      </c>
      <c r="B4" s="212"/>
      <c r="C4" s="213"/>
      <c r="D4" s="212"/>
      <c r="E4" s="213"/>
      <c r="F4" s="212"/>
      <c r="G4" s="214"/>
      <c r="H4" s="212"/>
      <c r="I4" s="212"/>
      <c r="J4" s="212"/>
      <c r="K4" s="213"/>
      <c r="L4" s="212"/>
      <c r="M4" s="213"/>
      <c r="N4" s="212"/>
      <c r="O4" s="214"/>
      <c r="P4" s="212"/>
      <c r="Q4" s="215"/>
      <c r="R4" s="216"/>
      <c r="S4" s="216"/>
      <c r="T4" s="221"/>
      <c r="U4" s="222"/>
    </row>
    <row r="5" spans="1:26" ht="17.25">
      <c r="A5" s="223"/>
      <c r="B5" s="215"/>
      <c r="C5" s="224"/>
      <c r="D5" s="225"/>
      <c r="E5" s="226"/>
      <c r="F5" s="225"/>
      <c r="G5" s="225"/>
      <c r="H5" s="227"/>
      <c r="I5" s="227"/>
      <c r="K5" s="228"/>
      <c r="L5" s="227"/>
      <c r="M5" s="228"/>
      <c r="N5" s="227"/>
      <c r="O5" s="227"/>
      <c r="P5" s="227"/>
      <c r="Q5" s="227"/>
    </row>
    <row r="6" spans="1:26">
      <c r="G6" s="574"/>
      <c r="H6" s="574"/>
      <c r="I6" s="574"/>
      <c r="K6" s="231"/>
      <c r="L6" s="215"/>
      <c r="M6" s="231"/>
      <c r="O6" s="574"/>
      <c r="P6" s="574"/>
      <c r="Q6" s="574"/>
    </row>
    <row r="7" spans="1:26">
      <c r="C7" s="232" t="s">
        <v>374</v>
      </c>
      <c r="D7" s="233"/>
      <c r="E7" s="234"/>
      <c r="F7" s="235"/>
      <c r="G7" s="236"/>
      <c r="H7" s="235"/>
      <c r="I7" s="235"/>
      <c r="K7" s="232" t="s">
        <v>375</v>
      </c>
      <c r="L7" s="233"/>
      <c r="M7" s="234"/>
      <c r="N7" s="235"/>
      <c r="O7" s="236"/>
      <c r="P7" s="235"/>
      <c r="Q7" s="235"/>
      <c r="W7" s="212"/>
      <c r="X7" s="212"/>
      <c r="Y7" s="212"/>
      <c r="Z7" s="212"/>
    </row>
    <row r="8" spans="1:26" ht="15.75">
      <c r="C8" s="234" t="s">
        <v>376</v>
      </c>
      <c r="D8" s="235"/>
      <c r="E8" s="234"/>
      <c r="G8" s="234" t="s">
        <v>243</v>
      </c>
      <c r="H8" s="235"/>
      <c r="I8" s="234"/>
      <c r="K8" s="234" t="s">
        <v>376</v>
      </c>
      <c r="L8" s="235"/>
      <c r="M8" s="234"/>
      <c r="O8" s="234" t="s">
        <v>243</v>
      </c>
      <c r="P8" s="235"/>
      <c r="Q8" s="234"/>
      <c r="T8" s="237"/>
      <c r="U8" s="237"/>
      <c r="W8" s="212"/>
      <c r="X8" s="212"/>
      <c r="Y8" s="212"/>
      <c r="Z8" s="212"/>
    </row>
    <row r="9" spans="1:26">
      <c r="A9" s="238" t="s">
        <v>377</v>
      </c>
      <c r="C9" s="239" t="s">
        <v>378</v>
      </c>
      <c r="E9" s="240" t="s">
        <v>379</v>
      </c>
      <c r="G9" s="241" t="s">
        <v>380</v>
      </c>
      <c r="I9" s="242" t="s">
        <v>287</v>
      </c>
      <c r="K9" s="239" t="s">
        <v>378</v>
      </c>
      <c r="M9" s="240" t="s">
        <v>379</v>
      </c>
      <c r="O9" s="241" t="s">
        <v>380</v>
      </c>
      <c r="Q9" s="242" t="s">
        <v>287</v>
      </c>
      <c r="W9" s="243"/>
      <c r="X9" s="243"/>
      <c r="Y9" s="243"/>
      <c r="Z9" s="243"/>
    </row>
    <row r="10" spans="1:26">
      <c r="A10" s="229">
        <v>100</v>
      </c>
      <c r="C10" s="230">
        <f>ROUND($T$12+((MIN(400,$A10)*$T$13+MAX(0,MIN(600,$A10-400))*$T$14+MAX(0,$A10-1000)*$T$15)/100+MAX(0,$T$16-($T$12+(MIN(400,$A10)*$T$13+MAX(0,MIN(600,$A10-400))*$T$14+MAX(0,$A10-1000)*$T$15)/100)))*(1+$T$31)*(1+$T$18)+$T$17,2)</f>
        <v>15.56</v>
      </c>
      <c r="E10" s="230">
        <f>ROUND($U$12+((MIN(400,$A10)*$U$13+MAX(0,MIN(600,$A10-400))*$U$14+MAX(0,$A10-1000)*$U$15)/100+MAX(0,$U$16-($U$12+(MIN(400,$A10)*$U$13+MAX(0,MIN(600,$A10-400))*$U$14+MAX(0,$A10-1000)*$U$15)/100)))*(1+$U$31)*(1+$U$18)+$U$17,2)</f>
        <v>15.53</v>
      </c>
      <c r="F10" s="230"/>
      <c r="G10" s="244">
        <f t="shared" ref="G10:G16" si="0">E10-C10</f>
        <v>-3.0000000000001137E-2</v>
      </c>
      <c r="I10" s="245">
        <f t="shared" ref="I10:I16" si="1">ROUND(IF(C10=0,0,E10/C10-1),3)</f>
        <v>-2E-3</v>
      </c>
      <c r="K10" s="230">
        <f>ROUND($T$20+((MIN(400,$A10)*$T$21+MAX(0,MIN(600,$A10-400))*$T$22+MAX(0,$A10-1000)*$T$23)/100+MAX(0,$T$24-($T$20+(MIN(400,$A10)*$T$21+MAX(0,MIN(600,$A10-400))*$T$22+MAX(0,$A10-1000)*$T$23)/100)))*(1+$T$31)*(1+$T$26)+$T$25,2)</f>
        <v>15.56</v>
      </c>
      <c r="M10" s="230">
        <f>ROUND($U$20+((MIN(400,$A10)*$U$21+MAX(0,MIN(600,$A10-400))*$U$22+MAX(0,$A10-1000)*$U$23)/100+MAX(0,$U$24-($U$20+(MIN(400,$A10)*$U$21+MAX(0,MIN(600,$A10-400))*$U$22+MAX(0,$A10-1000)*$U$23)/100)))*(1+$U$31)*(1+$U$26)+$U$25,2)</f>
        <v>15.53</v>
      </c>
      <c r="N10" s="230"/>
      <c r="O10" s="244">
        <f t="shared" ref="O10:O31" si="2">M10-K10</f>
        <v>-3.0000000000001137E-2</v>
      </c>
      <c r="Q10" s="245">
        <f t="shared" ref="Q10:Q31" si="3">ROUND(IF(K10=0,0,M10/K10-1),3)</f>
        <v>-2E-3</v>
      </c>
      <c r="S10" s="246" t="s">
        <v>336</v>
      </c>
      <c r="T10" s="247" t="s">
        <v>378</v>
      </c>
      <c r="U10" s="248" t="s">
        <v>379</v>
      </c>
      <c r="W10" s="249"/>
      <c r="X10" s="249"/>
      <c r="Y10" s="249"/>
      <c r="Z10" s="249"/>
    </row>
    <row r="11" spans="1:26" ht="13.5">
      <c r="A11" s="229">
        <v>200</v>
      </c>
      <c r="C11" s="230">
        <f t="shared" ref="C11:C16" si="4">ROUND($T$12+((MIN(400,$A11)*$T$13+MAX(0,MIN(600,$A11-400))*$T$14+MAX(0,$A11-1000)*$T$15)/100+MAX(0,$T$16-($T$12+(MIN(400,$A11)*$T$13+MAX(0,MIN(600,$A11-400))*$T$14+MAX(0,$A11-1000)*$T$15)/100)))*(1+$T$31)*(1+$T$18)+$T$17,2)</f>
        <v>24.91</v>
      </c>
      <c r="E11" s="230">
        <f t="shared" ref="E11:E16" si="5">ROUND($U$12+((MIN(400,$A11)*$U$13+MAX(0,MIN(600,$A11-400))*$U$14+MAX(0,$A11-1000)*$U$15)/100+MAX(0,$U$16-($U$12+(MIN(400,$A11)*$U$13+MAX(0,MIN(600,$A11-400))*$U$14+MAX(0,$A11-1000)*$U$15)/100)))*(1+$U$31)*(1+$U$18)+$U$17,2)</f>
        <v>24.85</v>
      </c>
      <c r="F11" s="230"/>
      <c r="G11" s="244">
        <f t="shared" si="0"/>
        <v>-5.9999999999998721E-2</v>
      </c>
      <c r="I11" s="245">
        <f t="shared" si="1"/>
        <v>-2E-3</v>
      </c>
      <c r="K11" s="230">
        <f t="shared" ref="K11:K18" si="6">ROUND($T$20+((MIN(400,$A11)*$T$21+MAX(0,MIN(600,$A11-400))*$T$22+MAX(0,$A11-1000)*$T$23)/100+MAX(0,$T$24-($T$20+(MIN(400,$A11)*$T$21+MAX(0,MIN(600,$A11-400))*$T$22+MAX(0,$A11-1000)*$T$23)/100)))*(1+$T$31)*(1+$T$26)+$T$25,2)</f>
        <v>24.91</v>
      </c>
      <c r="M11" s="230">
        <f t="shared" ref="M11:M18" si="7">ROUND($U$20+((MIN(400,$A11)*$U$21+MAX(0,MIN(600,$A11-400))*$U$22+MAX(0,$A11-1000)*$U$23)/100+MAX(0,$U$24-($U$20+(MIN(400,$A11)*$U$21+MAX(0,MIN(600,$A11-400))*$U$22+MAX(0,$A11-1000)*$U$23)/100)))*(1+$U$31)*(1+$U$26)+$U$25,2)</f>
        <v>24.85</v>
      </c>
      <c r="N11" s="230"/>
      <c r="O11" s="244">
        <f t="shared" si="2"/>
        <v>-5.9999999999998721E-2</v>
      </c>
      <c r="Q11" s="245">
        <f t="shared" si="3"/>
        <v>-2E-3</v>
      </c>
      <c r="S11" s="250" t="s">
        <v>374</v>
      </c>
      <c r="T11" s="216"/>
      <c r="U11" s="251"/>
      <c r="W11" s="249"/>
      <c r="X11" s="249"/>
      <c r="Y11" s="249"/>
      <c r="Z11" s="249"/>
    </row>
    <row r="12" spans="1:26">
      <c r="A12" s="229">
        <v>300</v>
      </c>
      <c r="C12" s="230">
        <f t="shared" si="4"/>
        <v>34.270000000000003</v>
      </c>
      <c r="E12" s="230">
        <f t="shared" si="5"/>
        <v>34.18</v>
      </c>
      <c r="F12" s="230"/>
      <c r="G12" s="244">
        <f t="shared" si="0"/>
        <v>-9.0000000000003411E-2</v>
      </c>
      <c r="I12" s="245">
        <f t="shared" si="1"/>
        <v>-3.0000000000000001E-3</v>
      </c>
      <c r="K12" s="230">
        <f t="shared" si="6"/>
        <v>34.270000000000003</v>
      </c>
      <c r="M12" s="230">
        <f t="shared" si="7"/>
        <v>34.18</v>
      </c>
      <c r="N12" s="230"/>
      <c r="O12" s="244">
        <f t="shared" si="2"/>
        <v>-9.0000000000003411E-2</v>
      </c>
      <c r="Q12" s="245">
        <f t="shared" si="3"/>
        <v>-3.0000000000000001E-3</v>
      </c>
      <c r="S12" s="252" t="s">
        <v>381</v>
      </c>
      <c r="T12" s="253">
        <v>6</v>
      </c>
      <c r="U12" s="254">
        <v>6</v>
      </c>
      <c r="V12" s="255">
        <f>U12/T12-1</f>
        <v>0</v>
      </c>
      <c r="W12" s="249"/>
      <c r="X12" s="249"/>
      <c r="Y12" s="249"/>
      <c r="Z12" s="249"/>
    </row>
    <row r="13" spans="1:26">
      <c r="A13" s="229">
        <v>400</v>
      </c>
      <c r="C13" s="230">
        <f t="shared" si="4"/>
        <v>43.62</v>
      </c>
      <c r="E13" s="230">
        <f t="shared" si="5"/>
        <v>43.51</v>
      </c>
      <c r="F13" s="230"/>
      <c r="G13" s="244">
        <f t="shared" si="0"/>
        <v>-0.10999999999999943</v>
      </c>
      <c r="I13" s="245">
        <f t="shared" si="1"/>
        <v>-3.0000000000000001E-3</v>
      </c>
      <c r="K13" s="230">
        <f t="shared" si="6"/>
        <v>43.62</v>
      </c>
      <c r="M13" s="230">
        <f t="shared" si="7"/>
        <v>43.51</v>
      </c>
      <c r="N13" s="230"/>
      <c r="O13" s="244">
        <f t="shared" si="2"/>
        <v>-0.10999999999999943</v>
      </c>
      <c r="Q13" s="245">
        <f t="shared" si="3"/>
        <v>-3.0000000000000001E-3</v>
      </c>
      <c r="S13" s="252" t="s">
        <v>382</v>
      </c>
      <c r="T13" s="256">
        <v>8.8498000000000001</v>
      </c>
      <c r="U13" s="257">
        <v>8.8498000000000001</v>
      </c>
      <c r="V13" s="255">
        <f t="shared" ref="V13:V26" si="8">U13/T13-1</f>
        <v>0</v>
      </c>
      <c r="W13" s="249"/>
      <c r="X13" s="249"/>
      <c r="Y13" s="249"/>
      <c r="Z13" s="249"/>
    </row>
    <row r="14" spans="1:26">
      <c r="A14" s="229">
        <v>500</v>
      </c>
      <c r="C14" s="230">
        <f t="shared" si="4"/>
        <v>55.82</v>
      </c>
      <c r="E14" s="230">
        <f t="shared" si="5"/>
        <v>55.68</v>
      </c>
      <c r="F14" s="230"/>
      <c r="G14" s="244">
        <f t="shared" si="0"/>
        <v>-0.14000000000000057</v>
      </c>
      <c r="I14" s="245">
        <f t="shared" si="1"/>
        <v>-3.0000000000000001E-3</v>
      </c>
      <c r="K14" s="230">
        <f t="shared" si="6"/>
        <v>54.94</v>
      </c>
      <c r="M14" s="230">
        <f t="shared" si="7"/>
        <v>54.79</v>
      </c>
      <c r="N14" s="230"/>
      <c r="O14" s="244">
        <f t="shared" si="2"/>
        <v>-0.14999999999999858</v>
      </c>
      <c r="Q14" s="245">
        <f t="shared" si="3"/>
        <v>-3.0000000000000001E-3</v>
      </c>
      <c r="S14" s="252" t="s">
        <v>383</v>
      </c>
      <c r="T14" s="256">
        <v>11.542899999999999</v>
      </c>
      <c r="U14" s="257">
        <v>11.542899999999999</v>
      </c>
      <c r="V14" s="255">
        <f t="shared" si="8"/>
        <v>0</v>
      </c>
      <c r="W14" s="249"/>
      <c r="X14" s="249"/>
      <c r="Y14" s="249"/>
      <c r="Z14" s="249"/>
    </row>
    <row r="15" spans="1:26">
      <c r="A15" s="229">
        <v>600</v>
      </c>
      <c r="C15" s="230">
        <f t="shared" si="4"/>
        <v>68.02</v>
      </c>
      <c r="E15" s="230">
        <f t="shared" si="5"/>
        <v>67.84</v>
      </c>
      <c r="F15" s="230"/>
      <c r="G15" s="244">
        <f t="shared" si="0"/>
        <v>-0.17999999999999261</v>
      </c>
      <c r="I15" s="245">
        <f t="shared" si="1"/>
        <v>-3.0000000000000001E-3</v>
      </c>
      <c r="K15" s="230">
        <f t="shared" si="6"/>
        <v>66.260000000000005</v>
      </c>
      <c r="M15" s="230">
        <f t="shared" si="7"/>
        <v>66.08</v>
      </c>
      <c r="N15" s="230"/>
      <c r="O15" s="244">
        <f t="shared" si="2"/>
        <v>-0.18000000000000682</v>
      </c>
      <c r="Q15" s="245">
        <f t="shared" si="3"/>
        <v>-3.0000000000000001E-3</v>
      </c>
      <c r="S15" s="252" t="s">
        <v>384</v>
      </c>
      <c r="T15" s="256">
        <v>14.450799999999999</v>
      </c>
      <c r="U15" s="257">
        <v>14.450799999999999</v>
      </c>
      <c r="V15" s="255">
        <f t="shared" si="8"/>
        <v>0</v>
      </c>
      <c r="W15" s="249"/>
      <c r="X15" s="249"/>
      <c r="Y15" s="249"/>
      <c r="Z15" s="249"/>
    </row>
    <row r="16" spans="1:26">
      <c r="A16" s="229">
        <v>700</v>
      </c>
      <c r="C16" s="230">
        <f t="shared" si="4"/>
        <v>80.23</v>
      </c>
      <c r="E16" s="230">
        <f t="shared" si="5"/>
        <v>80.010000000000005</v>
      </c>
      <c r="F16" s="230"/>
      <c r="G16" s="244">
        <f t="shared" si="0"/>
        <v>-0.21999999999999886</v>
      </c>
      <c r="I16" s="245">
        <f t="shared" si="1"/>
        <v>-3.0000000000000001E-3</v>
      </c>
      <c r="K16" s="230">
        <f t="shared" si="6"/>
        <v>77.58</v>
      </c>
      <c r="M16" s="230">
        <f t="shared" si="7"/>
        <v>77.36</v>
      </c>
      <c r="N16" s="230"/>
      <c r="O16" s="244">
        <f t="shared" si="2"/>
        <v>-0.21999999999999886</v>
      </c>
      <c r="Q16" s="245">
        <f t="shared" si="3"/>
        <v>-3.0000000000000001E-3</v>
      </c>
      <c r="S16" s="252" t="s">
        <v>385</v>
      </c>
      <c r="T16" s="253">
        <v>8</v>
      </c>
      <c r="U16" s="254">
        <v>8</v>
      </c>
      <c r="V16" s="255">
        <f t="shared" si="8"/>
        <v>0</v>
      </c>
      <c r="W16" s="249"/>
      <c r="X16" s="249"/>
      <c r="Y16" s="249"/>
      <c r="Z16" s="249"/>
    </row>
    <row r="17" spans="1:26">
      <c r="A17" s="229">
        <v>663.32999948009433</v>
      </c>
      <c r="B17" s="219" t="s">
        <v>386</v>
      </c>
      <c r="F17" s="230"/>
      <c r="G17" s="244"/>
      <c r="I17" s="245"/>
      <c r="K17" s="230">
        <f t="shared" si="6"/>
        <v>73.430000000000007</v>
      </c>
      <c r="M17" s="230">
        <f t="shared" si="7"/>
        <v>73.23</v>
      </c>
      <c r="N17" s="230"/>
      <c r="O17" s="244">
        <f t="shared" si="2"/>
        <v>-0.20000000000000284</v>
      </c>
      <c r="Q17" s="245">
        <f t="shared" si="3"/>
        <v>-3.0000000000000001E-3</v>
      </c>
      <c r="S17" s="252" t="s">
        <v>387</v>
      </c>
      <c r="T17" s="253">
        <v>0.2</v>
      </c>
      <c r="U17" s="254">
        <v>0.2</v>
      </c>
      <c r="V17" s="255">
        <f t="shared" si="8"/>
        <v>0</v>
      </c>
      <c r="W17" s="249"/>
      <c r="X17" s="249"/>
      <c r="Y17" s="249"/>
      <c r="Z17" s="249"/>
    </row>
    <row r="18" spans="1:26">
      <c r="A18" s="229">
        <v>698.09515617157388</v>
      </c>
      <c r="B18" s="219" t="s">
        <v>388</v>
      </c>
      <c r="C18" s="230">
        <f t="shared" ref="C18:C31" si="9">ROUND($T$12+((MIN(400,$A18)*$T$13+MAX(0,MIN(600,$A18-400))*$T$14+MAX(0,$A18-1000)*$T$15)/100+MAX(0,$T$16-($T$12+(MIN(400,$A18)*$T$13+MAX(0,MIN(600,$A18-400))*$T$14+MAX(0,$A18-1000)*$T$15)/100)))*(1+$T$31)*(1+$T$18)+$T$17,2)</f>
        <v>79.989999999999995</v>
      </c>
      <c r="E18" s="230">
        <f t="shared" ref="E18:E31" si="10">ROUND($U$12+((MIN(400,$A18)*$U$13+MAX(0,MIN(600,$A18-400))*$U$14+MAX(0,$A18-1000)*$U$15)/100+MAX(0,$U$16-($U$12+(MIN(400,$A18)*$U$13+MAX(0,MIN(600,$A18-400))*$U$14+MAX(0,$A18-1000)*$U$15)/100)))*(1+$U$31)*(1+$U$18)+$U$17,2)</f>
        <v>79.78</v>
      </c>
      <c r="F18" s="230"/>
      <c r="G18" s="244">
        <f t="shared" ref="G18:G31" si="11">E18-C18</f>
        <v>-0.20999999999999375</v>
      </c>
      <c r="I18" s="245">
        <f t="shared" ref="I18:I31" si="12">ROUND(IF(C18=0,0,E18/C18-1),3)</f>
        <v>-3.0000000000000001E-3</v>
      </c>
      <c r="K18" s="230">
        <f t="shared" si="6"/>
        <v>77.36</v>
      </c>
      <c r="M18" s="230">
        <f t="shared" si="7"/>
        <v>77.150000000000006</v>
      </c>
      <c r="N18" s="230"/>
      <c r="O18" s="244">
        <f t="shared" si="2"/>
        <v>-0.20999999999999375</v>
      </c>
      <c r="Q18" s="245">
        <f t="shared" si="3"/>
        <v>-3.0000000000000001E-3</v>
      </c>
      <c r="S18" s="252" t="s">
        <v>502</v>
      </c>
      <c r="T18" s="258">
        <f>0.0399+0.0057</f>
        <v>4.5600000000000002E-2</v>
      </c>
      <c r="U18" s="258">
        <f>0.0399+0.0057</f>
        <v>4.5600000000000002E-2</v>
      </c>
      <c r="V18" s="255">
        <f t="shared" si="8"/>
        <v>0</v>
      </c>
      <c r="W18" s="249"/>
      <c r="X18" s="249"/>
      <c r="Y18" s="249"/>
      <c r="Z18" s="249"/>
    </row>
    <row r="19" spans="1:26" ht="13.5">
      <c r="A19" s="229">
        <v>746.76637542484116</v>
      </c>
      <c r="B19" s="219" t="s">
        <v>389</v>
      </c>
      <c r="C19" s="230">
        <f t="shared" si="9"/>
        <v>85.93</v>
      </c>
      <c r="E19" s="230">
        <f t="shared" si="10"/>
        <v>85.7</v>
      </c>
      <c r="F19" s="230"/>
      <c r="G19" s="244">
        <f t="shared" si="11"/>
        <v>-0.23000000000000398</v>
      </c>
      <c r="I19" s="245">
        <f t="shared" si="12"/>
        <v>-3.0000000000000001E-3</v>
      </c>
      <c r="N19" s="230"/>
      <c r="O19" s="244"/>
      <c r="Q19" s="245"/>
      <c r="S19" s="250" t="s">
        <v>375</v>
      </c>
      <c r="T19" s="216"/>
      <c r="U19" s="251"/>
      <c r="V19" s="255"/>
      <c r="W19" s="249"/>
      <c r="X19" s="249"/>
      <c r="Y19" s="249"/>
      <c r="Z19" s="249"/>
    </row>
    <row r="20" spans="1:26">
      <c r="A20" s="229">
        <v>800</v>
      </c>
      <c r="C20" s="230">
        <f t="shared" si="9"/>
        <v>92.43</v>
      </c>
      <c r="E20" s="230">
        <f t="shared" si="10"/>
        <v>92.17</v>
      </c>
      <c r="F20" s="230"/>
      <c r="G20" s="244">
        <f t="shared" si="11"/>
        <v>-0.26000000000000512</v>
      </c>
      <c r="I20" s="245">
        <f t="shared" si="12"/>
        <v>-3.0000000000000001E-3</v>
      </c>
      <c r="K20" s="230">
        <f t="shared" ref="K20:K31" si="13">ROUND($T$20+((MIN(400,$A20)*$T$21+MAX(0,MIN(600,$A20-400))*$T$22+MAX(0,$A20-1000)*$T$23)/100+MAX(0,$T$24-($T$20+(MIN(400,$A20)*$T$21+MAX(0,MIN(600,$A20-400))*$T$22+MAX(0,$A20-1000)*$T$23)/100)))*(1+$T$31)*(1+$T$26)+$T$25,2)</f>
        <v>88.89</v>
      </c>
      <c r="M20" s="230">
        <f t="shared" ref="M20:M31" si="14">ROUND($U$20+((MIN(400,$A20)*$U$21+MAX(0,MIN(600,$A20-400))*$U$22+MAX(0,$A20-1000)*$U$23)/100+MAX(0,$U$24-($U$20+(MIN(400,$A20)*$U$21+MAX(0,MIN(600,$A20-400))*$U$22+MAX(0,$A20-1000)*$U$23)/100)))*(1+$U$31)*(1+$U$26)+$U$25,2)</f>
        <v>88.65</v>
      </c>
      <c r="N20" s="230"/>
      <c r="O20" s="244">
        <f t="shared" si="2"/>
        <v>-0.23999999999999488</v>
      </c>
      <c r="Q20" s="245">
        <f t="shared" si="3"/>
        <v>-3.0000000000000001E-3</v>
      </c>
      <c r="S20" s="252" t="s">
        <v>381</v>
      </c>
      <c r="T20" s="259">
        <v>6</v>
      </c>
      <c r="U20" s="260">
        <v>6</v>
      </c>
      <c r="V20" s="255">
        <f t="shared" si="8"/>
        <v>0</v>
      </c>
      <c r="W20" s="249"/>
      <c r="X20" s="249"/>
      <c r="Y20" s="249"/>
      <c r="Z20" s="249"/>
    </row>
    <row r="21" spans="1:26">
      <c r="A21" s="229">
        <v>900</v>
      </c>
      <c r="C21" s="230">
        <f t="shared" si="9"/>
        <v>104.63</v>
      </c>
      <c r="E21" s="230">
        <f t="shared" si="10"/>
        <v>104.34</v>
      </c>
      <c r="F21" s="230"/>
      <c r="G21" s="244">
        <f t="shared" si="11"/>
        <v>-0.28999999999999204</v>
      </c>
      <c r="I21" s="245">
        <f t="shared" si="12"/>
        <v>-3.0000000000000001E-3</v>
      </c>
      <c r="K21" s="230">
        <f t="shared" si="13"/>
        <v>100.21</v>
      </c>
      <c r="M21" s="230">
        <f t="shared" si="14"/>
        <v>99.93</v>
      </c>
      <c r="N21" s="230"/>
      <c r="O21" s="244">
        <f t="shared" si="2"/>
        <v>-0.27999999999998693</v>
      </c>
      <c r="Q21" s="245">
        <f t="shared" si="3"/>
        <v>-3.0000000000000001E-3</v>
      </c>
      <c r="S21" s="252" t="s">
        <v>382</v>
      </c>
      <c r="T21" s="261">
        <v>8.8498000000000001</v>
      </c>
      <c r="U21" s="262">
        <v>8.8498000000000001</v>
      </c>
      <c r="V21" s="255">
        <f t="shared" si="8"/>
        <v>0</v>
      </c>
      <c r="W21" s="249"/>
      <c r="X21" s="249"/>
      <c r="Y21" s="249"/>
      <c r="Z21" s="249"/>
    </row>
    <row r="22" spans="1:26">
      <c r="A22" s="229">
        <v>1000</v>
      </c>
      <c r="C22" s="230">
        <f t="shared" si="9"/>
        <v>116.83</v>
      </c>
      <c r="E22" s="230">
        <f t="shared" si="10"/>
        <v>116.5</v>
      </c>
      <c r="F22" s="230"/>
      <c r="G22" s="244">
        <f t="shared" si="11"/>
        <v>-0.32999999999999829</v>
      </c>
      <c r="I22" s="245">
        <f t="shared" si="12"/>
        <v>-3.0000000000000001E-3</v>
      </c>
      <c r="K22" s="230">
        <f t="shared" si="13"/>
        <v>111.53</v>
      </c>
      <c r="M22" s="230">
        <f t="shared" si="14"/>
        <v>111.22</v>
      </c>
      <c r="N22" s="230"/>
      <c r="O22" s="244">
        <f t="shared" si="2"/>
        <v>-0.31000000000000227</v>
      </c>
      <c r="Q22" s="245">
        <f t="shared" si="3"/>
        <v>-3.0000000000000001E-3</v>
      </c>
      <c r="S22" s="252" t="s">
        <v>383</v>
      </c>
      <c r="T22" s="261">
        <v>10.7072</v>
      </c>
      <c r="U22" s="262">
        <v>10.7072</v>
      </c>
      <c r="V22" s="255">
        <f t="shared" si="8"/>
        <v>0</v>
      </c>
      <c r="W22" s="249"/>
      <c r="X22" s="249"/>
      <c r="Y22" s="249"/>
      <c r="Z22" s="249"/>
    </row>
    <row r="23" spans="1:26">
      <c r="A23" s="229">
        <v>1100</v>
      </c>
      <c r="C23" s="230">
        <f t="shared" si="9"/>
        <v>132.11000000000001</v>
      </c>
      <c r="E23" s="230">
        <f t="shared" si="10"/>
        <v>131.74</v>
      </c>
      <c r="F23" s="230"/>
      <c r="G23" s="244">
        <f t="shared" si="11"/>
        <v>-0.37000000000000455</v>
      </c>
      <c r="I23" s="245">
        <f t="shared" si="12"/>
        <v>-3.0000000000000001E-3</v>
      </c>
      <c r="K23" s="230">
        <f t="shared" si="13"/>
        <v>122.85</v>
      </c>
      <c r="M23" s="230">
        <f t="shared" si="14"/>
        <v>122.5</v>
      </c>
      <c r="N23" s="230"/>
      <c r="O23" s="244">
        <f t="shared" si="2"/>
        <v>-0.34999999999999432</v>
      </c>
      <c r="Q23" s="245">
        <f t="shared" si="3"/>
        <v>-3.0000000000000001E-3</v>
      </c>
      <c r="S23" s="252" t="s">
        <v>384</v>
      </c>
      <c r="T23" s="261">
        <f>T22</f>
        <v>10.7072</v>
      </c>
      <c r="U23" s="262">
        <v>10.7072</v>
      </c>
      <c r="V23" s="255">
        <f t="shared" si="8"/>
        <v>0</v>
      </c>
      <c r="W23" s="249"/>
      <c r="X23" s="249"/>
      <c r="Y23" s="249"/>
      <c r="Z23" s="249"/>
    </row>
    <row r="24" spans="1:26">
      <c r="A24" s="229">
        <v>1200</v>
      </c>
      <c r="C24" s="230">
        <f t="shared" si="9"/>
        <v>147.38</v>
      </c>
      <c r="E24" s="230">
        <f t="shared" si="10"/>
        <v>146.97</v>
      </c>
      <c r="F24" s="230"/>
      <c r="G24" s="244">
        <f t="shared" si="11"/>
        <v>-0.40999999999999659</v>
      </c>
      <c r="I24" s="245">
        <f t="shared" si="12"/>
        <v>-3.0000000000000001E-3</v>
      </c>
      <c r="K24" s="230">
        <f t="shared" si="13"/>
        <v>134.16999999999999</v>
      </c>
      <c r="M24" s="230">
        <f t="shared" si="14"/>
        <v>133.79</v>
      </c>
      <c r="N24" s="230"/>
      <c r="O24" s="244">
        <f t="shared" si="2"/>
        <v>-0.37999999999999545</v>
      </c>
      <c r="Q24" s="245">
        <f t="shared" si="3"/>
        <v>-3.0000000000000001E-3</v>
      </c>
      <c r="S24" s="252" t="s">
        <v>385</v>
      </c>
      <c r="T24" s="259">
        <f>T16</f>
        <v>8</v>
      </c>
      <c r="U24" s="260">
        <f t="shared" ref="U24:U26" si="15">U16</f>
        <v>8</v>
      </c>
      <c r="V24" s="255">
        <f t="shared" si="8"/>
        <v>0</v>
      </c>
      <c r="W24" s="249"/>
      <c r="X24" s="249"/>
      <c r="Y24" s="249"/>
      <c r="Z24" s="249"/>
    </row>
    <row r="25" spans="1:26">
      <c r="A25" s="229">
        <v>1300</v>
      </c>
      <c r="C25" s="230">
        <f t="shared" si="9"/>
        <v>162.66</v>
      </c>
      <c r="E25" s="230">
        <f t="shared" si="10"/>
        <v>162.19999999999999</v>
      </c>
      <c r="F25" s="230"/>
      <c r="G25" s="244">
        <f t="shared" si="11"/>
        <v>-0.46000000000000796</v>
      </c>
      <c r="I25" s="245">
        <f t="shared" si="12"/>
        <v>-3.0000000000000001E-3</v>
      </c>
      <c r="K25" s="230">
        <f t="shared" si="13"/>
        <v>145.49</v>
      </c>
      <c r="M25" s="230">
        <f t="shared" si="14"/>
        <v>145.07</v>
      </c>
      <c r="N25" s="230"/>
      <c r="O25" s="244">
        <f t="shared" si="2"/>
        <v>-0.42000000000001592</v>
      </c>
      <c r="Q25" s="245">
        <f t="shared" si="3"/>
        <v>-3.0000000000000001E-3</v>
      </c>
      <c r="S25" s="252" t="s">
        <v>387</v>
      </c>
      <c r="T25" s="259">
        <f t="shared" ref="T25" si="16">T17</f>
        <v>0.2</v>
      </c>
      <c r="U25" s="260">
        <f t="shared" si="15"/>
        <v>0.2</v>
      </c>
      <c r="V25" s="255">
        <f t="shared" si="8"/>
        <v>0</v>
      </c>
      <c r="W25" s="249"/>
      <c r="X25" s="249"/>
      <c r="Y25" s="249"/>
      <c r="Z25" s="249"/>
    </row>
    <row r="26" spans="1:26">
      <c r="A26" s="229">
        <v>1400</v>
      </c>
      <c r="C26" s="230">
        <f t="shared" si="9"/>
        <v>177.94</v>
      </c>
      <c r="E26" s="230">
        <f t="shared" si="10"/>
        <v>177.43</v>
      </c>
      <c r="F26" s="230"/>
      <c r="G26" s="244">
        <f t="shared" si="11"/>
        <v>-0.50999999999999091</v>
      </c>
      <c r="I26" s="245">
        <f t="shared" si="12"/>
        <v>-3.0000000000000001E-3</v>
      </c>
      <c r="K26" s="230">
        <f t="shared" si="13"/>
        <v>156.81</v>
      </c>
      <c r="M26" s="230">
        <f t="shared" si="14"/>
        <v>156.36000000000001</v>
      </c>
      <c r="N26" s="230"/>
      <c r="O26" s="244">
        <f t="shared" si="2"/>
        <v>-0.44999999999998863</v>
      </c>
      <c r="Q26" s="245">
        <f t="shared" si="3"/>
        <v>-3.0000000000000001E-3</v>
      </c>
      <c r="S26" s="263" t="s">
        <v>502</v>
      </c>
      <c r="T26" s="264">
        <f t="shared" ref="T26" si="17">T18</f>
        <v>4.5600000000000002E-2</v>
      </c>
      <c r="U26" s="265">
        <f t="shared" si="15"/>
        <v>4.5600000000000002E-2</v>
      </c>
      <c r="V26" s="255">
        <f t="shared" si="8"/>
        <v>0</v>
      </c>
      <c r="W26" s="249"/>
      <c r="X26" s="249"/>
      <c r="Y26" s="249"/>
      <c r="Z26" s="249"/>
    </row>
    <row r="27" spans="1:26">
      <c r="A27" s="229">
        <v>1500</v>
      </c>
      <c r="C27" s="230">
        <f t="shared" si="9"/>
        <v>193.21</v>
      </c>
      <c r="E27" s="230">
        <f t="shared" si="10"/>
        <v>192.66</v>
      </c>
      <c r="F27" s="230"/>
      <c r="G27" s="244">
        <f t="shared" si="11"/>
        <v>-0.55000000000001137</v>
      </c>
      <c r="I27" s="245">
        <f t="shared" si="12"/>
        <v>-3.0000000000000001E-3</v>
      </c>
      <c r="K27" s="230">
        <f t="shared" si="13"/>
        <v>168.13</v>
      </c>
      <c r="M27" s="230">
        <f t="shared" si="14"/>
        <v>167.64</v>
      </c>
      <c r="N27" s="230"/>
      <c r="O27" s="244">
        <f t="shared" si="2"/>
        <v>-0.49000000000000909</v>
      </c>
      <c r="Q27" s="245">
        <f t="shared" si="3"/>
        <v>-3.0000000000000001E-3</v>
      </c>
      <c r="V27" s="255"/>
      <c r="W27" s="249"/>
      <c r="X27" s="249"/>
      <c r="Y27" s="249"/>
      <c r="Z27" s="249"/>
    </row>
    <row r="28" spans="1:26">
      <c r="A28" s="229">
        <v>2000</v>
      </c>
      <c r="C28" s="230">
        <f t="shared" si="9"/>
        <v>269.58999999999997</v>
      </c>
      <c r="E28" s="230">
        <f t="shared" si="10"/>
        <v>268.81</v>
      </c>
      <c r="F28" s="230"/>
      <c r="G28" s="244">
        <f t="shared" si="11"/>
        <v>-0.77999999999997272</v>
      </c>
      <c r="I28" s="245">
        <f t="shared" si="12"/>
        <v>-3.0000000000000001E-3</v>
      </c>
      <c r="K28" s="230">
        <f t="shared" si="13"/>
        <v>224.72</v>
      </c>
      <c r="M28" s="230">
        <f t="shared" si="14"/>
        <v>224.07</v>
      </c>
      <c r="N28" s="230"/>
      <c r="O28" s="244">
        <f t="shared" si="2"/>
        <v>-0.65000000000000568</v>
      </c>
      <c r="Q28" s="245">
        <f t="shared" si="3"/>
        <v>-3.0000000000000001E-3</v>
      </c>
      <c r="T28" s="256"/>
      <c r="U28" s="256"/>
      <c r="V28" s="255"/>
      <c r="W28" s="249"/>
      <c r="X28" s="249"/>
      <c r="Y28" s="249"/>
      <c r="Z28" s="249"/>
    </row>
    <row r="29" spans="1:26">
      <c r="A29" s="229">
        <v>3000</v>
      </c>
      <c r="C29" s="230">
        <f t="shared" si="9"/>
        <v>422.35</v>
      </c>
      <c r="E29" s="230">
        <f t="shared" si="10"/>
        <v>421.12</v>
      </c>
      <c r="F29" s="230"/>
      <c r="G29" s="244">
        <f t="shared" si="11"/>
        <v>-1.2300000000000182</v>
      </c>
      <c r="I29" s="245">
        <f t="shared" si="12"/>
        <v>-3.0000000000000001E-3</v>
      </c>
      <c r="K29" s="230">
        <f t="shared" si="13"/>
        <v>337.9</v>
      </c>
      <c r="M29" s="230">
        <f t="shared" si="14"/>
        <v>336.92</v>
      </c>
      <c r="N29" s="230"/>
      <c r="O29" s="244">
        <f t="shared" si="2"/>
        <v>-0.97999999999996135</v>
      </c>
      <c r="Q29" s="245">
        <f t="shared" si="3"/>
        <v>-3.0000000000000001E-3</v>
      </c>
      <c r="S29" s="219" t="s">
        <v>390</v>
      </c>
      <c r="T29" s="266">
        <v>6.4000000000000003E-3</v>
      </c>
      <c r="U29" s="267">
        <f>'Exhibit-RMP(RMM-2)'!M16+T29</f>
        <v>3.4000000000000002E-3</v>
      </c>
      <c r="V29" s="255">
        <f>U29/T29-1</f>
        <v>-0.46875</v>
      </c>
      <c r="W29" s="249"/>
      <c r="X29" s="249"/>
      <c r="Y29" s="249"/>
      <c r="Z29" s="249"/>
    </row>
    <row r="30" spans="1:26">
      <c r="A30" s="229">
        <v>4000</v>
      </c>
      <c r="C30" s="230">
        <f t="shared" si="9"/>
        <v>575.11</v>
      </c>
      <c r="E30" s="230">
        <f t="shared" si="10"/>
        <v>573.41999999999996</v>
      </c>
      <c r="F30" s="230"/>
      <c r="G30" s="244">
        <f t="shared" si="11"/>
        <v>-1.6900000000000546</v>
      </c>
      <c r="I30" s="245">
        <f t="shared" si="12"/>
        <v>-3.0000000000000001E-3</v>
      </c>
      <c r="K30" s="230">
        <f t="shared" si="13"/>
        <v>451.09</v>
      </c>
      <c r="M30" s="230">
        <f t="shared" si="14"/>
        <v>449.77</v>
      </c>
      <c r="N30" s="230"/>
      <c r="O30" s="244">
        <f t="shared" si="2"/>
        <v>-1.3199999999999932</v>
      </c>
      <c r="Q30" s="245">
        <f t="shared" si="3"/>
        <v>-3.0000000000000001E-3</v>
      </c>
      <c r="S30" s="219" t="s">
        <v>504</v>
      </c>
      <c r="T30" s="266">
        <v>4.5999999999999999E-3</v>
      </c>
      <c r="U30" s="267">
        <v>4.5999999999999999E-3</v>
      </c>
      <c r="V30" s="255">
        <f>U30/T30-1</f>
        <v>0</v>
      </c>
      <c r="W30" s="249"/>
      <c r="X30" s="249"/>
      <c r="Y30" s="249"/>
      <c r="Z30" s="249"/>
    </row>
    <row r="31" spans="1:26">
      <c r="A31" s="229">
        <v>5000</v>
      </c>
      <c r="C31" s="230">
        <f t="shared" si="9"/>
        <v>727.87</v>
      </c>
      <c r="E31" s="230">
        <f t="shared" si="10"/>
        <v>725.73</v>
      </c>
      <c r="F31" s="230"/>
      <c r="G31" s="244">
        <f t="shared" si="11"/>
        <v>-2.1399999999999864</v>
      </c>
      <c r="I31" s="245">
        <f t="shared" si="12"/>
        <v>-3.0000000000000001E-3</v>
      </c>
      <c r="K31" s="230">
        <f t="shared" si="13"/>
        <v>564.28</v>
      </c>
      <c r="M31" s="230">
        <f t="shared" si="14"/>
        <v>562.62</v>
      </c>
      <c r="N31" s="230"/>
      <c r="O31" s="244">
        <f t="shared" si="2"/>
        <v>-1.6599999999999682</v>
      </c>
      <c r="Q31" s="245">
        <f t="shared" si="3"/>
        <v>-3.0000000000000001E-3</v>
      </c>
      <c r="S31" s="216" t="s">
        <v>516</v>
      </c>
      <c r="T31" s="268">
        <f>SUM(T29:T30)</f>
        <v>1.0999999999999999E-2</v>
      </c>
      <c r="U31" s="268">
        <f>SUM(U29:U30)</f>
        <v>8.0000000000000002E-3</v>
      </c>
      <c r="V31" s="255">
        <f>U31/T31-1</f>
        <v>-0.27272727272727271</v>
      </c>
      <c r="W31" s="249"/>
      <c r="X31" s="249"/>
      <c r="Y31" s="249"/>
      <c r="Z31" s="249"/>
    </row>
    <row r="32" spans="1:26">
      <c r="R32" s="269"/>
      <c r="W32" s="249"/>
      <c r="X32" s="249"/>
      <c r="Y32" s="249"/>
      <c r="Z32" s="249"/>
    </row>
    <row r="33" spans="1:30">
      <c r="T33" s="271" t="s">
        <v>392</v>
      </c>
      <c r="U33" s="272"/>
      <c r="V33" s="272"/>
      <c r="W33" s="273" t="s">
        <v>243</v>
      </c>
      <c r="X33" s="274"/>
      <c r="Y33" s="272" t="s">
        <v>378</v>
      </c>
      <c r="Z33" s="275" t="s">
        <v>393</v>
      </c>
    </row>
    <row r="34" spans="1:30" ht="15.75">
      <c r="A34" s="270" t="s">
        <v>503</v>
      </c>
      <c r="S34" s="216"/>
      <c r="T34" s="276" t="s">
        <v>377</v>
      </c>
      <c r="U34" s="276" t="s">
        <v>378</v>
      </c>
      <c r="V34" s="276" t="s">
        <v>379</v>
      </c>
      <c r="W34" s="277" t="s">
        <v>380</v>
      </c>
      <c r="X34" s="278" t="s">
        <v>287</v>
      </c>
      <c r="Y34" s="279" t="s">
        <v>394</v>
      </c>
      <c r="Z34" s="279" t="s">
        <v>394</v>
      </c>
    </row>
    <row r="35" spans="1:30">
      <c r="A35" s="229" t="s">
        <v>391</v>
      </c>
      <c r="S35" s="280" t="s">
        <v>374</v>
      </c>
      <c r="T35" s="281">
        <f>A19</f>
        <v>746.76637542484116</v>
      </c>
      <c r="U35" s="282">
        <f>C19</f>
        <v>85.93</v>
      </c>
      <c r="V35" s="282">
        <f>E19</f>
        <v>85.7</v>
      </c>
      <c r="W35" s="282">
        <f>V35-U35</f>
        <v>-0.23000000000000398</v>
      </c>
      <c r="X35" s="283">
        <f>V35/U35-1</f>
        <v>-2.6765972303037788E-3</v>
      </c>
      <c r="Y35" s="280">
        <f t="shared" ref="Y35:Z38" si="18">ROUND(U35/$T35*100,2)</f>
        <v>11.51</v>
      </c>
      <c r="Z35" s="284">
        <f t="shared" si="18"/>
        <v>11.48</v>
      </c>
    </row>
    <row r="36" spans="1:30" ht="15.75">
      <c r="A36" s="270"/>
      <c r="S36" s="284" t="s">
        <v>375</v>
      </c>
      <c r="T36" s="281">
        <f>A17</f>
        <v>663.32999948009433</v>
      </c>
      <c r="U36" s="282">
        <f>K17</f>
        <v>73.430000000000007</v>
      </c>
      <c r="V36" s="282">
        <f>M17</f>
        <v>73.23</v>
      </c>
      <c r="W36" s="282">
        <f>V36-U36</f>
        <v>-0.20000000000000284</v>
      </c>
      <c r="X36" s="285">
        <f>V36/U36-1</f>
        <v>-2.7236824186300801E-3</v>
      </c>
      <c r="Y36" s="286">
        <f t="shared" si="18"/>
        <v>11.07</v>
      </c>
      <c r="Z36" s="284">
        <f t="shared" si="18"/>
        <v>11.04</v>
      </c>
    </row>
    <row r="37" spans="1:30">
      <c r="S37" s="296" t="s">
        <v>395</v>
      </c>
      <c r="T37" s="297">
        <f>A18</f>
        <v>698.09515617157388</v>
      </c>
      <c r="U37" s="298">
        <f>(C18*5+K18*7)/12</f>
        <v>78.455833333333331</v>
      </c>
      <c r="V37" s="298">
        <f>(E18*5+M18*7)/12</f>
        <v>78.245833333333337</v>
      </c>
      <c r="W37" s="298">
        <f>V37-U37</f>
        <v>-0.20999999999999375</v>
      </c>
      <c r="X37" s="299">
        <f>V37/U37-1</f>
        <v>-2.676665215035956E-3</v>
      </c>
      <c r="Y37" s="296">
        <f t="shared" si="18"/>
        <v>11.24</v>
      </c>
      <c r="Z37" s="296">
        <f t="shared" si="18"/>
        <v>11.21</v>
      </c>
    </row>
    <row r="38" spans="1:30">
      <c r="A38" s="287"/>
      <c r="B38" s="216"/>
      <c r="C38" s="226"/>
      <c r="D38" s="288"/>
      <c r="E38" s="231"/>
      <c r="F38" s="215"/>
      <c r="G38" s="289"/>
      <c r="H38" s="215"/>
      <c r="I38" s="215"/>
      <c r="J38" s="216"/>
      <c r="S38" s="403" t="s">
        <v>395</v>
      </c>
      <c r="T38" s="404">
        <v>700</v>
      </c>
      <c r="U38" s="405">
        <f>(C16*5+K16*7)/12</f>
        <v>78.68416666666667</v>
      </c>
      <c r="V38" s="405">
        <f>(E16*5+M16*7)/12</f>
        <v>78.464166666666657</v>
      </c>
      <c r="W38" s="405">
        <f>V38-U38</f>
        <v>-0.22000000000001307</v>
      </c>
      <c r="X38" s="406">
        <f>V38/U38-1</f>
        <v>-2.7959881805955655E-3</v>
      </c>
      <c r="Y38" s="403">
        <f>ROUND(U38/$T38*100,2)</f>
        <v>11.24</v>
      </c>
      <c r="Z38" s="403">
        <f t="shared" si="18"/>
        <v>11.21</v>
      </c>
    </row>
    <row r="39" spans="1:30">
      <c r="A39" s="287"/>
      <c r="B39" s="216"/>
      <c r="C39" s="231"/>
      <c r="D39" s="215"/>
      <c r="E39" s="231"/>
      <c r="F39" s="216"/>
      <c r="G39" s="231"/>
      <c r="H39" s="215"/>
      <c r="I39" s="231"/>
      <c r="J39" s="216"/>
    </row>
    <row r="40" spans="1:30">
      <c r="A40" s="290"/>
      <c r="B40" s="216"/>
      <c r="C40" s="231"/>
      <c r="D40" s="216"/>
      <c r="E40" s="291"/>
      <c r="F40" s="216"/>
      <c r="G40" s="292"/>
      <c r="H40" s="216"/>
      <c r="I40" s="293"/>
      <c r="J40" s="294"/>
      <c r="K40" s="245"/>
      <c r="L40" s="245"/>
      <c r="M40" s="245"/>
      <c r="N40" s="245"/>
      <c r="O40" s="245"/>
    </row>
    <row r="41" spans="1:30">
      <c r="A41" s="287"/>
      <c r="B41" s="216"/>
      <c r="C41" s="224"/>
      <c r="D41" s="216"/>
      <c r="E41" s="224"/>
      <c r="F41" s="224"/>
      <c r="G41" s="295"/>
      <c r="H41" s="216"/>
      <c r="I41" s="294"/>
      <c r="J41" s="294"/>
      <c r="K41" s="245"/>
      <c r="L41" s="245"/>
      <c r="M41" s="245"/>
      <c r="N41" s="245"/>
      <c r="O41" s="245"/>
      <c r="AA41" s="216"/>
      <c r="AB41" s="216"/>
      <c r="AC41" s="216"/>
      <c r="AD41" s="216"/>
    </row>
    <row r="42" spans="1:30">
      <c r="A42" s="287"/>
      <c r="B42" s="216"/>
      <c r="C42" s="224"/>
      <c r="D42" s="216"/>
      <c r="E42" s="224"/>
      <c r="F42" s="224"/>
      <c r="G42" s="295"/>
      <c r="H42" s="216"/>
      <c r="I42" s="294"/>
      <c r="J42" s="294"/>
      <c r="K42" s="245"/>
      <c r="L42" s="245"/>
      <c r="M42" s="245"/>
      <c r="N42" s="245"/>
      <c r="O42" s="245"/>
      <c r="U42" s="230"/>
      <c r="W42" s="216"/>
      <c r="X42" s="216"/>
      <c r="Y42" s="216"/>
      <c r="Z42" s="216"/>
    </row>
    <row r="43" spans="1:30">
      <c r="A43" s="287"/>
      <c r="B43" s="216"/>
      <c r="C43" s="224"/>
      <c r="D43" s="216"/>
      <c r="E43" s="224"/>
      <c r="F43" s="224"/>
      <c r="G43" s="295"/>
      <c r="H43" s="216"/>
      <c r="I43" s="294"/>
      <c r="J43" s="294"/>
      <c r="K43" s="245"/>
      <c r="L43" s="245"/>
      <c r="M43" s="245"/>
      <c r="N43" s="245"/>
      <c r="O43" s="245"/>
      <c r="U43" s="230"/>
    </row>
    <row r="44" spans="1:30">
      <c r="A44" s="287"/>
      <c r="B44" s="216"/>
      <c r="C44" s="224"/>
      <c r="D44" s="216"/>
      <c r="E44" s="224"/>
      <c r="F44" s="224"/>
      <c r="G44" s="295"/>
      <c r="H44" s="216"/>
      <c r="I44" s="294"/>
      <c r="J44" s="294"/>
      <c r="K44" s="245"/>
      <c r="L44" s="245"/>
      <c r="M44" s="245"/>
      <c r="N44" s="245"/>
      <c r="O44" s="245"/>
    </row>
    <row r="45" spans="1:30">
      <c r="A45" s="287"/>
      <c r="B45" s="216"/>
      <c r="C45" s="224"/>
      <c r="D45" s="216"/>
      <c r="E45" s="224"/>
      <c r="F45" s="224"/>
      <c r="G45" s="295"/>
      <c r="H45" s="216"/>
      <c r="I45" s="294"/>
      <c r="J45" s="294"/>
      <c r="K45" s="245"/>
      <c r="L45" s="245"/>
      <c r="M45" s="245"/>
      <c r="N45" s="245"/>
      <c r="O45" s="245"/>
    </row>
    <row r="46" spans="1:30">
      <c r="A46" s="287"/>
      <c r="B46" s="216"/>
      <c r="C46" s="224"/>
      <c r="D46" s="216"/>
      <c r="E46" s="224"/>
      <c r="F46" s="224"/>
      <c r="G46" s="295"/>
      <c r="H46" s="216"/>
      <c r="I46" s="294"/>
      <c r="J46" s="294"/>
      <c r="K46" s="245"/>
      <c r="L46" s="245"/>
      <c r="M46" s="245"/>
      <c r="N46" s="245"/>
      <c r="O46" s="245"/>
    </row>
    <row r="47" spans="1:30">
      <c r="A47" s="287"/>
      <c r="B47" s="216"/>
      <c r="C47" s="224"/>
      <c r="D47" s="216"/>
      <c r="E47" s="224"/>
      <c r="F47" s="224"/>
      <c r="G47" s="295"/>
      <c r="H47" s="216"/>
      <c r="I47" s="294"/>
      <c r="J47" s="294"/>
      <c r="K47" s="245"/>
      <c r="L47" s="245"/>
      <c r="M47" s="245"/>
      <c r="N47" s="245"/>
      <c r="O47" s="245"/>
    </row>
    <row r="48" spans="1:30">
      <c r="A48" s="287"/>
      <c r="B48" s="216"/>
      <c r="C48" s="224"/>
      <c r="D48" s="216"/>
      <c r="E48" s="224"/>
      <c r="F48" s="224"/>
      <c r="G48" s="295"/>
      <c r="H48" s="216"/>
      <c r="I48" s="294"/>
      <c r="J48" s="294"/>
      <c r="K48" s="245"/>
      <c r="L48" s="245"/>
      <c r="M48" s="245"/>
      <c r="N48" s="245"/>
      <c r="O48" s="245"/>
    </row>
    <row r="49" spans="1:15">
      <c r="A49" s="287"/>
      <c r="B49" s="216"/>
      <c r="C49" s="224"/>
      <c r="D49" s="216"/>
      <c r="E49" s="224"/>
      <c r="F49" s="224"/>
      <c r="G49" s="295"/>
      <c r="H49" s="216"/>
      <c r="I49" s="294"/>
      <c r="J49" s="294"/>
      <c r="K49" s="245"/>
      <c r="L49" s="245"/>
      <c r="M49" s="245"/>
      <c r="N49" s="245"/>
      <c r="O49" s="245"/>
    </row>
    <row r="50" spans="1:15">
      <c r="A50" s="287"/>
      <c r="B50" s="216"/>
      <c r="C50" s="224"/>
      <c r="D50" s="216"/>
      <c r="E50" s="224"/>
      <c r="F50" s="224"/>
      <c r="G50" s="295"/>
      <c r="H50" s="216"/>
      <c r="I50" s="294"/>
      <c r="J50" s="294"/>
      <c r="K50" s="245"/>
      <c r="L50" s="245"/>
      <c r="M50" s="245"/>
      <c r="N50" s="245"/>
      <c r="O50" s="245"/>
    </row>
    <row r="51" spans="1:15">
      <c r="A51" s="287"/>
      <c r="B51" s="216"/>
      <c r="C51" s="224"/>
      <c r="D51" s="216"/>
      <c r="E51" s="224"/>
      <c r="F51" s="224"/>
      <c r="G51" s="295"/>
      <c r="H51" s="216"/>
      <c r="I51" s="294"/>
      <c r="J51" s="294"/>
      <c r="K51" s="245"/>
      <c r="L51" s="245"/>
      <c r="M51" s="245"/>
      <c r="N51" s="245"/>
      <c r="O51" s="245"/>
    </row>
    <row r="52" spans="1:15">
      <c r="A52" s="287"/>
      <c r="B52" s="216"/>
      <c r="C52" s="224"/>
      <c r="D52" s="216"/>
      <c r="E52" s="224"/>
      <c r="F52" s="224"/>
      <c r="G52" s="295"/>
      <c r="H52" s="216"/>
      <c r="I52" s="294"/>
      <c r="J52" s="294"/>
      <c r="K52" s="245"/>
      <c r="L52" s="245"/>
      <c r="M52" s="245"/>
      <c r="N52" s="245"/>
      <c r="O52" s="245"/>
    </row>
    <row r="53" spans="1:15">
      <c r="A53" s="287"/>
      <c r="B53" s="216"/>
      <c r="C53" s="224"/>
      <c r="D53" s="216"/>
      <c r="E53" s="224"/>
      <c r="F53" s="224"/>
      <c r="G53" s="295"/>
      <c r="H53" s="216"/>
      <c r="I53" s="294"/>
      <c r="J53" s="294"/>
      <c r="K53" s="245"/>
      <c r="L53" s="245"/>
      <c r="M53" s="245"/>
      <c r="N53" s="245"/>
      <c r="O53" s="245"/>
    </row>
    <row r="54" spans="1:15">
      <c r="A54" s="287"/>
      <c r="B54" s="216"/>
      <c r="C54" s="224"/>
      <c r="D54" s="216"/>
      <c r="E54" s="224"/>
      <c r="F54" s="224"/>
      <c r="G54" s="295"/>
      <c r="H54" s="216"/>
      <c r="I54" s="294"/>
      <c r="J54" s="294"/>
      <c r="K54" s="245"/>
      <c r="L54" s="245"/>
      <c r="M54" s="245"/>
      <c r="N54" s="245"/>
      <c r="O54" s="245"/>
    </row>
    <row r="55" spans="1:15">
      <c r="A55" s="287"/>
      <c r="B55" s="216"/>
      <c r="C55" s="224"/>
      <c r="D55" s="216"/>
      <c r="E55" s="224"/>
      <c r="F55" s="224"/>
      <c r="G55" s="295"/>
      <c r="H55" s="216"/>
      <c r="I55" s="294"/>
      <c r="J55" s="294"/>
      <c r="K55" s="245"/>
      <c r="L55" s="245"/>
      <c r="M55" s="245"/>
      <c r="N55" s="245"/>
      <c r="O55" s="245"/>
    </row>
    <row r="56" spans="1:15">
      <c r="A56" s="287"/>
      <c r="B56" s="216"/>
      <c r="C56" s="224"/>
      <c r="D56" s="216"/>
      <c r="E56" s="224"/>
      <c r="F56" s="224"/>
      <c r="G56" s="295"/>
      <c r="H56" s="216"/>
      <c r="I56" s="294"/>
      <c r="J56" s="294"/>
      <c r="K56" s="245"/>
      <c r="L56" s="245"/>
      <c r="M56" s="245"/>
      <c r="N56" s="245"/>
      <c r="O56" s="245"/>
    </row>
    <row r="57" spans="1:15">
      <c r="A57" s="287"/>
      <c r="B57" s="216"/>
      <c r="C57" s="224"/>
      <c r="D57" s="216"/>
      <c r="E57" s="224"/>
      <c r="F57" s="224"/>
      <c r="G57" s="295"/>
      <c r="H57" s="216"/>
      <c r="I57" s="294"/>
      <c r="J57" s="294"/>
      <c r="K57" s="245"/>
      <c r="L57" s="245"/>
      <c r="M57" s="245"/>
      <c r="N57" s="245"/>
      <c r="O57" s="245"/>
    </row>
    <row r="58" spans="1:15">
      <c r="A58" s="287"/>
      <c r="B58" s="216"/>
      <c r="C58" s="224"/>
      <c r="D58" s="216"/>
      <c r="E58" s="224"/>
      <c r="F58" s="224"/>
      <c r="G58" s="295"/>
      <c r="H58" s="216"/>
      <c r="I58" s="294"/>
      <c r="J58" s="294"/>
      <c r="K58" s="245"/>
      <c r="L58" s="245"/>
      <c r="M58" s="245"/>
      <c r="N58" s="245"/>
      <c r="O58" s="245"/>
    </row>
    <row r="59" spans="1:15">
      <c r="A59" s="287"/>
      <c r="B59" s="216"/>
      <c r="C59" s="224"/>
      <c r="D59" s="216"/>
      <c r="E59" s="224"/>
      <c r="F59" s="224"/>
      <c r="G59" s="295"/>
      <c r="H59" s="216"/>
      <c r="I59" s="294"/>
      <c r="J59" s="294"/>
      <c r="K59" s="245"/>
      <c r="L59" s="245"/>
      <c r="M59" s="245"/>
      <c r="N59" s="245"/>
      <c r="O59" s="245"/>
    </row>
  </sheetData>
  <mergeCells count="2">
    <mergeCell ref="G6:I6"/>
    <mergeCell ref="O6:Q6"/>
  </mergeCells>
  <printOptions horizontalCentered="1"/>
  <pageMargins left="0.75" right="0.75" top="1" bottom="0.5" header="0.5" footer="0.25"/>
  <pageSetup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zoomScale="80" zoomScaleNormal="80" workbookViewId="0">
      <selection activeCell="L9" sqref="L9"/>
    </sheetView>
  </sheetViews>
  <sheetFormatPr defaultColWidth="9" defaultRowHeight="15.75"/>
  <cols>
    <col min="1" max="1" width="12.625" style="168" customWidth="1"/>
    <col min="2" max="2" width="1.625" style="168" customWidth="1"/>
    <col min="3" max="3" width="12.625" style="91" customWidth="1"/>
    <col min="4" max="4" width="1.625" style="163" customWidth="1"/>
    <col min="5" max="5" width="12.625" style="163" customWidth="1"/>
    <col min="6" max="6" width="1.625" style="163" customWidth="1"/>
    <col min="7" max="7" width="12.625" style="163" customWidth="1"/>
    <col min="8" max="16384" width="9" style="163"/>
  </cols>
  <sheetData>
    <row r="1" spans="1:7" ht="18.75">
      <c r="A1" s="165" t="s">
        <v>423</v>
      </c>
      <c r="B1" s="196"/>
      <c r="C1" s="365"/>
      <c r="D1" s="366"/>
      <c r="E1" s="366"/>
      <c r="F1" s="366"/>
      <c r="G1" s="366"/>
    </row>
    <row r="2" spans="1:7">
      <c r="C2" s="360"/>
    </row>
    <row r="3" spans="1:7">
      <c r="C3" s="96" t="s">
        <v>422</v>
      </c>
      <c r="D3" s="361"/>
      <c r="E3" s="361"/>
      <c r="F3" s="361"/>
      <c r="G3" s="361"/>
    </row>
    <row r="4" spans="1:7">
      <c r="A4" s="367" t="s">
        <v>424</v>
      </c>
      <c r="C4" s="562">
        <v>2016</v>
      </c>
      <c r="D4" s="359"/>
      <c r="E4" s="563">
        <v>2017</v>
      </c>
      <c r="G4" s="563" t="s">
        <v>402</v>
      </c>
    </row>
    <row r="5" spans="1:7">
      <c r="A5" s="363">
        <v>1</v>
      </c>
      <c r="C5" s="103">
        <v>6.4000000000000003E-3</v>
      </c>
      <c r="D5" s="103"/>
      <c r="E5" s="103">
        <f>'Exhibit-RMP(RMM-2)'!M16</f>
        <v>-3.0000000000000001E-3</v>
      </c>
      <c r="G5" s="103">
        <f>C5+E5</f>
        <v>3.4000000000000002E-3</v>
      </c>
    </row>
    <row r="6" spans="1:7">
      <c r="A6" s="363">
        <v>2</v>
      </c>
      <c r="C6" s="103">
        <v>6.4000000000000003E-3</v>
      </c>
      <c r="D6" s="103"/>
      <c r="E6" s="103">
        <f>E5</f>
        <v>-3.0000000000000001E-3</v>
      </c>
      <c r="G6" s="103">
        <f t="shared" ref="G6:G21" si="0">C6+E6</f>
        <v>3.4000000000000002E-3</v>
      </c>
    </row>
    <row r="7" spans="1:7">
      <c r="A7" s="363">
        <v>3</v>
      </c>
      <c r="C7" s="103">
        <v>6.4000000000000003E-3</v>
      </c>
      <c r="D7" s="103"/>
      <c r="E7" s="103">
        <f>E5</f>
        <v>-3.0000000000000001E-3</v>
      </c>
      <c r="G7" s="103">
        <f t="shared" si="0"/>
        <v>3.4000000000000002E-3</v>
      </c>
    </row>
    <row r="8" spans="1:7">
      <c r="A8" s="363">
        <v>6</v>
      </c>
      <c r="C8" s="103">
        <v>8.5000000000000006E-3</v>
      </c>
      <c r="D8" s="103"/>
      <c r="E8" s="103">
        <f>'Exhibit-RMP(RMM-2)'!M79</f>
        <v>-4.0000000000000001E-3</v>
      </c>
      <c r="G8" s="103">
        <f t="shared" si="0"/>
        <v>4.5000000000000005E-3</v>
      </c>
    </row>
    <row r="9" spans="1:7">
      <c r="A9" s="363" t="s">
        <v>257</v>
      </c>
      <c r="C9" s="103">
        <v>1.18E-2</v>
      </c>
      <c r="D9" s="103"/>
      <c r="E9" s="103">
        <f>'Exhibit-RMP(RMM-2)'!M108</f>
        <v>-5.4999999999999997E-3</v>
      </c>
      <c r="G9" s="103">
        <f t="shared" si="0"/>
        <v>6.3E-3</v>
      </c>
    </row>
    <row r="10" spans="1:7">
      <c r="A10" s="363" t="s">
        <v>259</v>
      </c>
      <c r="C10" s="103">
        <v>8.5000000000000006E-3</v>
      </c>
      <c r="D10" s="103"/>
      <c r="E10" s="103">
        <f>E8</f>
        <v>-4.0000000000000001E-3</v>
      </c>
      <c r="G10" s="103">
        <f t="shared" si="0"/>
        <v>4.5000000000000005E-3</v>
      </c>
    </row>
    <row r="11" spans="1:7">
      <c r="A11" s="363">
        <v>7</v>
      </c>
      <c r="C11" s="103">
        <v>4.0000000000000001E-3</v>
      </c>
      <c r="D11" s="103"/>
      <c r="E11" s="103">
        <f>'Exhibit-RMP(RMM-2)'!M117</f>
        <v>-1.9E-3</v>
      </c>
      <c r="G11" s="103">
        <f t="shared" si="0"/>
        <v>2.1000000000000003E-3</v>
      </c>
    </row>
    <row r="12" spans="1:7">
      <c r="A12" s="363">
        <v>8</v>
      </c>
      <c r="C12" s="103">
        <v>9.1999999999999998E-3</v>
      </c>
      <c r="D12" s="103"/>
      <c r="E12" s="103">
        <f>'Exhibit-RMP(RMM-2)'!M158</f>
        <v>-4.3E-3</v>
      </c>
      <c r="G12" s="103">
        <f t="shared" si="0"/>
        <v>4.8999999999999998E-3</v>
      </c>
    </row>
    <row r="13" spans="1:7">
      <c r="A13" s="363">
        <v>9</v>
      </c>
      <c r="C13" s="103">
        <v>1.12E-2</v>
      </c>
      <c r="D13" s="103"/>
      <c r="E13" s="103">
        <f>'Exhibit-RMP(RMM-2)'!M170</f>
        <v>-5.1999999999999998E-3</v>
      </c>
      <c r="G13" s="103">
        <f t="shared" si="0"/>
        <v>6.0000000000000001E-3</v>
      </c>
    </row>
    <row r="14" spans="1:7">
      <c r="A14" s="363" t="s">
        <v>264</v>
      </c>
      <c r="C14" s="103">
        <v>1.24E-2</v>
      </c>
      <c r="D14" s="103"/>
      <c r="E14" s="103">
        <f>'Exhibit-RMP(RMM-2)'!M181</f>
        <v>-5.7999999999999996E-3</v>
      </c>
      <c r="G14" s="103">
        <f t="shared" si="0"/>
        <v>6.6E-3</v>
      </c>
    </row>
    <row r="15" spans="1:7">
      <c r="A15" s="364">
        <v>10</v>
      </c>
      <c r="C15" s="103">
        <v>8.2000000000000007E-3</v>
      </c>
      <c r="D15" s="103"/>
      <c r="E15" s="103">
        <f>'Exhibit-RMP(RMM-2)'!M190</f>
        <v>-3.8999999999999998E-3</v>
      </c>
      <c r="G15" s="103">
        <f t="shared" si="0"/>
        <v>4.3000000000000009E-3</v>
      </c>
    </row>
    <row r="16" spans="1:7">
      <c r="A16" s="364">
        <v>11</v>
      </c>
      <c r="B16" s="167"/>
      <c r="C16" s="103">
        <v>4.0000000000000001E-3</v>
      </c>
      <c r="D16" s="103"/>
      <c r="E16" s="103">
        <f>E11</f>
        <v>-1.9E-3</v>
      </c>
      <c r="G16" s="103">
        <f t="shared" si="0"/>
        <v>2.1000000000000003E-3</v>
      </c>
    </row>
    <row r="17" spans="1:7">
      <c r="A17" s="364">
        <v>12</v>
      </c>
      <c r="B17" s="167"/>
      <c r="C17" s="103">
        <v>4.0000000000000001E-3</v>
      </c>
      <c r="D17" s="103"/>
      <c r="E17" s="103">
        <f>E11</f>
        <v>-1.9E-3</v>
      </c>
      <c r="G17" s="103">
        <f t="shared" si="0"/>
        <v>2.1000000000000003E-3</v>
      </c>
    </row>
    <row r="18" spans="1:7">
      <c r="A18" s="364" t="s">
        <v>425</v>
      </c>
      <c r="B18" s="167"/>
      <c r="C18" s="103">
        <v>1.0699999999999999E-2</v>
      </c>
      <c r="D18" s="103"/>
      <c r="E18" s="103">
        <f>'Exhibit-RMP(RMM-2)'!M358</f>
        <v>-5.1000000000000004E-3</v>
      </c>
      <c r="G18" s="103">
        <f t="shared" si="0"/>
        <v>5.5999999999999991E-3</v>
      </c>
    </row>
    <row r="19" spans="1:7">
      <c r="A19" s="364" t="s">
        <v>426</v>
      </c>
      <c r="B19" s="167"/>
      <c r="C19" s="103">
        <v>7.3000000000000001E-3</v>
      </c>
      <c r="D19" s="103"/>
      <c r="E19" s="103">
        <f>'Exhibit-RMP(RMM-2)'!M364</f>
        <v>-3.3999999999999998E-3</v>
      </c>
      <c r="G19" s="103">
        <f t="shared" si="0"/>
        <v>3.9000000000000003E-3</v>
      </c>
    </row>
    <row r="20" spans="1:7">
      <c r="A20" s="363">
        <v>21</v>
      </c>
      <c r="C20" s="103">
        <v>2.2499999999999999E-2</v>
      </c>
      <c r="D20" s="103"/>
      <c r="E20" s="103">
        <f>'Exhibit-RMP(RMM-2)'!M372</f>
        <v>-1.06E-2</v>
      </c>
      <c r="G20" s="103">
        <f t="shared" si="0"/>
        <v>1.1899999999999999E-2</v>
      </c>
    </row>
    <row r="21" spans="1:7" s="362" customFormat="1" ht="16.5" thickBot="1">
      <c r="A21" s="368">
        <v>23</v>
      </c>
      <c r="B21" s="173"/>
      <c r="C21" s="369">
        <v>6.8999999999999999E-3</v>
      </c>
      <c r="D21" s="369"/>
      <c r="E21" s="369">
        <f>'Exhibit-RMP(RMM-2)'!M387</f>
        <v>-3.3E-3</v>
      </c>
      <c r="G21" s="369">
        <f t="shared" si="0"/>
        <v>3.5999999999999999E-3</v>
      </c>
    </row>
    <row r="22" spans="1:7" ht="16.5" thickTop="1">
      <c r="C22" s="31"/>
    </row>
  </sheetData>
  <printOptions horizontalCentered="1"/>
  <pageMargins left="0.5" right="0.5" top="1" bottom="1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showGridLines="0" zoomScale="80" zoomScaleNormal="80" zoomScaleSheetLayoutView="70" workbookViewId="0">
      <pane xSplit="5" ySplit="6" topLeftCell="M62" activePane="bottomRight" state="frozen"/>
      <selection pane="topRight" activeCell="F1" sqref="F1"/>
      <selection pane="bottomLeft" activeCell="A7" sqref="A7"/>
      <selection pane="bottomRight" activeCell="V74" sqref="V74"/>
    </sheetView>
  </sheetViews>
  <sheetFormatPr defaultColWidth="8.375" defaultRowHeight="15.75" customHeight="1"/>
  <cols>
    <col min="1" max="1" width="5.125" style="492" customWidth="1"/>
    <col min="2" max="2" width="33.375" style="493" customWidth="1"/>
    <col min="3" max="3" width="2.125" style="494" customWidth="1"/>
    <col min="4" max="4" width="23.125" style="495" customWidth="1"/>
    <col min="5" max="5" width="2.125" style="494" customWidth="1"/>
    <col min="6" max="6" width="11.75" style="494" bestFit="1" customWidth="1"/>
    <col min="7" max="7" width="12.375" style="494" bestFit="1" customWidth="1"/>
    <col min="8" max="8" width="12.125" style="494" bestFit="1" customWidth="1"/>
    <col min="9" max="9" width="12.375" style="494" bestFit="1" customWidth="1"/>
    <col min="10" max="10" width="12.125" style="494" bestFit="1" customWidth="1"/>
    <col min="11" max="13" width="12.375" style="494" bestFit="1" customWidth="1"/>
    <col min="14" max="14" width="12.625" style="494" bestFit="1" customWidth="1"/>
    <col min="15" max="16" width="12.375" style="494" bestFit="1" customWidth="1"/>
    <col min="17" max="17" width="12.625" style="494" bestFit="1" customWidth="1"/>
    <col min="18" max="18" width="2.125" style="494" customWidth="1"/>
    <col min="19" max="19" width="14" style="494" customWidth="1"/>
    <col min="20" max="20" width="2.125" style="494" customWidth="1"/>
    <col min="21" max="21" width="18.625" style="497" customWidth="1"/>
    <col min="22" max="23" width="8.875" style="494" customWidth="1"/>
    <col min="24" max="16384" width="8.375" style="494"/>
  </cols>
  <sheetData>
    <row r="1" spans="1:21" s="488" customFormat="1" ht="15.75" customHeight="1">
      <c r="A1" s="486" t="s">
        <v>469</v>
      </c>
      <c r="B1" s="487"/>
      <c r="D1" s="489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1"/>
    </row>
    <row r="2" spans="1:21" s="488" customFormat="1" ht="15.75" customHeight="1">
      <c r="A2" s="486" t="s">
        <v>511</v>
      </c>
      <c r="B2" s="487"/>
      <c r="D2" s="489"/>
      <c r="U2" s="491"/>
    </row>
    <row r="3" spans="1:21" s="488" customFormat="1" ht="15.75" customHeight="1">
      <c r="A3" s="486" t="s">
        <v>512</v>
      </c>
      <c r="B3" s="487"/>
      <c r="D3" s="489"/>
      <c r="U3" s="491"/>
    </row>
    <row r="4" spans="1:21" ht="15.75" customHeight="1"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88"/>
    </row>
    <row r="5" spans="1:21" ht="15.75" customHeight="1">
      <c r="A5" s="494"/>
      <c r="B5" s="498"/>
      <c r="R5" s="488"/>
    </row>
    <row r="6" spans="1:21" ht="25.5">
      <c r="A6" s="499" t="s">
        <v>470</v>
      </c>
      <c r="B6" s="500"/>
      <c r="C6" s="488"/>
      <c r="D6" s="501" t="s">
        <v>444</v>
      </c>
      <c r="E6" s="488"/>
      <c r="F6" s="502">
        <v>42370</v>
      </c>
      <c r="G6" s="502">
        <f>EDATE(F6,1)</f>
        <v>42401</v>
      </c>
      <c r="H6" s="502">
        <f t="shared" ref="H6:O6" si="0">EDATE(G6,1)</f>
        <v>42430</v>
      </c>
      <c r="I6" s="502">
        <f t="shared" si="0"/>
        <v>42461</v>
      </c>
      <c r="J6" s="502">
        <f t="shared" si="0"/>
        <v>42491</v>
      </c>
      <c r="K6" s="502">
        <f t="shared" si="0"/>
        <v>42522</v>
      </c>
      <c r="L6" s="502">
        <f t="shared" si="0"/>
        <v>42552</v>
      </c>
      <c r="M6" s="502">
        <f t="shared" si="0"/>
        <v>42583</v>
      </c>
      <c r="N6" s="502">
        <f t="shared" si="0"/>
        <v>42614</v>
      </c>
      <c r="O6" s="502">
        <f t="shared" si="0"/>
        <v>42644</v>
      </c>
      <c r="P6" s="502">
        <f>EDATE(O6,1)</f>
        <v>42675</v>
      </c>
      <c r="Q6" s="502">
        <f>EDATE(P6,1)</f>
        <v>42705</v>
      </c>
      <c r="R6" s="488"/>
      <c r="S6" s="502" t="s">
        <v>152</v>
      </c>
      <c r="T6" s="503"/>
    </row>
    <row r="7" spans="1:21" ht="15.75" customHeight="1">
      <c r="A7" s="504"/>
      <c r="B7" s="505"/>
      <c r="C7" s="488"/>
      <c r="D7" s="506"/>
      <c r="E7" s="488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488"/>
      <c r="S7" s="507"/>
      <c r="T7" s="508"/>
      <c r="U7" s="509"/>
    </row>
    <row r="8" spans="1:21" ht="15.75" customHeight="1">
      <c r="A8" s="510" t="s">
        <v>471</v>
      </c>
      <c r="B8" s="487"/>
      <c r="C8" s="488"/>
      <c r="D8" s="506"/>
      <c r="E8" s="48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488"/>
      <c r="S8" s="508"/>
      <c r="T8" s="508"/>
      <c r="U8" s="509"/>
    </row>
    <row r="9" spans="1:21" ht="15.75" customHeight="1">
      <c r="A9" s="511"/>
      <c r="B9" s="505"/>
      <c r="C9" s="510"/>
      <c r="E9" s="512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  <c r="R9" s="488"/>
      <c r="S9" s="513"/>
      <c r="T9" s="508"/>
      <c r="U9" s="509"/>
    </row>
    <row r="10" spans="1:21" ht="15.75" customHeight="1">
      <c r="A10" s="511">
        <f>+MAX($A$1:A9)+1</f>
        <v>1</v>
      </c>
      <c r="B10" s="506" t="s">
        <v>472</v>
      </c>
      <c r="D10" s="514" t="s">
        <v>473</v>
      </c>
      <c r="F10" s="515">
        <v>55141142.474280603</v>
      </c>
      <c r="G10" s="515">
        <v>48989820.453283429</v>
      </c>
      <c r="H10" s="515">
        <v>48820855.022452414</v>
      </c>
      <c r="I10" s="515">
        <v>44298160.298151851</v>
      </c>
      <c r="J10" s="515">
        <v>47606588.586731195</v>
      </c>
      <c r="K10" s="515">
        <v>60371561.7919254</v>
      </c>
      <c r="L10" s="515">
        <v>62273779.540490568</v>
      </c>
      <c r="M10" s="515">
        <v>62648923.05537305</v>
      </c>
      <c r="N10" s="515">
        <v>58555824.675849631</v>
      </c>
      <c r="O10" s="515">
        <v>46710057.798760742</v>
      </c>
      <c r="P10" s="515">
        <v>45102296.48684784</v>
      </c>
      <c r="Q10" s="515">
        <v>56757272.522340611</v>
      </c>
      <c r="R10" s="516"/>
      <c r="S10" s="515">
        <f>+SUM(F10:Q10)</f>
        <v>637276282.70648742</v>
      </c>
      <c r="T10" s="508"/>
      <c r="U10" s="509"/>
    </row>
    <row r="11" spans="1:21" ht="15.75" customHeight="1">
      <c r="A11" s="511">
        <f>+MAX($A$1:A10)+1</f>
        <v>2</v>
      </c>
      <c r="B11" s="506" t="s">
        <v>474</v>
      </c>
      <c r="D11" s="517" t="s">
        <v>475</v>
      </c>
      <c r="F11" s="515">
        <v>-3493265.0113966949</v>
      </c>
      <c r="G11" s="515">
        <v>-3234336.8795689428</v>
      </c>
      <c r="H11" s="515">
        <v>-3094789.5130778793</v>
      </c>
      <c r="I11" s="515">
        <v>-3251907.5121981511</v>
      </c>
      <c r="J11" s="515">
        <v>-3313836.2787783025</v>
      </c>
      <c r="K11" s="515">
        <v>-3963432.3393481141</v>
      </c>
      <c r="L11" s="515">
        <v>-4108346.0647709025</v>
      </c>
      <c r="M11" s="515">
        <v>-3907510.9462813819</v>
      </c>
      <c r="N11" s="515">
        <v>-3967993.6297000106</v>
      </c>
      <c r="O11" s="515">
        <v>-3408577.5600258065</v>
      </c>
      <c r="P11" s="515">
        <v>-2998650.363399257</v>
      </c>
      <c r="Q11" s="515">
        <v>-5377299.6586272605</v>
      </c>
      <c r="R11" s="516"/>
      <c r="S11" s="515">
        <f>+SUM(F11:Q11)</f>
        <v>-44119945.757172704</v>
      </c>
      <c r="T11" s="508"/>
      <c r="U11" s="509"/>
    </row>
    <row r="12" spans="1:21" ht="15.75" customHeight="1">
      <c r="A12" s="511">
        <f>+MAX($A$1:A11)+1</f>
        <v>3</v>
      </c>
      <c r="B12" s="506" t="s">
        <v>152</v>
      </c>
      <c r="D12" s="495" t="str">
        <f>"∑ Lines "&amp;$A$10&amp;":"&amp;$A$11&amp;""</f>
        <v>∑ Lines 1:2</v>
      </c>
      <c r="F12" s="518">
        <f>+SUM(F10:F11)</f>
        <v>51647877.462883905</v>
      </c>
      <c r="G12" s="518">
        <f>+SUM(G10:G11)</f>
        <v>45755483.573714487</v>
      </c>
      <c r="H12" s="518">
        <f>+SUM(H10:H11)</f>
        <v>45726065.509374537</v>
      </c>
      <c r="I12" s="518">
        <f t="shared" ref="I12:Q12" si="1">+SUM(I10:I11)</f>
        <v>41046252.785953701</v>
      </c>
      <c r="J12" s="518">
        <f t="shared" si="1"/>
        <v>44292752.307952896</v>
      </c>
      <c r="K12" s="518">
        <f t="shared" si="1"/>
        <v>56408129.452577285</v>
      </c>
      <c r="L12" s="518">
        <f t="shared" si="1"/>
        <v>58165433.475719668</v>
      </c>
      <c r="M12" s="518">
        <f t="shared" si="1"/>
        <v>58741412.109091669</v>
      </c>
      <c r="N12" s="518">
        <f t="shared" si="1"/>
        <v>54587831.046149619</v>
      </c>
      <c r="O12" s="518">
        <f t="shared" si="1"/>
        <v>43301480.238734938</v>
      </c>
      <c r="P12" s="518">
        <f t="shared" si="1"/>
        <v>42103646.123448581</v>
      </c>
      <c r="Q12" s="518">
        <f t="shared" si="1"/>
        <v>51379972.863713354</v>
      </c>
      <c r="R12" s="516"/>
      <c r="S12" s="518">
        <f>+SUM(F12:Q12)</f>
        <v>593156336.94931471</v>
      </c>
      <c r="T12" s="508"/>
      <c r="U12" s="509"/>
    </row>
    <row r="13" spans="1:21" ht="15.75" customHeight="1">
      <c r="A13" s="511"/>
      <c r="B13" s="506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6"/>
      <c r="S13" s="519"/>
      <c r="T13" s="508"/>
      <c r="U13" s="509"/>
    </row>
    <row r="14" spans="1:21" ht="15.75" customHeight="1">
      <c r="A14" s="511">
        <f>+MAX($A$1:A13)+1</f>
        <v>4</v>
      </c>
      <c r="B14" s="506" t="s">
        <v>476</v>
      </c>
      <c r="D14" s="517" t="s">
        <v>477</v>
      </c>
      <c r="F14" s="519">
        <v>2063132.6610000001</v>
      </c>
      <c r="G14" s="519">
        <v>1867959.2860000003</v>
      </c>
      <c r="H14" s="519">
        <v>1794839.949</v>
      </c>
      <c r="I14" s="519">
        <v>1756553.317</v>
      </c>
      <c r="J14" s="519">
        <v>1839830.868</v>
      </c>
      <c r="K14" s="519">
        <v>2229622.5310000004</v>
      </c>
      <c r="L14" s="519">
        <v>2444056.6940000001</v>
      </c>
      <c r="M14" s="519">
        <v>2297435.4369999999</v>
      </c>
      <c r="N14" s="519">
        <v>1886533.9569999999</v>
      </c>
      <c r="O14" s="519">
        <v>1839501.4950000001</v>
      </c>
      <c r="P14" s="519">
        <v>1822866.6059999999</v>
      </c>
      <c r="Q14" s="519">
        <v>2135055.0259999996</v>
      </c>
      <c r="R14" s="516"/>
      <c r="S14" s="519">
        <f>+SUM(F14:Q14)</f>
        <v>23977387.827</v>
      </c>
      <c r="T14" s="508"/>
      <c r="U14" s="509"/>
    </row>
    <row r="15" spans="1:21" ht="15.75" customHeight="1">
      <c r="A15" s="511"/>
      <c r="B15" s="506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16"/>
      <c r="S15" s="520"/>
      <c r="T15" s="508"/>
      <c r="U15" s="509"/>
    </row>
    <row r="16" spans="1:21" ht="15.75" customHeight="1">
      <c r="A16" s="511">
        <f>+MAX($A$1:A15)+1</f>
        <v>5</v>
      </c>
      <c r="B16" s="506" t="s">
        <v>478</v>
      </c>
      <c r="D16" s="495" t="str">
        <f>"Line "&amp;$A$12&amp;" / Line "&amp;$A$14&amp;""</f>
        <v>Line 3 / Line 4</v>
      </c>
      <c r="F16" s="482">
        <f>+F12/F14</f>
        <v>25.033716173079334</v>
      </c>
      <c r="G16" s="482">
        <f>+G12/G14</f>
        <v>24.494904100235555</v>
      </c>
      <c r="H16" s="482">
        <f t="shared" ref="H16:M16" si="2">+H12/H14</f>
        <v>25.476402803966415</v>
      </c>
      <c r="I16" s="482">
        <f t="shared" si="2"/>
        <v>23.367496100861992</v>
      </c>
      <c r="J16" s="482">
        <f t="shared" si="2"/>
        <v>24.074360898239313</v>
      </c>
      <c r="K16" s="482">
        <f t="shared" si="2"/>
        <v>25.299407710630671</v>
      </c>
      <c r="L16" s="482">
        <f t="shared" si="2"/>
        <v>23.79872513535059</v>
      </c>
      <c r="M16" s="482">
        <f t="shared" si="2"/>
        <v>25.56825369847887</v>
      </c>
      <c r="N16" s="482">
        <f>+N12/N14</f>
        <v>28.935514700703383</v>
      </c>
      <c r="O16" s="482">
        <f t="shared" ref="O16:P16" si="3">+O12/O14</f>
        <v>23.539790729408967</v>
      </c>
      <c r="P16" s="482">
        <f t="shared" si="3"/>
        <v>23.097491601888823</v>
      </c>
      <c r="Q16" s="482">
        <f>+Q12/Q14</f>
        <v>24.064940827297143</v>
      </c>
      <c r="R16" s="482"/>
      <c r="S16" s="482">
        <f>+S12/S14</f>
        <v>24.738155016260134</v>
      </c>
      <c r="T16" s="508"/>
      <c r="U16" s="509"/>
    </row>
    <row r="17" spans="1:21" ht="15.75" customHeight="1">
      <c r="A17" s="51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16"/>
      <c r="S17" s="521"/>
      <c r="T17" s="508"/>
      <c r="U17" s="509"/>
    </row>
    <row r="18" spans="1:21" ht="15.75" customHeight="1">
      <c r="A18" s="522" t="s">
        <v>479</v>
      </c>
      <c r="B18" s="523"/>
      <c r="C18" s="524"/>
      <c r="E18" s="524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16"/>
      <c r="S18" s="525"/>
      <c r="T18" s="508"/>
      <c r="U18" s="509"/>
    </row>
    <row r="19" spans="1:21" ht="15.75" customHeight="1">
      <c r="A19" s="522"/>
      <c r="B19" s="523"/>
      <c r="C19" s="524"/>
      <c r="E19" s="524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67">
        <f>+Q20/Q24</f>
        <v>26.564387387699345</v>
      </c>
      <c r="R19" s="516"/>
      <c r="S19" s="525"/>
      <c r="T19" s="508"/>
      <c r="U19" s="509"/>
    </row>
    <row r="20" spans="1:21" ht="15.75" customHeight="1">
      <c r="A20" s="511">
        <f>+MAX($A$1:A19)+1</f>
        <v>6</v>
      </c>
      <c r="B20" s="506" t="s">
        <v>472</v>
      </c>
      <c r="C20" s="510"/>
      <c r="D20" s="517" t="s">
        <v>480</v>
      </c>
      <c r="E20" s="512"/>
      <c r="F20" s="515">
        <v>52951274.091305241</v>
      </c>
      <c r="G20" s="515">
        <v>49340602.199419484</v>
      </c>
      <c r="H20" s="515">
        <v>52632441.352353275</v>
      </c>
      <c r="I20" s="515">
        <v>48247357.847752899</v>
      </c>
      <c r="J20" s="515">
        <v>49229411.982862458</v>
      </c>
      <c r="K20" s="515">
        <v>51883411.554273084</v>
      </c>
      <c r="L20" s="515">
        <v>60534576.222015001</v>
      </c>
      <c r="M20" s="515">
        <v>60895339.604102701</v>
      </c>
      <c r="N20" s="515">
        <v>49740054.401154719</v>
      </c>
      <c r="O20" s="515">
        <v>49325488.310134262</v>
      </c>
      <c r="P20" s="515">
        <v>49731889.450345367</v>
      </c>
      <c r="Q20" s="515">
        <v>53488152.98428151</v>
      </c>
      <c r="R20" s="515" t="e">
        <v>#REF!</v>
      </c>
      <c r="S20" s="515">
        <f>+SUM(F20:Q20)</f>
        <v>628000000</v>
      </c>
      <c r="T20" s="508"/>
      <c r="U20" s="526"/>
    </row>
    <row r="21" spans="1:21" ht="15.75" customHeight="1">
      <c r="A21" s="511">
        <f>+MAX($A$1:A20)+1</f>
        <v>7</v>
      </c>
      <c r="B21" s="506" t="s">
        <v>474</v>
      </c>
      <c r="C21" s="510"/>
      <c r="D21" s="517" t="s">
        <v>475</v>
      </c>
      <c r="E21" s="512"/>
      <c r="F21" s="515">
        <v>-3422346.376176998</v>
      </c>
      <c r="G21" s="515">
        <v>-3422346.376176998</v>
      </c>
      <c r="H21" s="515">
        <v>-3422346.376176998</v>
      </c>
      <c r="I21" s="515">
        <v>-3422346.376176998</v>
      </c>
      <c r="J21" s="515">
        <v>-3422346.376176998</v>
      </c>
      <c r="K21" s="515">
        <v>-3422346.376176998</v>
      </c>
      <c r="L21" s="515">
        <v>-3422346.376176998</v>
      </c>
      <c r="M21" s="515">
        <v>-3422346.376176998</v>
      </c>
      <c r="N21" s="515">
        <v>-3422346.376176998</v>
      </c>
      <c r="O21" s="515">
        <v>-3422346.376176998</v>
      </c>
      <c r="P21" s="515">
        <v>-3422346.376176998</v>
      </c>
      <c r="Q21" s="515">
        <v>-3422346.376176998</v>
      </c>
      <c r="R21" s="515" t="e">
        <v>#REF!</v>
      </c>
      <c r="S21" s="481">
        <f>+SUM(F21:Q21)</f>
        <v>-41068156.514123976</v>
      </c>
      <c r="T21" s="527"/>
      <c r="U21" s="509"/>
    </row>
    <row r="22" spans="1:21" ht="15.75" customHeight="1">
      <c r="A22" s="511">
        <f>+MAX($A$1:A21)+1</f>
        <v>8</v>
      </c>
      <c r="B22" s="506" t="s">
        <v>152</v>
      </c>
      <c r="C22" s="510"/>
      <c r="D22" s="495" t="str">
        <f>"∑ Lines "&amp;$A$20&amp;":"&amp;$A$21&amp;""</f>
        <v>∑ Lines 6:7</v>
      </c>
      <c r="E22" s="512"/>
      <c r="F22" s="518">
        <f>+SUM(F20:F21)</f>
        <v>49528927.715128243</v>
      </c>
      <c r="G22" s="518">
        <f>+SUM(G20:G21)</f>
        <v>45918255.823242486</v>
      </c>
      <c r="H22" s="518">
        <f>+SUM(H20:H21)</f>
        <v>49210094.976176277</v>
      </c>
      <c r="I22" s="518">
        <f t="shared" ref="I22:P22" si="4">+SUM(I20:I21)</f>
        <v>44825011.471575901</v>
      </c>
      <c r="J22" s="518">
        <f t="shared" si="4"/>
        <v>45807065.60668546</v>
      </c>
      <c r="K22" s="518">
        <f t="shared" si="4"/>
        <v>48461065.178096086</v>
      </c>
      <c r="L22" s="518">
        <f t="shared" si="4"/>
        <v>57112229.845838003</v>
      </c>
      <c r="M22" s="518">
        <f t="shared" si="4"/>
        <v>57472993.227925703</v>
      </c>
      <c r="N22" s="518">
        <f t="shared" si="4"/>
        <v>46317708.024977721</v>
      </c>
      <c r="O22" s="518">
        <f t="shared" si="4"/>
        <v>45903141.933957264</v>
      </c>
      <c r="P22" s="518">
        <f t="shared" si="4"/>
        <v>46309543.074168369</v>
      </c>
      <c r="Q22" s="518">
        <f>+SUM(Q20:Q21)</f>
        <v>50065806.608104512</v>
      </c>
      <c r="R22" s="516"/>
      <c r="S22" s="518">
        <f>+SUM(F22:Q22)</f>
        <v>586931843.48587608</v>
      </c>
      <c r="T22" s="508"/>
      <c r="U22" s="509"/>
    </row>
    <row r="23" spans="1:21" ht="15.75" customHeight="1">
      <c r="A23" s="511"/>
      <c r="B23" s="506"/>
      <c r="C23" s="510"/>
      <c r="E23" s="512"/>
      <c r="F23" s="519"/>
      <c r="G23" s="519"/>
      <c r="H23" s="519"/>
      <c r="I23" s="519"/>
      <c r="J23" s="519"/>
      <c r="K23" s="519"/>
      <c r="L23" s="519"/>
      <c r="M23" s="519"/>
      <c r="N23" s="519"/>
      <c r="O23" s="519"/>
      <c r="P23" s="519"/>
      <c r="Q23" s="519"/>
      <c r="R23" s="516"/>
      <c r="S23" s="519"/>
      <c r="T23" s="508"/>
      <c r="U23" s="509"/>
    </row>
    <row r="24" spans="1:21" ht="15.75" customHeight="1">
      <c r="A24" s="511">
        <f>+MAX($A$1:A23)+1</f>
        <v>9</v>
      </c>
      <c r="B24" s="506" t="s">
        <v>476</v>
      </c>
      <c r="C24" s="510"/>
      <c r="D24" s="517"/>
      <c r="E24" s="512"/>
      <c r="F24" s="519">
        <v>2020369.6340750149</v>
      </c>
      <c r="G24" s="519">
        <v>1829853.6334000006</v>
      </c>
      <c r="H24" s="519">
        <v>1902391.4871999996</v>
      </c>
      <c r="I24" s="519">
        <v>1832113.2551000002</v>
      </c>
      <c r="J24" s="519">
        <v>1821070.3979</v>
      </c>
      <c r="K24" s="519">
        <v>1903418.8341139755</v>
      </c>
      <c r="L24" s="519">
        <v>2191141.30568837</v>
      </c>
      <c r="M24" s="519">
        <v>2157502.0906118797</v>
      </c>
      <c r="N24" s="519">
        <v>1865836.6002939758</v>
      </c>
      <c r="O24" s="519">
        <v>1829380.8936000003</v>
      </c>
      <c r="P24" s="519">
        <v>1877678.2182000002</v>
      </c>
      <c r="Q24" s="519">
        <v>2013528.5713025413</v>
      </c>
      <c r="R24" s="516"/>
      <c r="S24" s="519">
        <f>+SUM(F24:Q24)</f>
        <v>23244284.921485759</v>
      </c>
      <c r="T24" s="508"/>
      <c r="U24" s="509"/>
    </row>
    <row r="25" spans="1:21" ht="15.75" customHeight="1">
      <c r="A25" s="511"/>
      <c r="B25" s="506"/>
      <c r="C25" s="510"/>
      <c r="E25" s="512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16"/>
      <c r="S25" s="520"/>
      <c r="T25" s="508"/>
      <c r="U25" s="509"/>
    </row>
    <row r="26" spans="1:21" ht="15.75" customHeight="1">
      <c r="A26" s="511">
        <f>+MAX($A$1:A25)+1</f>
        <v>10</v>
      </c>
      <c r="B26" s="506" t="s">
        <v>481</v>
      </c>
      <c r="C26" s="510"/>
      <c r="D26" s="495" t="str">
        <f>"Line "&amp;$A$22&amp;" / Line "&amp;$A$24&amp;""</f>
        <v>Line 8 / Line 9</v>
      </c>
      <c r="E26" s="512"/>
      <c r="F26" s="482">
        <f>+F22/F24</f>
        <v>24.514785255027878</v>
      </c>
      <c r="G26" s="482">
        <f>+G22/G24</f>
        <v>25.093950130821685</v>
      </c>
      <c r="H26" s="482">
        <f>+H22/H24</f>
        <v>25.867491159038597</v>
      </c>
      <c r="I26" s="482">
        <f t="shared" ref="I26:P26" si="5">+I22/I24</f>
        <v>24.46628850416197</v>
      </c>
      <c r="J26" s="482">
        <f t="shared" si="5"/>
        <v>25.15392357127363</v>
      </c>
      <c r="K26" s="482">
        <f t="shared" si="5"/>
        <v>25.460011380340408</v>
      </c>
      <c r="L26" s="482">
        <f t="shared" si="5"/>
        <v>26.065060111627805</v>
      </c>
      <c r="M26" s="482">
        <f t="shared" si="5"/>
        <v>26.63867324996475</v>
      </c>
      <c r="N26" s="482">
        <f t="shared" si="5"/>
        <v>24.824096610432036</v>
      </c>
      <c r="O26" s="482">
        <f t="shared" si="5"/>
        <v>25.092173037636485</v>
      </c>
      <c r="P26" s="482">
        <f t="shared" si="5"/>
        <v>24.663194484176376</v>
      </c>
      <c r="Q26" s="482">
        <f>+Q22/Q24</f>
        <v>24.864711294221763</v>
      </c>
      <c r="R26" s="516"/>
      <c r="S26" s="482">
        <f>+S22/S24</f>
        <v>25.250587207496672</v>
      </c>
      <c r="T26" s="508"/>
      <c r="U26" s="509"/>
    </row>
    <row r="27" spans="1:21" ht="15.75" customHeight="1">
      <c r="A27" s="511"/>
      <c r="B27" s="528"/>
      <c r="C27" s="510"/>
      <c r="E27" s="512"/>
      <c r="F27" s="520"/>
      <c r="G27" s="520"/>
      <c r="H27" s="520"/>
      <c r="I27" s="520"/>
      <c r="J27" s="520"/>
      <c r="K27" s="520"/>
      <c r="L27" s="520"/>
      <c r="M27" s="520"/>
      <c r="N27" s="520"/>
      <c r="O27" s="520"/>
      <c r="P27" s="520"/>
      <c r="Q27" s="520"/>
      <c r="R27" s="516"/>
      <c r="S27" s="520"/>
      <c r="T27" s="508"/>
      <c r="U27" s="509"/>
    </row>
    <row r="28" spans="1:21" ht="15.75" customHeight="1">
      <c r="A28" s="510" t="s">
        <v>482</v>
      </c>
      <c r="B28" s="528"/>
      <c r="C28" s="510"/>
      <c r="E28" s="512"/>
      <c r="F28" s="520"/>
      <c r="G28" s="520"/>
      <c r="H28" s="520"/>
      <c r="I28" s="520"/>
      <c r="J28" s="520"/>
      <c r="K28" s="520"/>
      <c r="L28" s="520"/>
      <c r="M28" s="520"/>
      <c r="N28" s="520"/>
      <c r="O28" s="520"/>
      <c r="P28" s="520"/>
      <c r="Q28" s="520"/>
      <c r="R28" s="516"/>
      <c r="S28" s="520"/>
      <c r="T28" s="508"/>
      <c r="U28" s="509"/>
    </row>
    <row r="29" spans="1:21" ht="15.75" customHeight="1">
      <c r="A29" s="510"/>
      <c r="B29" s="528"/>
      <c r="C29" s="510"/>
      <c r="E29" s="512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0"/>
      <c r="Q29" s="520"/>
      <c r="R29" s="516"/>
      <c r="S29" s="520"/>
      <c r="T29" s="508"/>
      <c r="U29" s="509"/>
    </row>
    <row r="30" spans="1:21" ht="15.75" customHeight="1">
      <c r="A30" s="511">
        <f>+MAX($A$1:A28)+1</f>
        <v>11</v>
      </c>
      <c r="B30" s="506" t="s">
        <v>483</v>
      </c>
      <c r="C30" s="510"/>
      <c r="D30" s="495" t="str">
        <f>"Line "&amp;$A$16&amp;" - Line "&amp;$A$26&amp;""</f>
        <v>Line 5 - Line 10</v>
      </c>
      <c r="E30" s="512"/>
      <c r="F30" s="483">
        <f>+F16-F26</f>
        <v>0.5189309180514563</v>
      </c>
      <c r="G30" s="483">
        <f t="shared" ref="G30:O30" si="6">+G16-G26</f>
        <v>-0.59904603058613048</v>
      </c>
      <c r="H30" s="483">
        <f t="shared" si="6"/>
        <v>-0.39108835507218132</v>
      </c>
      <c r="I30" s="483">
        <f t="shared" si="6"/>
        <v>-1.0987924032999778</v>
      </c>
      <c r="J30" s="483">
        <f t="shared" si="6"/>
        <v>-1.0795626730343173</v>
      </c>
      <c r="K30" s="483">
        <f t="shared" si="6"/>
        <v>-0.16060366970973661</v>
      </c>
      <c r="L30" s="483">
        <f t="shared" si="6"/>
        <v>-2.2663349762772143</v>
      </c>
      <c r="M30" s="483">
        <f t="shared" si="6"/>
        <v>-1.0704195514858803</v>
      </c>
      <c r="N30" s="483">
        <f t="shared" si="6"/>
        <v>4.1114180902713464</v>
      </c>
      <c r="O30" s="483">
        <f t="shared" si="6"/>
        <v>-1.5523823082275179</v>
      </c>
      <c r="P30" s="483">
        <f>+P16-P26</f>
        <v>-1.5657028822875532</v>
      </c>
      <c r="Q30" s="483">
        <f>+Q16-Q26</f>
        <v>-0.79977046692462039</v>
      </c>
      <c r="R30" s="483"/>
      <c r="S30" s="483">
        <f>+S16-S26</f>
        <v>-0.51243219123653816</v>
      </c>
      <c r="T30" s="508"/>
      <c r="U30" s="509"/>
    </row>
    <row r="31" spans="1:21" ht="15.75" customHeight="1">
      <c r="A31" s="511"/>
      <c r="B31" s="506"/>
      <c r="C31" s="510"/>
      <c r="E31" s="512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516"/>
      <c r="S31" s="484"/>
      <c r="T31" s="508"/>
      <c r="U31" s="509"/>
    </row>
    <row r="32" spans="1:21" ht="15.75" customHeight="1">
      <c r="A32" s="511">
        <f>+MAX($A$1:A31)+1</f>
        <v>12</v>
      </c>
      <c r="B32" s="506" t="s">
        <v>445</v>
      </c>
      <c r="C32" s="510"/>
      <c r="D32" s="495" t="str">
        <f>"Line "&amp;$A$14&amp;" * Line "&amp;$A$30&amp;""</f>
        <v>Line 4 * Line 11</v>
      </c>
      <c r="E32" s="512"/>
      <c r="F32" s="515">
        <f>+F30*F14</f>
        <v>1070623.3258346741</v>
      </c>
      <c r="G32" s="515">
        <f t="shared" ref="G32:P32" si="7">+G30*G14</f>
        <v>-1118993.5955748027</v>
      </c>
      <c r="H32" s="515">
        <f t="shared" si="7"/>
        <v>-701941.00327224785</v>
      </c>
      <c r="I32" s="515">
        <f t="shared" si="7"/>
        <v>-1930087.4407109779</v>
      </c>
      <c r="J32" s="515">
        <f t="shared" si="7"/>
        <v>-1986212.7297891283</v>
      </c>
      <c r="K32" s="515">
        <f t="shared" si="7"/>
        <v>-358085.56054611102</v>
      </c>
      <c r="L32" s="515">
        <f t="shared" si="7"/>
        <v>-5539051.1696166573</v>
      </c>
      <c r="M32" s="515">
        <f t="shared" si="7"/>
        <v>-2459219.8100413075</v>
      </c>
      <c r="N32" s="515">
        <f t="shared" si="7"/>
        <v>7756329.8387209857</v>
      </c>
      <c r="O32" s="515">
        <f t="shared" si="7"/>
        <v>-2855609.5767960702</v>
      </c>
      <c r="P32" s="515">
        <f t="shared" si="7"/>
        <v>-2854067.4990399294</v>
      </c>
      <c r="Q32" s="515">
        <f>+Q30*Q14</f>
        <v>-1707553.9550537772</v>
      </c>
      <c r="R32" s="516"/>
      <c r="S32" s="515">
        <f>+SUM(F32:Q32)</f>
        <v>-12683869.17588535</v>
      </c>
      <c r="T32" s="508"/>
      <c r="U32" s="509"/>
    </row>
    <row r="33" spans="1:21" ht="15.75" customHeight="1">
      <c r="A33" s="511"/>
      <c r="B33" s="506"/>
      <c r="C33" s="510"/>
      <c r="E33" s="512"/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520"/>
      <c r="Q33" s="520"/>
      <c r="R33" s="516"/>
      <c r="S33" s="520"/>
      <c r="T33" s="508"/>
      <c r="U33" s="509"/>
    </row>
    <row r="34" spans="1:21" ht="15.75" customHeight="1">
      <c r="A34" s="511">
        <f>+MAX($A$1:A33)+1</f>
        <v>13</v>
      </c>
      <c r="B34" s="506" t="s">
        <v>484</v>
      </c>
      <c r="C34" s="510"/>
      <c r="D34" s="495" t="str">
        <f>"Line "&amp;A32&amp;" * 70%"</f>
        <v>Line 12 * 70%</v>
      </c>
      <c r="E34" s="512"/>
      <c r="F34" s="529">
        <f>F32*0.7</f>
        <v>749436.32808427175</v>
      </c>
      <c r="G34" s="529">
        <f>G32*0.7</f>
        <v>-783295.51690236188</v>
      </c>
      <c r="H34" s="529">
        <f>H32*0.7</f>
        <v>-491358.70229057345</v>
      </c>
      <c r="I34" s="529">
        <f t="shared" ref="I34:J34" si="8">I32*0.7</f>
        <v>-1351061.2084976844</v>
      </c>
      <c r="J34" s="529">
        <f t="shared" si="8"/>
        <v>-1390348.9108523896</v>
      </c>
      <c r="K34" s="530"/>
      <c r="L34" s="530"/>
      <c r="M34" s="530"/>
      <c r="N34" s="530"/>
      <c r="O34" s="530"/>
      <c r="P34" s="530"/>
      <c r="Q34" s="530"/>
      <c r="R34" s="531"/>
      <c r="S34" s="529">
        <f>+SUM(F34:Q34)</f>
        <v>-3266628.0104587376</v>
      </c>
      <c r="T34" s="508"/>
      <c r="U34" s="509"/>
    </row>
    <row r="35" spans="1:21" ht="15.75" customHeight="1">
      <c r="A35" s="511"/>
      <c r="B35" s="506"/>
      <c r="C35" s="510"/>
      <c r="E35" s="512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16"/>
      <c r="S35" s="530"/>
      <c r="T35" s="508"/>
      <c r="U35" s="509"/>
    </row>
    <row r="36" spans="1:21" ht="31.5">
      <c r="A36" s="511">
        <f>+MAX($A$1:A35)+1</f>
        <v>14</v>
      </c>
      <c r="B36" s="506" t="s">
        <v>505</v>
      </c>
      <c r="C36" s="510"/>
      <c r="D36" s="495" t="str">
        <f>"Line "&amp;A32</f>
        <v>Line 12</v>
      </c>
      <c r="E36" s="512"/>
      <c r="F36" s="530"/>
      <c r="G36" s="530"/>
      <c r="H36" s="530"/>
      <c r="I36" s="530"/>
      <c r="J36" s="530"/>
      <c r="K36" s="529">
        <f>+K32</f>
        <v>-358085.56054611102</v>
      </c>
      <c r="L36" s="529">
        <f t="shared" ref="L36:M36" si="9">+L32</f>
        <v>-5539051.1696166573</v>
      </c>
      <c r="M36" s="529">
        <f t="shared" si="9"/>
        <v>-2459219.8100413075</v>
      </c>
      <c r="N36" s="529">
        <f>+N32</f>
        <v>7756329.8387209857</v>
      </c>
      <c r="O36" s="529">
        <f t="shared" ref="O36:P36" si="10">+O32</f>
        <v>-2855609.5767960702</v>
      </c>
      <c r="P36" s="529">
        <f t="shared" si="10"/>
        <v>-2854067.4990399294</v>
      </c>
      <c r="Q36" s="529">
        <f>+Q32</f>
        <v>-1707553.9550537772</v>
      </c>
      <c r="R36" s="516"/>
      <c r="S36" s="529">
        <f>SUM(K36:Q36)</f>
        <v>-8017257.7323728679</v>
      </c>
      <c r="T36" s="508"/>
      <c r="U36" s="509"/>
    </row>
    <row r="37" spans="1:21" ht="15.75" customHeight="1">
      <c r="A37" s="511"/>
      <c r="B37" s="506"/>
      <c r="C37" s="510"/>
      <c r="E37" s="512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16"/>
      <c r="S37" s="530"/>
      <c r="T37" s="508"/>
      <c r="U37" s="509"/>
    </row>
    <row r="38" spans="1:21" ht="28.5" customHeight="1">
      <c r="A38" s="511">
        <f>+MAX($A$1:A37)+1</f>
        <v>15</v>
      </c>
      <c r="B38" s="532" t="s">
        <v>485</v>
      </c>
      <c r="C38" s="510"/>
      <c r="D38" s="495" t="s">
        <v>486</v>
      </c>
      <c r="E38" s="512"/>
      <c r="F38" s="533">
        <v>-173509.10170788027</v>
      </c>
      <c r="G38" s="533">
        <v>-273505.96514890925</v>
      </c>
      <c r="H38" s="533">
        <v>-97631.942732214724</v>
      </c>
      <c r="I38" s="533">
        <v>-13065.20822934448</v>
      </c>
      <c r="J38" s="533">
        <v>-177624.09168946519</v>
      </c>
      <c r="K38" s="533"/>
      <c r="L38" s="533"/>
      <c r="M38" s="533"/>
      <c r="N38" s="533"/>
      <c r="O38" s="533"/>
      <c r="P38" s="533"/>
      <c r="Q38" s="533"/>
      <c r="R38" s="533"/>
      <c r="S38" s="533">
        <f>+SUM(F38:Q38)</f>
        <v>-735336.30950781389</v>
      </c>
      <c r="T38" s="508"/>
      <c r="U38" s="509"/>
    </row>
    <row r="39" spans="1:21" ht="15.75" customHeight="1">
      <c r="A39" s="511">
        <f>+MAX($A$1:A38)+1</f>
        <v>16</v>
      </c>
      <c r="B39" s="532" t="s">
        <v>487</v>
      </c>
      <c r="C39" s="510"/>
      <c r="D39" s="495" t="s">
        <v>486</v>
      </c>
      <c r="E39" s="512"/>
      <c r="F39" s="533">
        <v>-245155</v>
      </c>
      <c r="G39" s="533">
        <v>-245155</v>
      </c>
      <c r="H39" s="533">
        <v>-245155</v>
      </c>
      <c r="I39" s="533">
        <v>-245155</v>
      </c>
      <c r="J39" s="533">
        <v>-245155</v>
      </c>
      <c r="K39" s="533">
        <v>-245155</v>
      </c>
      <c r="L39" s="533">
        <v>-245155</v>
      </c>
      <c r="M39" s="533">
        <v>-245155</v>
      </c>
      <c r="N39" s="533">
        <v>-245155</v>
      </c>
      <c r="O39" s="533">
        <v>-245155</v>
      </c>
      <c r="P39" s="533">
        <v>-245155</v>
      </c>
      <c r="Q39" s="533">
        <v>-245155</v>
      </c>
      <c r="R39" s="533"/>
      <c r="S39" s="533">
        <v>-2941860</v>
      </c>
      <c r="T39" s="508"/>
      <c r="U39" s="509"/>
    </row>
    <row r="40" spans="1:21" ht="15.75" customHeight="1">
      <c r="A40" s="511"/>
      <c r="B40" s="532"/>
      <c r="C40" s="510"/>
      <c r="E40" s="512"/>
      <c r="F40" s="533"/>
      <c r="G40" s="533"/>
      <c r="H40" s="533"/>
      <c r="I40" s="533"/>
      <c r="J40" s="533"/>
      <c r="K40" s="533"/>
      <c r="L40" s="533"/>
      <c r="M40" s="533"/>
      <c r="N40" s="533"/>
      <c r="O40" s="533"/>
      <c r="P40" s="533"/>
      <c r="Q40" s="533"/>
      <c r="R40" s="533"/>
      <c r="S40" s="533"/>
      <c r="T40" s="508"/>
      <c r="U40" s="509"/>
    </row>
    <row r="41" spans="1:21" ht="15.75" customHeight="1">
      <c r="A41" s="534" t="s">
        <v>522</v>
      </c>
      <c r="B41" s="532"/>
      <c r="C41" s="510"/>
      <c r="E41" s="512"/>
      <c r="F41" s="533"/>
      <c r="G41" s="533"/>
      <c r="H41" s="533"/>
      <c r="I41" s="533"/>
      <c r="J41" s="533"/>
      <c r="K41" s="533"/>
      <c r="L41" s="533"/>
      <c r="M41" s="533"/>
      <c r="N41" s="533"/>
      <c r="O41" s="533"/>
      <c r="P41" s="533"/>
      <c r="Q41" s="533"/>
      <c r="R41" s="533"/>
      <c r="S41" s="533"/>
      <c r="T41" s="508"/>
      <c r="U41" s="509"/>
    </row>
    <row r="42" spans="1:21" ht="15.75" customHeight="1">
      <c r="A42" s="511"/>
      <c r="B42" s="532"/>
      <c r="C42" s="510"/>
      <c r="E42" s="512"/>
      <c r="F42" s="533"/>
      <c r="G42" s="533"/>
      <c r="H42" s="533"/>
      <c r="I42" s="533"/>
      <c r="J42" s="533"/>
      <c r="K42" s="533"/>
      <c r="L42" s="533"/>
      <c r="M42" s="533"/>
      <c r="N42" s="533"/>
      <c r="O42" s="533"/>
      <c r="P42" s="533"/>
      <c r="Q42" s="533"/>
      <c r="R42" s="533"/>
      <c r="S42" s="533"/>
      <c r="T42" s="508"/>
      <c r="U42" s="509"/>
    </row>
    <row r="43" spans="1:21" ht="15.75" customHeight="1">
      <c r="A43" s="511">
        <f>+MAX($A$1:A42)+1</f>
        <v>17</v>
      </c>
      <c r="B43" s="535" t="s">
        <v>523</v>
      </c>
      <c r="C43" s="510"/>
      <c r="D43" s="495" t="s">
        <v>506</v>
      </c>
      <c r="E43" s="512"/>
      <c r="F43" s="536"/>
      <c r="G43" s="533"/>
      <c r="H43" s="533"/>
      <c r="I43" s="533"/>
      <c r="J43" s="533"/>
      <c r="K43" s="533"/>
      <c r="L43" s="533"/>
      <c r="M43" s="533"/>
      <c r="N43" s="533"/>
      <c r="O43" s="533"/>
      <c r="P43" s="533"/>
      <c r="Q43" s="536">
        <v>58293.700000000019</v>
      </c>
      <c r="R43" s="533"/>
      <c r="S43" s="519">
        <f>+SUM(F43:Q43)</f>
        <v>58293.700000000019</v>
      </c>
      <c r="T43" s="508"/>
      <c r="U43" s="509"/>
    </row>
    <row r="44" spans="1:21" ht="15.75" customHeight="1">
      <c r="A44" s="511">
        <f>+MAX($A$1:A43)+1</f>
        <v>18</v>
      </c>
      <c r="B44" s="535" t="s">
        <v>524</v>
      </c>
      <c r="C44" s="510"/>
      <c r="D44" s="495" t="s">
        <v>506</v>
      </c>
      <c r="E44" s="512"/>
      <c r="F44" s="537"/>
      <c r="G44" s="537"/>
      <c r="H44" s="537"/>
      <c r="I44" s="537"/>
      <c r="J44" s="537"/>
      <c r="K44" s="537"/>
      <c r="L44" s="537"/>
      <c r="M44" s="537"/>
      <c r="N44" s="537"/>
      <c r="O44" s="537"/>
      <c r="P44" s="537"/>
      <c r="Q44" s="568">
        <v>30.507942036617948</v>
      </c>
      <c r="R44" s="533"/>
      <c r="S44" s="533"/>
      <c r="T44" s="508"/>
      <c r="U44" s="509"/>
    </row>
    <row r="45" spans="1:21" ht="15.75" customHeight="1">
      <c r="A45" s="511">
        <f>+MAX($A$1:A44)+1</f>
        <v>19</v>
      </c>
      <c r="B45" s="535" t="s">
        <v>507</v>
      </c>
      <c r="C45" s="510"/>
      <c r="D45" s="538" t="str">
        <f>"Line "&amp;$A$20&amp;" / Line "&amp;$A$24&amp;""</f>
        <v>Line 6 / Line 9</v>
      </c>
      <c r="E45" s="512"/>
      <c r="F45" s="537"/>
      <c r="G45" s="537"/>
      <c r="H45" s="537"/>
      <c r="I45" s="537"/>
      <c r="J45" s="537"/>
      <c r="K45" s="537"/>
      <c r="L45" s="537"/>
      <c r="M45" s="537"/>
      <c r="N45" s="537"/>
      <c r="O45" s="537"/>
      <c r="P45" s="537"/>
      <c r="Q45" s="568">
        <v>26.564387387699345</v>
      </c>
      <c r="R45" s="533"/>
      <c r="S45" s="533"/>
      <c r="T45" s="508"/>
      <c r="U45" s="509"/>
    </row>
    <row r="46" spans="1:21" ht="15.75" customHeight="1">
      <c r="A46" s="511">
        <f>+MAX($A$1:A45)+1</f>
        <v>20</v>
      </c>
      <c r="B46" s="535" t="s">
        <v>525</v>
      </c>
      <c r="C46" s="510"/>
      <c r="D46" s="538" t="str">
        <f>"Line "&amp;$A$45&amp;" - Line "&amp;$A$44&amp;""</f>
        <v>Line 19 - Line 18</v>
      </c>
      <c r="E46" s="512"/>
      <c r="F46" s="537"/>
      <c r="G46" s="537"/>
      <c r="H46" s="537"/>
      <c r="I46" s="537"/>
      <c r="J46" s="537"/>
      <c r="K46" s="537"/>
      <c r="L46" s="537"/>
      <c r="M46" s="537"/>
      <c r="N46" s="537"/>
      <c r="O46" s="537"/>
      <c r="P46" s="537"/>
      <c r="Q46" s="569">
        <f>Q45-Q44</f>
        <v>-3.9435546489186031</v>
      </c>
      <c r="R46" s="533"/>
      <c r="S46" s="539"/>
      <c r="T46" s="508"/>
      <c r="U46" s="509"/>
    </row>
    <row r="47" spans="1:21" ht="15.75" customHeight="1">
      <c r="A47" s="511">
        <f>+MAX($A$1:A46)+1</f>
        <v>21</v>
      </c>
      <c r="B47" s="535" t="s">
        <v>526</v>
      </c>
      <c r="C47" s="510"/>
      <c r="D47" s="538" t="str">
        <f>"Line "&amp;$A$46&amp;" * Line "&amp;$A$43&amp;""</f>
        <v>Line 20 * Line 17</v>
      </c>
      <c r="E47" s="512"/>
      <c r="F47" s="540"/>
      <c r="G47" s="540"/>
      <c r="H47" s="540"/>
      <c r="I47" s="540"/>
      <c r="J47" s="540"/>
      <c r="K47" s="540"/>
      <c r="L47" s="540"/>
      <c r="M47" s="540"/>
      <c r="N47" s="540"/>
      <c r="O47" s="540"/>
      <c r="P47" s="540"/>
      <c r="Q47" s="570">
        <f>Q43*Q46</f>
        <v>-229884.39163766644</v>
      </c>
      <c r="R47" s="533"/>
      <c r="S47" s="533">
        <f>SUM(F47:Q47)</f>
        <v>-229884.39163766644</v>
      </c>
      <c r="T47" s="508"/>
      <c r="U47" s="509"/>
    </row>
    <row r="48" spans="1:21" ht="15.75" customHeight="1">
      <c r="A48" s="511">
        <f>+MAX($A$1:A47)+1</f>
        <v>22</v>
      </c>
      <c r="B48" s="541" t="s">
        <v>508</v>
      </c>
      <c r="C48" s="510"/>
      <c r="D48" s="495" t="s">
        <v>509</v>
      </c>
      <c r="E48" s="512"/>
      <c r="F48" s="542"/>
      <c r="G48" s="539"/>
      <c r="H48" s="539"/>
      <c r="I48" s="539"/>
      <c r="J48" s="539"/>
      <c r="K48" s="539"/>
      <c r="L48" s="539"/>
      <c r="M48" s="539"/>
      <c r="N48" s="539"/>
      <c r="O48" s="539"/>
      <c r="P48" s="539"/>
      <c r="Q48" s="571">
        <f>IF(Q47&lt;0,-350000/12,350000/12)</f>
        <v>-29166.666666666668</v>
      </c>
      <c r="R48" s="533"/>
      <c r="S48" s="539">
        <f>+SUM(F48:Q48)</f>
        <v>-29166.666666666668</v>
      </c>
      <c r="T48" s="508"/>
      <c r="U48" s="509"/>
    </row>
    <row r="49" spans="1:21" ht="15.75" customHeight="1">
      <c r="A49" s="511">
        <f>+MAX($A$1:A48)+1</f>
        <v>23</v>
      </c>
      <c r="B49" s="535" t="s">
        <v>527</v>
      </c>
      <c r="C49" s="510"/>
      <c r="D49" s="538" t="str">
        <f>"Line "&amp;$A$47&amp;" - Line "&amp;$A$48&amp;""</f>
        <v>Line 21 - Line 22</v>
      </c>
      <c r="E49" s="512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72">
        <f>Q47-Q48</f>
        <v>-200717.72497099979</v>
      </c>
      <c r="R49" s="533"/>
      <c r="S49" s="533">
        <f>+SUM(F49:Q49)</f>
        <v>-200717.72497099979</v>
      </c>
      <c r="T49" s="508"/>
      <c r="U49" s="509"/>
    </row>
    <row r="50" spans="1:21">
      <c r="A50" s="511"/>
      <c r="B50" s="532"/>
      <c r="C50" s="510"/>
      <c r="E50" s="512"/>
      <c r="F50" s="530"/>
      <c r="G50" s="530"/>
      <c r="H50" s="530"/>
      <c r="I50" s="530"/>
      <c r="J50" s="530"/>
      <c r="K50" s="530"/>
      <c r="L50" s="530"/>
      <c r="M50" s="530"/>
      <c r="N50" s="530"/>
      <c r="O50" s="530"/>
      <c r="P50" s="530"/>
      <c r="Q50" s="530"/>
      <c r="R50" s="530"/>
      <c r="S50" s="530"/>
      <c r="T50" s="508"/>
      <c r="U50" s="509"/>
    </row>
    <row r="51" spans="1:21">
      <c r="A51" s="511">
        <f>+MAX($A$1:A50)+1</f>
        <v>24</v>
      </c>
      <c r="B51" s="532" t="s">
        <v>488</v>
      </c>
      <c r="C51" s="510"/>
      <c r="D51" s="495" t="str">
        <f>"∑ Lines "&amp;$A$34&amp;":"&amp;$A$39&amp;" and Line "&amp;A49&amp;""</f>
        <v>∑ Lines 13:16 and Line 23</v>
      </c>
      <c r="E51" s="512"/>
      <c r="F51" s="529">
        <f>+F34+F38+F39+F49</f>
        <v>330772.22637639148</v>
      </c>
      <c r="G51" s="529">
        <f>+G34+G38+G39+G49</f>
        <v>-1301956.482051271</v>
      </c>
      <c r="H51" s="529">
        <f>+H34+H38+H39+H49</f>
        <v>-834145.6450227882</v>
      </c>
      <c r="I51" s="529">
        <f>+I34+I38+I39+I49</f>
        <v>-1609281.416727029</v>
      </c>
      <c r="J51" s="529">
        <f>+J34+J38+J39+J49</f>
        <v>-1813128.0025418547</v>
      </c>
      <c r="K51" s="529">
        <f t="shared" ref="K51:P51" si="11">+K36+K38+K39+K49</f>
        <v>-603240.56054611108</v>
      </c>
      <c r="L51" s="529">
        <f t="shared" si="11"/>
        <v>-5784206.1696166573</v>
      </c>
      <c r="M51" s="529">
        <f t="shared" si="11"/>
        <v>-2704374.8100413075</v>
      </c>
      <c r="N51" s="529">
        <f t="shared" si="11"/>
        <v>7511174.8387209857</v>
      </c>
      <c r="O51" s="529">
        <f t="shared" si="11"/>
        <v>-3100764.5767960702</v>
      </c>
      <c r="P51" s="529">
        <f t="shared" si="11"/>
        <v>-3099222.4990399294</v>
      </c>
      <c r="Q51" s="529">
        <f>+Q36+Q38+Q39+Q49</f>
        <v>-2153426.6800247771</v>
      </c>
      <c r="R51" s="530"/>
      <c r="S51" s="529">
        <f>+SUM(F51:Q51)</f>
        <v>-15161799.77731042</v>
      </c>
      <c r="T51" s="508"/>
      <c r="U51" s="509"/>
    </row>
    <row r="52" spans="1:21" ht="15.75" customHeight="1">
      <c r="A52" s="511"/>
      <c r="B52" s="506"/>
      <c r="C52" s="510"/>
      <c r="E52" s="512"/>
      <c r="F52" s="530"/>
      <c r="G52" s="530"/>
      <c r="H52" s="530"/>
      <c r="I52" s="530"/>
      <c r="J52" s="530"/>
      <c r="K52" s="530"/>
      <c r="L52" s="530"/>
      <c r="M52" s="530"/>
      <c r="N52" s="530"/>
      <c r="O52" s="530"/>
      <c r="P52" s="530"/>
      <c r="Q52" s="530"/>
      <c r="R52" s="516"/>
      <c r="S52" s="530"/>
      <c r="T52" s="508"/>
      <c r="U52" s="509"/>
    </row>
    <row r="53" spans="1:21" ht="15.75" customHeight="1">
      <c r="A53" s="510" t="s">
        <v>489</v>
      </c>
      <c r="B53" s="528"/>
      <c r="C53" s="510"/>
      <c r="E53" s="512"/>
      <c r="F53" s="520"/>
      <c r="G53" s="520"/>
      <c r="H53" s="520"/>
      <c r="I53" s="520"/>
      <c r="J53" s="520"/>
      <c r="K53" s="520"/>
      <c r="L53" s="520"/>
      <c r="M53" s="520"/>
      <c r="N53" s="520"/>
      <c r="O53" s="520"/>
      <c r="P53" s="520"/>
      <c r="Q53" s="520"/>
      <c r="R53" s="516"/>
      <c r="S53" s="520"/>
      <c r="T53" s="508"/>
      <c r="U53" s="509"/>
    </row>
    <row r="54" spans="1:21" ht="15.75" customHeight="1">
      <c r="A54" s="511"/>
      <c r="B54" s="528"/>
      <c r="C54" s="543"/>
      <c r="E54" s="544"/>
      <c r="F54" s="520"/>
      <c r="G54" s="520"/>
      <c r="H54" s="520"/>
      <c r="I54" s="520"/>
      <c r="J54" s="520"/>
      <c r="K54" s="520"/>
      <c r="L54" s="520"/>
      <c r="M54" s="520"/>
      <c r="N54" s="520"/>
      <c r="O54" s="520"/>
      <c r="P54" s="520"/>
      <c r="Q54" s="520"/>
      <c r="R54" s="516"/>
      <c r="S54" s="520"/>
      <c r="T54" s="545"/>
      <c r="U54" s="509"/>
    </row>
    <row r="55" spans="1:21" ht="15.75" customHeight="1">
      <c r="A55" s="511">
        <f>+MAX($A$1:A54)+1</f>
        <v>25</v>
      </c>
      <c r="B55" s="506" t="s">
        <v>490</v>
      </c>
      <c r="C55" s="546"/>
      <c r="D55" s="495" t="s">
        <v>491</v>
      </c>
      <c r="E55" s="547"/>
      <c r="F55" s="548">
        <v>5.0000000000000001E-3</v>
      </c>
      <c r="G55" s="548">
        <f>+F55</f>
        <v>5.0000000000000001E-3</v>
      </c>
      <c r="H55" s="548">
        <f t="shared" ref="H55:M55" si="12">+G55</f>
        <v>5.0000000000000001E-3</v>
      </c>
      <c r="I55" s="548">
        <f t="shared" si="12"/>
        <v>5.0000000000000001E-3</v>
      </c>
      <c r="J55" s="548">
        <f t="shared" si="12"/>
        <v>5.0000000000000001E-3</v>
      </c>
      <c r="K55" s="548">
        <f t="shared" si="12"/>
        <v>5.0000000000000001E-3</v>
      </c>
      <c r="L55" s="548">
        <f t="shared" si="12"/>
        <v>5.0000000000000001E-3</v>
      </c>
      <c r="M55" s="548">
        <f t="shared" si="12"/>
        <v>5.0000000000000001E-3</v>
      </c>
      <c r="N55" s="548">
        <f>+M55</f>
        <v>5.0000000000000001E-3</v>
      </c>
      <c r="O55" s="548">
        <f t="shared" ref="O55:P55" si="13">+N55</f>
        <v>5.0000000000000001E-3</v>
      </c>
      <c r="P55" s="548">
        <f t="shared" si="13"/>
        <v>5.0000000000000001E-3</v>
      </c>
      <c r="Q55" s="548">
        <f>+P55</f>
        <v>5.0000000000000001E-3</v>
      </c>
      <c r="R55" s="516"/>
      <c r="S55" s="548"/>
      <c r="T55" s="496"/>
      <c r="U55" s="509"/>
    </row>
    <row r="56" spans="1:21" ht="15.75" customHeight="1">
      <c r="A56" s="511">
        <f>+MAX($A$1:A55)+1</f>
        <v>26</v>
      </c>
      <c r="B56" s="506" t="s">
        <v>492</v>
      </c>
      <c r="C56" s="546"/>
      <c r="D56" s="495" t="str">
        <f>"Prior Month Line "&amp;$A$59&amp;""</f>
        <v>Prior Month Line 29</v>
      </c>
      <c r="E56" s="547"/>
      <c r="F56" s="515">
        <v>0</v>
      </c>
      <c r="G56" s="515">
        <f t="shared" ref="G56:M56" si="14">+F59</f>
        <v>331599.15694233245</v>
      </c>
      <c r="H56" s="515">
        <f t="shared" si="14"/>
        <v>-971954.22052935511</v>
      </c>
      <c r="I56" s="515">
        <f t="shared" si="14"/>
        <v>-1813045.0007673469</v>
      </c>
      <c r="J56" s="515">
        <f t="shared" si="14"/>
        <v>-3435414.8460400305</v>
      </c>
      <c r="K56" s="515">
        <f t="shared" si="14"/>
        <v>-5270252.7428184394</v>
      </c>
      <c r="L56" s="515">
        <f t="shared" si="14"/>
        <v>-5901352.6684800079</v>
      </c>
      <c r="M56" s="515">
        <f t="shared" si="14"/>
        <v>-11729526.116863107</v>
      </c>
      <c r="N56" s="515">
        <f>+M59</f>
        <v>-14499309.494513832</v>
      </c>
      <c r="O56" s="515">
        <f t="shared" ref="O56:P56" si="15">+N59</f>
        <v>-7041853.266168613</v>
      </c>
      <c r="P56" s="515">
        <f t="shared" si="15"/>
        <v>-10185579.020737516</v>
      </c>
      <c r="Q56" s="515">
        <f>+P59</f>
        <v>-13343477.471128732</v>
      </c>
      <c r="R56" s="516"/>
      <c r="S56" s="515">
        <f>+F56</f>
        <v>0</v>
      </c>
      <c r="T56" s="549"/>
      <c r="U56" s="509"/>
    </row>
    <row r="57" spans="1:21" ht="15.75" customHeight="1">
      <c r="A57" s="511">
        <f>+MAX($A$1:A56)+1</f>
        <v>27</v>
      </c>
      <c r="B57" s="506" t="s">
        <v>493</v>
      </c>
      <c r="C57" s="546"/>
      <c r="D57" s="495" t="str">
        <f>"Line "&amp;A51</f>
        <v>Line 24</v>
      </c>
      <c r="E57" s="547"/>
      <c r="F57" s="515">
        <f>+F51</f>
        <v>330772.22637639148</v>
      </c>
      <c r="G57" s="515">
        <f t="shared" ref="G57:M57" si="16">+G51</f>
        <v>-1301956.482051271</v>
      </c>
      <c r="H57" s="515">
        <f t="shared" si="16"/>
        <v>-834145.6450227882</v>
      </c>
      <c r="I57" s="515">
        <f t="shared" si="16"/>
        <v>-1609281.416727029</v>
      </c>
      <c r="J57" s="515">
        <f t="shared" si="16"/>
        <v>-1813128.0025418547</v>
      </c>
      <c r="K57" s="515">
        <f t="shared" si="16"/>
        <v>-603240.56054611108</v>
      </c>
      <c r="L57" s="515">
        <f t="shared" si="16"/>
        <v>-5784206.1696166573</v>
      </c>
      <c r="M57" s="515">
        <f t="shared" si="16"/>
        <v>-2704374.8100413075</v>
      </c>
      <c r="N57" s="515">
        <f>+N51</f>
        <v>7511174.8387209857</v>
      </c>
      <c r="O57" s="515">
        <f t="shared" ref="O57:P57" si="17">+O51</f>
        <v>-3100764.5767960702</v>
      </c>
      <c r="P57" s="515">
        <f t="shared" si="17"/>
        <v>-3099222.4990399294</v>
      </c>
      <c r="Q57" s="515">
        <f>+Q51</f>
        <v>-2153426.6800247771</v>
      </c>
      <c r="R57" s="516"/>
      <c r="S57" s="515">
        <f>+SUM(F57:Q57)</f>
        <v>-15161799.77731042</v>
      </c>
      <c r="T57" s="549"/>
      <c r="U57" s="509"/>
    </row>
    <row r="58" spans="1:21" ht="15.75" customHeight="1">
      <c r="A58" s="511">
        <f>+MAX($A$1:A57)+1</f>
        <v>28</v>
      </c>
      <c r="B58" s="550" t="s">
        <v>494</v>
      </c>
      <c r="C58" s="546"/>
      <c r="D58" s="495" t="str">
        <f>"Line "&amp;$A$55&amp;" * ( Line "&amp;$A$56&amp;" + 50% x Line "&amp;$A$57&amp;")"</f>
        <v>Line 25 * ( Line 26 + 50% x Line 27)</v>
      </c>
      <c r="E58" s="547"/>
      <c r="F58" s="539">
        <f>+(F56+0.5*SUM(F57))*F55</f>
        <v>826.93056594097868</v>
      </c>
      <c r="G58" s="539">
        <f>+(G56+0.5*SUM(G57))*G55</f>
        <v>-1596.8954204165152</v>
      </c>
      <c r="H58" s="539">
        <f>+(H56+0.5*SUM(H57))*H55</f>
        <v>-6945.1352152037462</v>
      </c>
      <c r="I58" s="539">
        <f t="shared" ref="I58" si="18">+(I56+0.5*SUM(I57))*I55</f>
        <v>-13088.428545654308</v>
      </c>
      <c r="J58" s="539">
        <f>+(J56+0.5*SUM(J57))*J55</f>
        <v>-21709.894236554788</v>
      </c>
      <c r="K58" s="539">
        <f>+(K56+0.5*SUM(K57))*K55</f>
        <v>-27859.365115457476</v>
      </c>
      <c r="L58" s="539">
        <f t="shared" ref="L58:M58" si="19">+(L56+0.5*SUM(L57))*L55</f>
        <v>-43967.278766441683</v>
      </c>
      <c r="M58" s="539">
        <f t="shared" si="19"/>
        <v>-65408.567609418809</v>
      </c>
      <c r="N58" s="539">
        <f>+(N56+0.5*SUM(N57))*N55</f>
        <v>-53718.610375766701</v>
      </c>
      <c r="O58" s="539">
        <f t="shared" ref="O58:P58" si="20">+(O56+0.5*SUM(O57))*O55</f>
        <v>-42961.177772833238</v>
      </c>
      <c r="P58" s="539">
        <f t="shared" si="20"/>
        <v>-58675.951351287404</v>
      </c>
      <c r="Q58" s="539">
        <f>+(Q56+0.5*SUM(Q57))*Q55</f>
        <v>-72100.954055705603</v>
      </c>
      <c r="R58" s="516"/>
      <c r="S58" s="515">
        <f>+SUM(F58:Q58)</f>
        <v>-407205.32789879933</v>
      </c>
      <c r="T58" s="549"/>
      <c r="U58" s="509"/>
    </row>
    <row r="59" spans="1:21" ht="15.75" customHeight="1" thickBot="1">
      <c r="A59" s="511">
        <f>+MAX($A$1:A58)+1</f>
        <v>29</v>
      </c>
      <c r="B59" s="528" t="s">
        <v>495</v>
      </c>
      <c r="C59" s="546"/>
      <c r="D59" s="495" t="str">
        <f>"∑ Lines "&amp;$A$56&amp;":"&amp;$A$58&amp;""</f>
        <v>∑ Lines 26:28</v>
      </c>
      <c r="E59" s="547"/>
      <c r="F59" s="551">
        <f t="shared" ref="F59:M59" si="21">+SUM(F56:F58)</f>
        <v>331599.15694233245</v>
      </c>
      <c r="G59" s="551">
        <f t="shared" si="21"/>
        <v>-971954.22052935511</v>
      </c>
      <c r="H59" s="551">
        <f t="shared" si="21"/>
        <v>-1813045.0007673469</v>
      </c>
      <c r="I59" s="551">
        <f t="shared" si="21"/>
        <v>-3435414.8460400305</v>
      </c>
      <c r="J59" s="551">
        <f>+SUM(J56:J58)</f>
        <v>-5270252.7428184394</v>
      </c>
      <c r="K59" s="551">
        <f t="shared" si="21"/>
        <v>-5901352.6684800079</v>
      </c>
      <c r="L59" s="551">
        <f t="shared" si="21"/>
        <v>-11729526.116863107</v>
      </c>
      <c r="M59" s="551">
        <f t="shared" si="21"/>
        <v>-14499309.494513832</v>
      </c>
      <c r="N59" s="551">
        <f>+SUM(N56:N58)</f>
        <v>-7041853.266168613</v>
      </c>
      <c r="O59" s="551">
        <f t="shared" ref="O59:P59" si="22">+SUM(O56:O58)</f>
        <v>-10185579.020737516</v>
      </c>
      <c r="P59" s="551">
        <f t="shared" si="22"/>
        <v>-13343477.471128732</v>
      </c>
      <c r="Q59" s="551">
        <f>+SUM(Q56:Q58)</f>
        <v>-15569005.105209215</v>
      </c>
      <c r="R59" s="516"/>
      <c r="S59" s="551">
        <f>+SUM(S56:S58)</f>
        <v>-15569005.105209218</v>
      </c>
      <c r="T59" s="549"/>
      <c r="U59" s="509"/>
    </row>
    <row r="60" spans="1:21" ht="15.75" customHeight="1" thickTop="1">
      <c r="A60" s="511"/>
      <c r="B60" s="510"/>
      <c r="C60" s="510"/>
      <c r="D60" s="489"/>
      <c r="E60" s="510"/>
      <c r="F60" s="552"/>
      <c r="G60" s="552"/>
      <c r="H60" s="552"/>
      <c r="I60" s="552"/>
      <c r="J60" s="552"/>
      <c r="K60" s="552"/>
      <c r="L60" s="552"/>
      <c r="M60" s="552"/>
      <c r="N60" s="552"/>
      <c r="O60" s="552"/>
      <c r="P60" s="552"/>
      <c r="Q60" s="552"/>
      <c r="R60" s="488"/>
      <c r="S60" s="496"/>
      <c r="T60" s="496"/>
      <c r="U60" s="509"/>
    </row>
    <row r="61" spans="1:21">
      <c r="A61" s="505"/>
      <c r="B61" s="553"/>
      <c r="C61" s="510"/>
      <c r="E61" s="510"/>
      <c r="F61" s="552"/>
      <c r="G61" s="552"/>
      <c r="H61" s="552"/>
      <c r="I61" s="552"/>
      <c r="J61" s="552"/>
      <c r="K61" s="552"/>
      <c r="L61" s="552"/>
      <c r="M61" s="552"/>
      <c r="N61" s="552"/>
      <c r="O61" s="552"/>
      <c r="P61" s="552"/>
      <c r="Q61" s="552"/>
      <c r="R61" s="488"/>
      <c r="S61" s="554"/>
      <c r="T61" s="496"/>
      <c r="U61" s="509"/>
    </row>
    <row r="62" spans="1:21">
      <c r="A62" s="511">
        <f>+MAX($A$1:A61)+1</f>
        <v>30</v>
      </c>
      <c r="B62" s="487" t="s">
        <v>496</v>
      </c>
      <c r="C62" s="510"/>
      <c r="D62" s="495" t="s">
        <v>486</v>
      </c>
      <c r="E62" s="510"/>
      <c r="F62" s="530"/>
      <c r="G62" s="530"/>
      <c r="H62" s="530"/>
      <c r="I62" s="530"/>
      <c r="J62" s="530"/>
      <c r="K62" s="530"/>
      <c r="L62" s="530"/>
      <c r="M62" s="530"/>
      <c r="N62" s="530"/>
      <c r="O62" s="530"/>
      <c r="P62" s="530"/>
      <c r="Q62" s="530"/>
      <c r="R62" s="488"/>
      <c r="S62" s="485">
        <v>9155404.9632158205</v>
      </c>
      <c r="T62" s="496"/>
      <c r="U62" s="509"/>
    </row>
    <row r="63" spans="1:21" ht="15.75" customHeight="1">
      <c r="A63" s="511"/>
      <c r="B63" s="487"/>
      <c r="C63" s="510"/>
      <c r="E63" s="510"/>
      <c r="F63" s="530"/>
      <c r="G63" s="530"/>
      <c r="H63" s="530"/>
      <c r="I63" s="530"/>
      <c r="J63" s="530"/>
      <c r="K63" s="530"/>
      <c r="L63" s="530"/>
      <c r="M63" s="530"/>
      <c r="N63" s="530"/>
      <c r="O63" s="530"/>
      <c r="P63" s="530"/>
      <c r="Q63" s="530"/>
      <c r="R63" s="488"/>
      <c r="S63" s="485"/>
      <c r="T63" s="496"/>
      <c r="U63" s="509"/>
    </row>
    <row r="64" spans="1:21" ht="22.5">
      <c r="A64" s="511">
        <f>+MAX($A$1:A63)+1</f>
        <v>31</v>
      </c>
      <c r="B64" s="506" t="s">
        <v>510</v>
      </c>
      <c r="C64" s="510"/>
      <c r="D64" s="495" t="str">
        <f>"∑ Lines "&amp;$A$59&amp;":"&amp;$A$62&amp;" * (1 + 1.06% / 12) ^ 4 - ∑ Lines "&amp;$A$59&amp;":"&amp;$A$62</f>
        <v>∑ Lines 29:30 * (1 + 1.06% / 12) ^ 4 - ∑ Lines 29:30</v>
      </c>
      <c r="E64" s="510"/>
      <c r="F64" s="552"/>
      <c r="G64" s="552"/>
      <c r="H64" s="552"/>
      <c r="I64" s="552"/>
      <c r="J64" s="552"/>
      <c r="K64" s="552"/>
      <c r="L64" s="552"/>
      <c r="M64" s="552"/>
      <c r="N64" s="552"/>
      <c r="O64" s="552"/>
      <c r="P64" s="552"/>
      <c r="Q64" s="552"/>
      <c r="R64" s="488"/>
      <c r="S64" s="555">
        <f>+(S59+S62)*(1+0.06/12)^4-(S59+S62)</f>
        <v>-129237.25366973411</v>
      </c>
      <c r="T64" s="496"/>
      <c r="U64" s="509"/>
    </row>
    <row r="65" spans="1:21" ht="15.75" customHeight="1">
      <c r="A65" s="511"/>
      <c r="B65" s="553"/>
      <c r="C65" s="510"/>
      <c r="E65" s="510"/>
      <c r="F65" s="552"/>
      <c r="G65" s="552"/>
      <c r="H65" s="552"/>
      <c r="I65" s="552"/>
      <c r="J65" s="552"/>
      <c r="K65" s="552"/>
      <c r="L65" s="552"/>
      <c r="M65" s="552"/>
      <c r="N65" s="552"/>
      <c r="O65" s="552"/>
      <c r="P65" s="552"/>
      <c r="Q65" s="552"/>
      <c r="R65" s="488"/>
      <c r="S65" s="554"/>
      <c r="T65" s="496"/>
      <c r="U65" s="509"/>
    </row>
    <row r="66" spans="1:21" ht="15.75" customHeight="1" thickBot="1">
      <c r="A66" s="511">
        <f>+MAX($A$1:A65)+1</f>
        <v>32</v>
      </c>
      <c r="B66" s="528" t="s">
        <v>420</v>
      </c>
      <c r="C66" s="510"/>
      <c r="D66" s="495" t="str">
        <f>"∑ Lines "&amp;$A$59&amp;":"&amp;$A$64&amp;""</f>
        <v>∑ Lines 29:31</v>
      </c>
      <c r="E66" s="510"/>
      <c r="F66" s="552"/>
      <c r="G66" s="552"/>
      <c r="H66" s="552"/>
      <c r="I66" s="552"/>
      <c r="J66" s="552"/>
      <c r="K66" s="552"/>
      <c r="L66" s="552"/>
      <c r="M66" s="552"/>
      <c r="N66" s="552"/>
      <c r="O66" s="552"/>
      <c r="P66" s="552"/>
      <c r="Q66" s="552"/>
      <c r="R66" s="488"/>
      <c r="S66" s="556">
        <f>S59+S64+S62</f>
        <v>-6542837.395663131</v>
      </c>
      <c r="T66" s="496"/>
      <c r="U66" s="509"/>
    </row>
    <row r="67" spans="1:21" ht="15.75" customHeight="1" thickTop="1">
      <c r="A67" s="511"/>
      <c r="B67" s="505"/>
      <c r="C67" s="510"/>
      <c r="D67" s="489"/>
      <c r="E67" s="510"/>
      <c r="F67" s="552"/>
      <c r="G67" s="552"/>
      <c r="H67" s="552"/>
      <c r="I67" s="552"/>
      <c r="J67" s="552"/>
      <c r="K67" s="552"/>
      <c r="L67" s="552"/>
      <c r="M67" s="552"/>
      <c r="N67" s="552"/>
      <c r="O67" s="552"/>
      <c r="P67" s="552"/>
      <c r="Q67" s="552"/>
      <c r="R67" s="488"/>
      <c r="S67" s="496"/>
      <c r="T67" s="496"/>
      <c r="U67" s="509"/>
    </row>
    <row r="68" spans="1:21" ht="15.75" customHeight="1">
      <c r="A68" s="488" t="s">
        <v>497</v>
      </c>
      <c r="C68" s="510"/>
      <c r="D68" s="489"/>
      <c r="E68" s="510"/>
      <c r="F68" s="552"/>
      <c r="G68" s="552"/>
      <c r="H68" s="552"/>
      <c r="I68" s="552"/>
      <c r="J68" s="552"/>
      <c r="K68" s="552"/>
      <c r="L68" s="552"/>
      <c r="M68" s="552"/>
      <c r="N68" s="552"/>
      <c r="O68" s="552"/>
      <c r="P68" s="552"/>
      <c r="Q68" s="552"/>
      <c r="R68" s="488"/>
      <c r="S68" s="496"/>
      <c r="T68" s="496"/>
      <c r="U68" s="509"/>
    </row>
    <row r="69" spans="1:21" ht="15.75" customHeight="1">
      <c r="A69" s="557">
        <v>1</v>
      </c>
      <c r="B69" s="558" t="s">
        <v>498</v>
      </c>
      <c r="C69" s="512"/>
      <c r="E69" s="512"/>
      <c r="F69" s="552"/>
      <c r="G69" s="552"/>
      <c r="H69" s="552"/>
      <c r="I69" s="552"/>
      <c r="J69" s="552"/>
      <c r="K69" s="552"/>
      <c r="L69" s="552"/>
      <c r="M69" s="552"/>
      <c r="N69" s="552"/>
      <c r="O69" s="552"/>
      <c r="P69" s="552"/>
      <c r="Q69" s="552"/>
      <c r="R69" s="488"/>
      <c r="S69" s="496"/>
      <c r="T69" s="496"/>
      <c r="U69" s="509"/>
    </row>
    <row r="70" spans="1:21" ht="15.75" customHeight="1">
      <c r="A70" s="557"/>
      <c r="B70" s="558" t="s">
        <v>528</v>
      </c>
      <c r="F70" s="552"/>
      <c r="G70" s="552"/>
      <c r="H70" s="552"/>
      <c r="I70" s="552"/>
      <c r="J70" s="552"/>
      <c r="K70" s="552"/>
      <c r="L70" s="552"/>
      <c r="M70" s="552"/>
      <c r="N70" s="552"/>
      <c r="O70" s="552"/>
      <c r="P70" s="552"/>
      <c r="Q70" s="552"/>
      <c r="R70" s="488"/>
      <c r="S70" s="559"/>
      <c r="T70" s="559"/>
      <c r="U70" s="509"/>
    </row>
    <row r="71" spans="1:21" ht="15.75" customHeight="1">
      <c r="B71" s="558" t="s">
        <v>529</v>
      </c>
      <c r="R71" s="488"/>
      <c r="S71" s="559"/>
    </row>
  </sheetData>
  <pageMargins left="0.25" right="0.25" top="0.5" bottom="0.25" header="0" footer="0.3"/>
  <pageSetup scale="60" fitToWidth="0" fitToHeight="0" orientation="landscape" r:id="rId1"/>
  <headerFooter alignWithMargins="0">
    <oddFooter>&amp;C&amp;"arial"&amp;11Exhibit 2 - Docket 09-035-15 Commission Order Calculation (Dynamic Annual Allocation Factor)&amp;R&amp;"arial"&amp;11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50"/>
  <sheetViews>
    <sheetView topLeftCell="D28" zoomScale="80" zoomScaleNormal="80" workbookViewId="0">
      <selection activeCell="G31" sqref="G31"/>
    </sheetView>
  </sheetViews>
  <sheetFormatPr defaultColWidth="8.375" defaultRowHeight="12.75"/>
  <cols>
    <col min="1" max="1" width="7.5" style="203" bestFit="1" customWidth="1"/>
    <col min="2" max="2" width="2.5" style="203" customWidth="1"/>
    <col min="3" max="3" width="35.5" style="203" customWidth="1"/>
    <col min="4" max="4" width="8" style="204" bestFit="1" customWidth="1"/>
    <col min="5" max="5" width="14.875" style="203" bestFit="1" customWidth="1"/>
    <col min="6" max="7" width="12.375" style="203" bestFit="1" customWidth="1"/>
    <col min="8" max="8" width="11.25" style="203" bestFit="1" customWidth="1"/>
    <col min="9" max="9" width="14.625" style="203" customWidth="1"/>
    <col min="10" max="10" width="12.375" style="203" bestFit="1" customWidth="1"/>
    <col min="11" max="11" width="10.625" style="203" bestFit="1" customWidth="1"/>
    <col min="12" max="13" width="11.625" style="203" customWidth="1"/>
    <col min="14" max="14" width="11.75" style="203" bestFit="1" customWidth="1"/>
    <col min="15" max="16" width="11.625" style="203" customWidth="1"/>
    <col min="17" max="17" width="10.75" style="203" bestFit="1" customWidth="1"/>
    <col min="18" max="18" width="25" style="203" bestFit="1" customWidth="1"/>
    <col min="19" max="19" width="23.375" style="203" bestFit="1" customWidth="1"/>
    <col min="20" max="20" width="9.875" style="203" bestFit="1" customWidth="1"/>
    <col min="21" max="49" width="8.375" style="203"/>
    <col min="50" max="224" width="8.375" style="205"/>
    <col min="225" max="16384" width="8.375" style="203"/>
  </cols>
  <sheetData>
    <row r="1" spans="1:225">
      <c r="A1" s="407" t="s">
        <v>239</v>
      </c>
      <c r="B1" s="407"/>
      <c r="C1" s="407"/>
      <c r="D1" s="408"/>
      <c r="E1" s="408"/>
      <c r="F1" s="409"/>
      <c r="G1" s="408"/>
      <c r="H1" s="408"/>
      <c r="I1" s="408"/>
      <c r="J1" s="409"/>
      <c r="K1" s="409"/>
      <c r="L1" s="409"/>
      <c r="M1" s="409"/>
      <c r="N1" s="409"/>
      <c r="O1" s="408"/>
      <c r="P1" s="408"/>
      <c r="Q1" s="207" t="s">
        <v>446</v>
      </c>
    </row>
    <row r="2" spans="1:225">
      <c r="A2" s="407" t="s">
        <v>447</v>
      </c>
      <c r="B2" s="408"/>
      <c r="C2" s="408"/>
      <c r="D2" s="408"/>
      <c r="E2" s="408"/>
      <c r="F2" s="409"/>
      <c r="G2" s="408"/>
      <c r="H2" s="409"/>
      <c r="I2" s="409"/>
      <c r="J2" s="409"/>
      <c r="K2" s="409"/>
      <c r="L2" s="409"/>
      <c r="M2" s="409"/>
      <c r="N2" s="409"/>
      <c r="O2" s="408"/>
      <c r="P2" s="408"/>
      <c r="Q2" s="207" t="s">
        <v>448</v>
      </c>
    </row>
    <row r="3" spans="1:225">
      <c r="A3" s="407" t="s">
        <v>315</v>
      </c>
      <c r="B3" s="408"/>
      <c r="C3" s="408"/>
      <c r="D3" s="408"/>
      <c r="E3" s="408"/>
      <c r="F3" s="409"/>
      <c r="G3" s="408"/>
      <c r="H3" s="409"/>
      <c r="I3" s="409"/>
      <c r="J3" s="409"/>
      <c r="K3" s="409"/>
      <c r="L3" s="409"/>
      <c r="M3" s="409"/>
      <c r="N3" s="409"/>
      <c r="O3" s="408"/>
      <c r="P3" s="408"/>
    </row>
    <row r="4" spans="1:225">
      <c r="A4" s="407" t="s">
        <v>316</v>
      </c>
      <c r="B4" s="408"/>
      <c r="C4" s="408"/>
      <c r="D4" s="408"/>
      <c r="E4" s="408"/>
      <c r="F4" s="409"/>
      <c r="G4" s="408"/>
      <c r="H4" s="409"/>
      <c r="I4" s="409"/>
      <c r="J4" s="409"/>
      <c r="K4" s="409"/>
      <c r="L4" s="409"/>
      <c r="M4" s="409"/>
      <c r="N4" s="409"/>
      <c r="O4" s="409"/>
      <c r="P4" s="408"/>
      <c r="Q4" s="206"/>
      <c r="R4" s="206"/>
    </row>
    <row r="5" spans="1:225">
      <c r="A5" s="407" t="s">
        <v>449</v>
      </c>
      <c r="B5" s="408"/>
      <c r="C5" s="407"/>
      <c r="D5" s="408"/>
      <c r="E5" s="408"/>
      <c r="F5" s="409"/>
      <c r="G5" s="408"/>
      <c r="H5" s="409"/>
      <c r="I5" s="409"/>
      <c r="J5" s="409"/>
      <c r="K5" s="409"/>
      <c r="L5" s="409"/>
      <c r="M5" s="409"/>
      <c r="N5" s="409"/>
      <c r="O5" s="409"/>
      <c r="P5" s="408"/>
      <c r="Q5" s="206"/>
      <c r="R5" s="206"/>
    </row>
    <row r="6" spans="1:225">
      <c r="A6" s="410"/>
      <c r="B6" s="410"/>
      <c r="C6" s="410"/>
      <c r="D6" s="411"/>
      <c r="E6" s="412"/>
      <c r="F6" s="413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4"/>
      <c r="AX6" s="203"/>
      <c r="HQ6" s="205"/>
    </row>
    <row r="7" spans="1:225">
      <c r="A7" s="410"/>
      <c r="B7" s="410"/>
      <c r="C7" s="410"/>
      <c r="D7" s="415"/>
      <c r="E7" s="411" t="s">
        <v>317</v>
      </c>
      <c r="F7" s="411"/>
      <c r="G7" s="411" t="s">
        <v>318</v>
      </c>
      <c r="H7" s="411" t="s">
        <v>318</v>
      </c>
      <c r="I7" s="411" t="s">
        <v>319</v>
      </c>
      <c r="J7" s="411" t="s">
        <v>318</v>
      </c>
      <c r="K7" s="411"/>
      <c r="L7" s="411" t="s">
        <v>320</v>
      </c>
      <c r="M7" s="411" t="s">
        <v>321</v>
      </c>
      <c r="N7" s="411" t="s">
        <v>318</v>
      </c>
      <c r="O7" s="411"/>
      <c r="P7" s="411"/>
      <c r="Q7" s="414"/>
      <c r="AX7" s="203"/>
      <c r="HQ7" s="205"/>
    </row>
    <row r="8" spans="1:225">
      <c r="A8" s="411" t="s">
        <v>322</v>
      </c>
      <c r="B8" s="410"/>
      <c r="C8" s="410"/>
      <c r="D8" s="415" t="s">
        <v>323</v>
      </c>
      <c r="E8" s="411" t="s">
        <v>324</v>
      </c>
      <c r="F8" s="411" t="s">
        <v>248</v>
      </c>
      <c r="G8" s="411" t="s">
        <v>325</v>
      </c>
      <c r="H8" s="411" t="s">
        <v>326</v>
      </c>
      <c r="I8" s="411" t="s">
        <v>327</v>
      </c>
      <c r="J8" s="411" t="s">
        <v>328</v>
      </c>
      <c r="K8" s="411" t="s">
        <v>266</v>
      </c>
      <c r="L8" s="411" t="s">
        <v>329</v>
      </c>
      <c r="M8" s="411" t="s">
        <v>327</v>
      </c>
      <c r="N8" s="411" t="s">
        <v>330</v>
      </c>
      <c r="O8" s="411" t="s">
        <v>331</v>
      </c>
      <c r="P8" s="411" t="s">
        <v>331</v>
      </c>
      <c r="Q8" s="414"/>
      <c r="AX8" s="203"/>
      <c r="HQ8" s="205"/>
    </row>
    <row r="9" spans="1:225">
      <c r="A9" s="416" t="s">
        <v>332</v>
      </c>
      <c r="B9" s="417"/>
      <c r="C9" s="416" t="s">
        <v>333</v>
      </c>
      <c r="D9" s="418" t="s">
        <v>334</v>
      </c>
      <c r="E9" s="416" t="s">
        <v>335</v>
      </c>
      <c r="F9" s="416" t="s">
        <v>336</v>
      </c>
      <c r="G9" s="416" t="s">
        <v>337</v>
      </c>
      <c r="H9" s="416" t="s">
        <v>338</v>
      </c>
      <c r="I9" s="416" t="s">
        <v>339</v>
      </c>
      <c r="J9" s="416" t="s">
        <v>340</v>
      </c>
      <c r="K9" s="416" t="s">
        <v>341</v>
      </c>
      <c r="L9" s="416" t="s">
        <v>342</v>
      </c>
      <c r="M9" s="416" t="s">
        <v>342</v>
      </c>
      <c r="N9" s="416" t="s">
        <v>343</v>
      </c>
      <c r="O9" s="416" t="s">
        <v>344</v>
      </c>
      <c r="P9" s="416" t="s">
        <v>345</v>
      </c>
      <c r="Q9" s="414"/>
      <c r="AX9" s="203"/>
      <c r="HQ9" s="205"/>
    </row>
    <row r="10" spans="1:225">
      <c r="A10" s="419"/>
      <c r="B10" s="412"/>
      <c r="C10" s="412"/>
      <c r="D10" s="420"/>
      <c r="E10" s="413"/>
      <c r="F10" s="421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14"/>
      <c r="R10" s="206"/>
      <c r="S10" s="206"/>
      <c r="AX10" s="203"/>
      <c r="HQ10" s="205"/>
    </row>
    <row r="11" spans="1:225">
      <c r="A11" s="411" t="s">
        <v>346</v>
      </c>
      <c r="B11" s="410" t="s">
        <v>347</v>
      </c>
      <c r="C11" s="410"/>
      <c r="D11" s="423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14"/>
      <c r="R11" s="206"/>
      <c r="S11" s="206"/>
      <c r="AB11" s="425"/>
      <c r="AX11" s="203"/>
      <c r="HQ11" s="205"/>
    </row>
    <row r="12" spans="1:225">
      <c r="A12" s="411"/>
      <c r="B12" s="410"/>
      <c r="C12" s="410" t="s">
        <v>348</v>
      </c>
      <c r="D12" s="423" t="s">
        <v>349</v>
      </c>
      <c r="E12" s="425">
        <v>167027068.07079521</v>
      </c>
      <c r="F12" s="424">
        <v>55569690.272337057</v>
      </c>
      <c r="G12" s="424">
        <v>45502423.791688539</v>
      </c>
      <c r="H12" s="424">
        <v>15145334.494932704</v>
      </c>
      <c r="I12" s="424">
        <v>312079.43333308282</v>
      </c>
      <c r="J12" s="424">
        <v>31151218.693030756</v>
      </c>
      <c r="K12" s="424">
        <v>1210480.1472651893</v>
      </c>
      <c r="L12" s="424">
        <v>38548.656719925064</v>
      </c>
      <c r="M12" s="424">
        <v>68827.475591127135</v>
      </c>
      <c r="N12" s="424">
        <v>11621267.144387983</v>
      </c>
      <c r="O12" s="424">
        <v>3275936.9430865608</v>
      </c>
      <c r="P12" s="424">
        <v>3131261.0184222809</v>
      </c>
      <c r="Q12" s="414">
        <v>0</v>
      </c>
      <c r="R12" s="206"/>
      <c r="S12" s="206"/>
      <c r="AB12" s="425"/>
      <c r="AX12" s="203"/>
      <c r="HQ12" s="205"/>
    </row>
    <row r="13" spans="1:225">
      <c r="A13" s="411"/>
      <c r="B13" s="410"/>
      <c r="C13" s="410"/>
      <c r="D13" s="415"/>
      <c r="E13" s="426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4"/>
      <c r="R13" s="206"/>
      <c r="S13" s="206"/>
      <c r="AX13" s="203"/>
      <c r="HQ13" s="205"/>
    </row>
    <row r="14" spans="1:225">
      <c r="A14" s="411" t="s">
        <v>350</v>
      </c>
      <c r="B14" s="410" t="s">
        <v>351</v>
      </c>
      <c r="C14" s="410"/>
      <c r="D14" s="41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14"/>
      <c r="AV14" s="205"/>
      <c r="AW14" s="205"/>
      <c r="HO14" s="203"/>
      <c r="HP14" s="203"/>
    </row>
    <row r="15" spans="1:225">
      <c r="A15" s="411"/>
      <c r="B15" s="410"/>
      <c r="C15" s="410" t="s">
        <v>348</v>
      </c>
      <c r="D15" s="415" t="s">
        <v>349</v>
      </c>
      <c r="E15" s="425">
        <v>35361292.340701707</v>
      </c>
      <c r="F15" s="424">
        <v>11764656.385930676</v>
      </c>
      <c r="G15" s="424">
        <v>9633315.8959984034</v>
      </c>
      <c r="H15" s="424">
        <v>3206418.0187011971</v>
      </c>
      <c r="I15" s="424">
        <v>66070.321433973862</v>
      </c>
      <c r="J15" s="424">
        <v>6595022.9726028377</v>
      </c>
      <c r="K15" s="424">
        <v>256270.69225640286</v>
      </c>
      <c r="L15" s="424">
        <v>8161.1342123113618</v>
      </c>
      <c r="M15" s="424">
        <v>14571.461461676186</v>
      </c>
      <c r="N15" s="424">
        <v>2460337.8937832704</v>
      </c>
      <c r="O15" s="424">
        <v>693548.44859689847</v>
      </c>
      <c r="P15" s="424">
        <v>662919.11572405824</v>
      </c>
      <c r="Q15" s="414">
        <v>0</v>
      </c>
      <c r="AV15" s="205"/>
      <c r="AW15" s="205"/>
      <c r="HO15" s="203"/>
      <c r="HP15" s="203"/>
    </row>
    <row r="16" spans="1:225">
      <c r="A16" s="411"/>
      <c r="B16" s="410"/>
      <c r="C16" s="410" t="s">
        <v>352</v>
      </c>
      <c r="D16" s="415" t="s">
        <v>353</v>
      </c>
      <c r="E16" s="425">
        <v>5706864.1734222751</v>
      </c>
      <c r="F16" s="424">
        <v>1594962.7621472436</v>
      </c>
      <c r="G16" s="424">
        <v>1561618.7436233934</v>
      </c>
      <c r="H16" s="424">
        <v>555991.81028206332</v>
      </c>
      <c r="I16" s="424">
        <v>21971.531964621361</v>
      </c>
      <c r="J16" s="424">
        <v>1246293.3036456718</v>
      </c>
      <c r="K16" s="424">
        <v>48819.263616687254</v>
      </c>
      <c r="L16" s="424">
        <v>1588.3033379401202</v>
      </c>
      <c r="M16" s="424">
        <v>4508.4855042878526</v>
      </c>
      <c r="N16" s="424">
        <v>357586.69828065188</v>
      </c>
      <c r="O16" s="424">
        <v>131688.8048233492</v>
      </c>
      <c r="P16" s="424">
        <v>181834.46619636531</v>
      </c>
      <c r="Q16" s="414">
        <v>0</v>
      </c>
      <c r="AV16" s="205"/>
      <c r="AW16" s="205"/>
      <c r="HO16" s="203"/>
      <c r="HP16" s="203"/>
    </row>
    <row r="17" spans="1:225">
      <c r="A17" s="411"/>
      <c r="B17" s="410"/>
      <c r="C17" s="410"/>
      <c r="D17" s="415"/>
      <c r="E17" s="425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14"/>
      <c r="AV17" s="205"/>
      <c r="AW17" s="205"/>
      <c r="HO17" s="203"/>
      <c r="HP17" s="203"/>
    </row>
    <row r="18" spans="1:225">
      <c r="A18" s="411" t="s">
        <v>354</v>
      </c>
      <c r="B18" s="410" t="s">
        <v>355</v>
      </c>
      <c r="C18" s="410"/>
      <c r="D18" s="423" t="s">
        <v>353</v>
      </c>
      <c r="E18" s="425">
        <v>332661293.95200479</v>
      </c>
      <c r="F18" s="424">
        <v>92972665.922586277</v>
      </c>
      <c r="G18" s="424">
        <v>91028995.281297505</v>
      </c>
      <c r="H18" s="424">
        <v>32409559.683673758</v>
      </c>
      <c r="I18" s="424">
        <v>1280752.0963085566</v>
      </c>
      <c r="J18" s="424">
        <v>72648223.338714197</v>
      </c>
      <c r="K18" s="424">
        <v>2845744.8628521133</v>
      </c>
      <c r="L18" s="424">
        <v>92584.478538692681</v>
      </c>
      <c r="M18" s="424">
        <v>262806.08334872272</v>
      </c>
      <c r="N18" s="424">
        <v>20844241.274228901</v>
      </c>
      <c r="O18" s="424">
        <v>7676329.2204408366</v>
      </c>
      <c r="P18" s="424">
        <v>10599391.710015224</v>
      </c>
      <c r="Q18" s="414">
        <v>0</v>
      </c>
      <c r="AV18" s="205"/>
      <c r="AW18" s="205"/>
      <c r="HO18" s="203"/>
      <c r="HP18" s="203"/>
    </row>
    <row r="19" spans="1:225">
      <c r="A19" s="411"/>
      <c r="B19" s="410"/>
      <c r="C19" s="427" t="s">
        <v>356</v>
      </c>
      <c r="D19" s="415" t="s">
        <v>353</v>
      </c>
      <c r="E19" s="425">
        <v>22575302.411504827</v>
      </c>
      <c r="F19" s="424">
        <v>6309378.6002919078</v>
      </c>
      <c r="G19" s="424">
        <v>6177475.8111390816</v>
      </c>
      <c r="H19" s="424">
        <v>2199401.0850814842</v>
      </c>
      <c r="I19" s="424">
        <v>86915.329237269005</v>
      </c>
      <c r="J19" s="424">
        <v>4930106.5117802294</v>
      </c>
      <c r="K19" s="424">
        <v>193120.00534135368</v>
      </c>
      <c r="L19" s="424">
        <v>6283.0351460245965</v>
      </c>
      <c r="M19" s="424">
        <v>17834.737359124625</v>
      </c>
      <c r="N19" s="424">
        <v>1414547.044874958</v>
      </c>
      <c r="O19" s="424">
        <v>520936.63047774194</v>
      </c>
      <c r="P19" s="424">
        <v>719303.62077565328</v>
      </c>
      <c r="Q19" s="414">
        <v>0</v>
      </c>
      <c r="AV19" s="205"/>
      <c r="AW19" s="205"/>
      <c r="HO19" s="203"/>
      <c r="HP19" s="203"/>
    </row>
    <row r="20" spans="1:225">
      <c r="A20" s="411"/>
      <c r="B20" s="410"/>
      <c r="C20" s="410"/>
      <c r="D20" s="415"/>
      <c r="E20" s="428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4"/>
      <c r="AV20" s="205"/>
      <c r="AW20" s="205"/>
      <c r="HO20" s="203"/>
      <c r="HP20" s="203"/>
    </row>
    <row r="21" spans="1:225">
      <c r="A21" s="411" t="s">
        <v>357</v>
      </c>
      <c r="B21" s="410" t="s">
        <v>358</v>
      </c>
      <c r="C21" s="410"/>
      <c r="D21" s="423" t="s">
        <v>353</v>
      </c>
      <c r="E21" s="425">
        <v>1573900.8729061289</v>
      </c>
      <c r="F21" s="424">
        <v>439876.12238735653</v>
      </c>
      <c r="G21" s="424">
        <v>430680.14745855168</v>
      </c>
      <c r="H21" s="424">
        <v>153337.4492434845</v>
      </c>
      <c r="I21" s="424">
        <v>6059.5472903054988</v>
      </c>
      <c r="J21" s="424">
        <v>343716.27901014057</v>
      </c>
      <c r="K21" s="424">
        <v>13463.905795897241</v>
      </c>
      <c r="L21" s="424">
        <v>438.03951418114474</v>
      </c>
      <c r="M21" s="424">
        <v>1243.399011269621</v>
      </c>
      <c r="N21" s="424">
        <v>98619.136440045448</v>
      </c>
      <c r="O21" s="424">
        <v>36318.566302786567</v>
      </c>
      <c r="P21" s="424">
        <v>50148.280452110026</v>
      </c>
      <c r="Q21" s="414">
        <v>0</v>
      </c>
      <c r="AV21" s="205"/>
      <c r="AW21" s="205"/>
      <c r="HO21" s="203"/>
      <c r="HP21" s="203"/>
    </row>
    <row r="22" spans="1:225">
      <c r="A22" s="411"/>
      <c r="B22" s="410"/>
      <c r="C22" s="410"/>
      <c r="D22" s="415"/>
      <c r="E22" s="428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4"/>
      <c r="AV22" s="205"/>
      <c r="AW22" s="205"/>
      <c r="HO22" s="203"/>
      <c r="HP22" s="203"/>
    </row>
    <row r="23" spans="1:225">
      <c r="A23" s="411" t="s">
        <v>359</v>
      </c>
      <c r="B23" s="410" t="s">
        <v>360</v>
      </c>
      <c r="C23" s="410"/>
      <c r="D23" s="415" t="s">
        <v>353</v>
      </c>
      <c r="E23" s="425">
        <v>111522622.03192005</v>
      </c>
      <c r="F23" s="424">
        <v>31168505.833084695</v>
      </c>
      <c r="G23" s="424">
        <v>30516902.38470076</v>
      </c>
      <c r="H23" s="424">
        <v>10865102.55486704</v>
      </c>
      <c r="I23" s="424">
        <v>429364.14470213605</v>
      </c>
      <c r="J23" s="424">
        <v>24354863.339955781</v>
      </c>
      <c r="K23" s="424">
        <v>954018.19961934828</v>
      </c>
      <c r="L23" s="424">
        <v>31038.368436042725</v>
      </c>
      <c r="M23" s="424">
        <v>88104.098775066552</v>
      </c>
      <c r="N23" s="424">
        <v>6987901.7590286983</v>
      </c>
      <c r="O23" s="424">
        <v>2573441.4487286871</v>
      </c>
      <c r="P23" s="424">
        <v>3553379.9000217915</v>
      </c>
      <c r="Q23" s="414">
        <v>0</v>
      </c>
      <c r="AV23" s="205"/>
      <c r="AW23" s="205"/>
      <c r="HO23" s="203"/>
      <c r="HP23" s="203"/>
    </row>
    <row r="24" spans="1:225">
      <c r="A24" s="411"/>
      <c r="B24" s="410"/>
      <c r="C24" s="427" t="s">
        <v>361</v>
      </c>
      <c r="D24" s="415" t="s">
        <v>353</v>
      </c>
      <c r="E24" s="425">
        <v>4364211.5432015778</v>
      </c>
      <c r="F24" s="424">
        <v>1219716.2375016662</v>
      </c>
      <c r="G24" s="424">
        <v>1194217.0585977377</v>
      </c>
      <c r="H24" s="424">
        <v>425183.74410572782</v>
      </c>
      <c r="I24" s="424">
        <v>16802.294659191251</v>
      </c>
      <c r="J24" s="424">
        <v>953078.16284044739</v>
      </c>
      <c r="K24" s="424">
        <v>37333.566619438498</v>
      </c>
      <c r="L24" s="424">
        <v>1214.6235745062588</v>
      </c>
      <c r="M24" s="424">
        <v>3447.7751497580853</v>
      </c>
      <c r="N24" s="424">
        <v>273457.35747481696</v>
      </c>
      <c r="O24" s="424">
        <v>100706.40979980344</v>
      </c>
      <c r="P24" s="424">
        <v>139054.31287848443</v>
      </c>
      <c r="Q24" s="414">
        <v>0</v>
      </c>
      <c r="R24" s="206"/>
      <c r="S24" s="206"/>
      <c r="AX24" s="203"/>
      <c r="HQ24" s="205"/>
    </row>
    <row r="25" spans="1:225">
      <c r="A25" s="411"/>
      <c r="B25" s="410"/>
      <c r="C25" s="410"/>
      <c r="D25" s="415"/>
      <c r="E25" s="428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4"/>
      <c r="AX25" s="203"/>
      <c r="HQ25" s="205"/>
    </row>
    <row r="26" spans="1:225">
      <c r="A26" s="411" t="s">
        <v>362</v>
      </c>
      <c r="B26" s="410" t="s">
        <v>363</v>
      </c>
      <c r="C26" s="410"/>
      <c r="D26" s="423"/>
      <c r="E26" s="425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14"/>
      <c r="R26" s="206"/>
      <c r="S26" s="206"/>
      <c r="AX26" s="203"/>
      <c r="HQ26" s="205"/>
    </row>
    <row r="27" spans="1:225">
      <c r="A27" s="411"/>
      <c r="B27" s="410"/>
      <c r="C27" s="410" t="s">
        <v>348</v>
      </c>
      <c r="D27" s="423" t="s">
        <v>349</v>
      </c>
      <c r="E27" s="425">
        <v>250607793.96013552</v>
      </c>
      <c r="F27" s="424">
        <v>83376890.051711306</v>
      </c>
      <c r="G27" s="424">
        <v>68271940.45842272</v>
      </c>
      <c r="H27" s="424">
        <v>22724094.426148169</v>
      </c>
      <c r="I27" s="424">
        <v>468244.6936970934</v>
      </c>
      <c r="J27" s="424">
        <v>46739359.590035141</v>
      </c>
      <c r="K27" s="424">
        <v>1816207.1743370979</v>
      </c>
      <c r="L27" s="424">
        <v>57838.49248082524</v>
      </c>
      <c r="M27" s="424">
        <v>103268.90138804629</v>
      </c>
      <c r="N27" s="424">
        <v>17436575.734192077</v>
      </c>
      <c r="O27" s="424">
        <v>4915223.2625639979</v>
      </c>
      <c r="P27" s="424">
        <v>4698151.175159038</v>
      </c>
      <c r="Q27" s="414">
        <v>0</v>
      </c>
      <c r="AX27" s="203"/>
      <c r="HQ27" s="205"/>
    </row>
    <row r="28" spans="1:225">
      <c r="A28" s="411"/>
      <c r="B28" s="410"/>
      <c r="C28" s="410" t="s">
        <v>352</v>
      </c>
      <c r="D28" s="415" t="s">
        <v>353</v>
      </c>
      <c r="E28" s="425">
        <v>10932905.291081924</v>
      </c>
      <c r="F28" s="424">
        <v>3055544.3920616959</v>
      </c>
      <c r="G28" s="424">
        <v>2991665.7039648099</v>
      </c>
      <c r="H28" s="424">
        <v>1065139.3864847824</v>
      </c>
      <c r="I28" s="424">
        <v>42091.886326625943</v>
      </c>
      <c r="J28" s="424">
        <v>2387582.083541472</v>
      </c>
      <c r="K28" s="424">
        <v>93525.335329916212</v>
      </c>
      <c r="L28" s="424">
        <v>3042.7866231824769</v>
      </c>
      <c r="M28" s="424">
        <v>8637.1155027921814</v>
      </c>
      <c r="N28" s="424">
        <v>685045.47976803174</v>
      </c>
      <c r="O28" s="424">
        <v>252282.37211856921</v>
      </c>
      <c r="P28" s="424">
        <v>348348.74936004548</v>
      </c>
      <c r="Q28" s="414">
        <v>0</v>
      </c>
      <c r="R28" s="206"/>
      <c r="S28" s="206"/>
      <c r="AX28" s="203"/>
      <c r="HQ28" s="205"/>
    </row>
    <row r="29" spans="1:225">
      <c r="A29" s="411"/>
      <c r="B29" s="410"/>
      <c r="C29" s="410"/>
      <c r="D29" s="415"/>
      <c r="E29" s="428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4"/>
      <c r="AX29" s="203"/>
      <c r="HQ29" s="205"/>
    </row>
    <row r="30" spans="1:225">
      <c r="A30" s="411" t="s">
        <v>364</v>
      </c>
      <c r="B30" s="410" t="s">
        <v>365</v>
      </c>
      <c r="C30" s="410"/>
      <c r="D30" s="423" t="s">
        <v>349</v>
      </c>
      <c r="E30" s="425">
        <v>59361874.608875461</v>
      </c>
      <c r="F30" s="424">
        <v>19749619.173117142</v>
      </c>
      <c r="G30" s="424">
        <v>16171685.264673678</v>
      </c>
      <c r="H30" s="424">
        <v>5382693.1022737129</v>
      </c>
      <c r="I30" s="424">
        <v>110913.8800285664</v>
      </c>
      <c r="J30" s="424">
        <v>11071227.911308119</v>
      </c>
      <c r="K30" s="424">
        <v>430207.93903915386</v>
      </c>
      <c r="L30" s="424">
        <v>13700.297520512428</v>
      </c>
      <c r="M30" s="424">
        <v>24461.47216063309</v>
      </c>
      <c r="N30" s="424">
        <v>4130229.9740363229</v>
      </c>
      <c r="O30" s="424">
        <v>1164276.906062088</v>
      </c>
      <c r="P30" s="424">
        <v>1112858.6886555301</v>
      </c>
      <c r="Q30" s="414">
        <v>0</v>
      </c>
      <c r="R30" s="206"/>
      <c r="S30" s="206"/>
      <c r="AX30" s="203"/>
      <c r="HQ30" s="205"/>
    </row>
    <row r="31" spans="1:225">
      <c r="A31" s="411"/>
      <c r="B31" s="410" t="s">
        <v>352</v>
      </c>
      <c r="C31" s="412"/>
      <c r="D31" s="423" t="s">
        <v>353</v>
      </c>
      <c r="E31" s="429">
        <v>3427163.3991312459</v>
      </c>
      <c r="F31" s="430">
        <v>957828.64902676584</v>
      </c>
      <c r="G31" s="430">
        <v>937804.44722482155</v>
      </c>
      <c r="H31" s="430">
        <v>333891.73537535616</v>
      </c>
      <c r="I31" s="430">
        <v>13194.642080790381</v>
      </c>
      <c r="J31" s="430">
        <v>748440.94147687417</v>
      </c>
      <c r="K31" s="430">
        <v>29317.605668423916</v>
      </c>
      <c r="L31" s="430">
        <v>953.82944136939216</v>
      </c>
      <c r="M31" s="430">
        <v>2707.4968031950389</v>
      </c>
      <c r="N31" s="430">
        <v>214742.80920702711</v>
      </c>
      <c r="O31" s="430">
        <v>79083.545402706688</v>
      </c>
      <c r="P31" s="430">
        <v>109197.69742391579</v>
      </c>
      <c r="Q31" s="414">
        <v>0</v>
      </c>
      <c r="AX31" s="203"/>
      <c r="HQ31" s="205"/>
    </row>
    <row r="32" spans="1:225">
      <c r="A32" s="411"/>
      <c r="B32" s="410"/>
      <c r="C32" s="410"/>
      <c r="D32" s="410"/>
      <c r="E32" s="431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14"/>
      <c r="AX32" s="203"/>
      <c r="HQ32" s="205"/>
    </row>
    <row r="33" spans="1:17" s="203" customFormat="1">
      <c r="A33" s="204"/>
      <c r="B33" s="207"/>
      <c r="C33" s="207" t="s">
        <v>450</v>
      </c>
      <c r="D33" s="204"/>
      <c r="E33" s="433">
        <v>588931843.48584247</v>
      </c>
      <c r="F33" s="433">
        <v>170320715.5613538</v>
      </c>
      <c r="G33" s="433">
        <v>161024008.12616932</v>
      </c>
      <c r="H33" s="433">
        <v>56650658.843337581</v>
      </c>
      <c r="I33" s="433">
        <v>2054217.2275988567</v>
      </c>
      <c r="J33" s="433">
        <v>125184063.18938315</v>
      </c>
      <c r="K33" s="433">
        <v>4897368.491464464</v>
      </c>
      <c r="L33" s="433">
        <v>158795.85700516042</v>
      </c>
      <c r="M33" s="433">
        <v>424603.65694151702</v>
      </c>
      <c r="N33" s="433">
        <v>37646168.832798973</v>
      </c>
      <c r="O33" s="433">
        <v>13217424.165390406</v>
      </c>
      <c r="P33" s="433">
        <v>17353819.534399088</v>
      </c>
      <c r="Q33" s="434">
        <v>0</v>
      </c>
    </row>
    <row r="34" spans="1:17" s="203" customFormat="1">
      <c r="A34" s="208"/>
      <c r="C34" s="207" t="s">
        <v>366</v>
      </c>
      <c r="D34" s="204"/>
      <c r="E34" s="435">
        <v>1</v>
      </c>
      <c r="F34" s="435">
        <v>0.28920276165275516</v>
      </c>
      <c r="G34" s="435">
        <v>0.27341705140798733</v>
      </c>
      <c r="H34" s="435">
        <v>9.6192215567809464E-2</v>
      </c>
      <c r="I34" s="435">
        <v>3.4880389816249403E-3</v>
      </c>
      <c r="J34" s="435">
        <v>0.21256120648601418</v>
      </c>
      <c r="K34" s="435">
        <v>8.3156795572087178E-3</v>
      </c>
      <c r="L34" s="435">
        <v>2.6963367452719129E-4</v>
      </c>
      <c r="M34" s="435">
        <v>7.2097248881690704E-4</v>
      </c>
      <c r="N34" s="435">
        <v>6.3922793866900085E-2</v>
      </c>
      <c r="O34" s="435">
        <v>2.2443045509574561E-2</v>
      </c>
      <c r="P34" s="435">
        <v>2.9466600806781238E-2</v>
      </c>
    </row>
    <row r="35" spans="1:17" s="203" customFormat="1">
      <c r="D35" s="204"/>
      <c r="E35" s="434"/>
    </row>
    <row r="36" spans="1:17" s="203" customFormat="1">
      <c r="C36" s="207" t="s">
        <v>367</v>
      </c>
      <c r="D36" s="436">
        <v>0.75</v>
      </c>
      <c r="E36" s="437">
        <v>80685981.118135542</v>
      </c>
      <c r="F36" s="437">
        <v>26844121.924920537</v>
      </c>
      <c r="G36" s="437">
        <v>21980914.526557095</v>
      </c>
      <c r="H36" s="437">
        <v>7316276.2610909874</v>
      </c>
      <c r="I36" s="437">
        <v>150756.61421895237</v>
      </c>
      <c r="J36" s="437">
        <v>15048259.376782246</v>
      </c>
      <c r="K36" s="437">
        <v>584748.20539099467</v>
      </c>
      <c r="L36" s="437">
        <v>18621.74930182593</v>
      </c>
      <c r="M36" s="437">
        <v>33248.577371907042</v>
      </c>
      <c r="N36" s="437">
        <v>5613900.5025428589</v>
      </c>
      <c r="O36" s="437">
        <v>1582511.0827069699</v>
      </c>
      <c r="P36" s="437">
        <v>1512622.2972511717</v>
      </c>
      <c r="Q36" s="434">
        <v>0</v>
      </c>
    </row>
    <row r="37" spans="1:17" s="203" customFormat="1">
      <c r="C37" s="207"/>
      <c r="D37" s="204"/>
      <c r="E37" s="438">
        <v>0.13700393689117132</v>
      </c>
      <c r="F37" s="438">
        <v>0.15760925989798705</v>
      </c>
      <c r="G37" s="438">
        <v>0.1365070636506209</v>
      </c>
      <c r="H37" s="438">
        <v>0.12914724048176573</v>
      </c>
      <c r="I37" s="438">
        <v>7.3388837457647793E-2</v>
      </c>
      <c r="J37" s="438">
        <v>0.1202090665008746</v>
      </c>
      <c r="K37" s="438">
        <v>0.11940049159260567</v>
      </c>
      <c r="L37" s="438">
        <v>0.11726848327800375</v>
      </c>
      <c r="M37" s="438">
        <v>7.8304971773916099E-2</v>
      </c>
      <c r="N37" s="438">
        <v>0.14912275741726436</v>
      </c>
      <c r="O37" s="438">
        <v>0.11972915924501747</v>
      </c>
      <c r="P37" s="438">
        <v>8.7163652604132558E-2</v>
      </c>
    </row>
    <row r="38" spans="1:17" s="203" customFormat="1">
      <c r="C38" s="207"/>
      <c r="D38" s="204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35"/>
    </row>
    <row r="39" spans="1:17" s="203" customFormat="1">
      <c r="C39" s="207" t="s">
        <v>368</v>
      </c>
      <c r="D39" s="208"/>
      <c r="E39" s="439">
        <v>508245862.36770689</v>
      </c>
      <c r="F39" s="439">
        <v>143476593.63643327</v>
      </c>
      <c r="G39" s="439">
        <v>139043093.59961224</v>
      </c>
      <c r="H39" s="439">
        <v>49334382.582246594</v>
      </c>
      <c r="I39" s="439">
        <v>1903460.6133799043</v>
      </c>
      <c r="J39" s="439">
        <v>110135803.81260091</v>
      </c>
      <c r="K39" s="439">
        <v>4312620.2860734696</v>
      </c>
      <c r="L39" s="439">
        <v>140174.10770333448</v>
      </c>
      <c r="M39" s="439">
        <v>391355.07956960995</v>
      </c>
      <c r="N39" s="439">
        <v>32032268.330256112</v>
      </c>
      <c r="O39" s="439">
        <v>11634913.082683437</v>
      </c>
      <c r="P39" s="439">
        <v>15841197.237147916</v>
      </c>
      <c r="Q39" s="434">
        <v>0</v>
      </c>
    </row>
    <row r="40" spans="1:17" s="203" customFormat="1">
      <c r="C40" s="207"/>
      <c r="D40" s="204"/>
      <c r="E40" s="440">
        <v>0.86299606310882859</v>
      </c>
      <c r="F40" s="440">
        <v>0.84239074010201298</v>
      </c>
      <c r="G40" s="440">
        <v>0.86349293634937918</v>
      </c>
      <c r="H40" s="440">
        <v>0.87085275951823427</v>
      </c>
      <c r="I40" s="440">
        <v>0.92661116254235221</v>
      </c>
      <c r="J40" s="440">
        <v>0.87979093349912552</v>
      </c>
      <c r="K40" s="440">
        <v>0.88059950840739443</v>
      </c>
      <c r="L40" s="440">
        <v>0.88273151672199612</v>
      </c>
      <c r="M40" s="440">
        <v>0.92169502822608385</v>
      </c>
      <c r="N40" s="440">
        <v>0.85087724258273556</v>
      </c>
      <c r="O40" s="440">
        <v>0.88027084075498263</v>
      </c>
      <c r="P40" s="440">
        <v>0.91283634739586739</v>
      </c>
    </row>
    <row r="41" spans="1:17" s="203" customFormat="1">
      <c r="C41" s="207" t="s">
        <v>450</v>
      </c>
      <c r="D41" s="208"/>
      <c r="E41" s="434">
        <v>588931843.48584247</v>
      </c>
      <c r="F41" s="434">
        <v>170320715.5613538</v>
      </c>
      <c r="G41" s="434">
        <v>161024008.12616932</v>
      </c>
      <c r="H41" s="434">
        <v>56650658.843337581</v>
      </c>
      <c r="I41" s="434">
        <v>2054217.2275988567</v>
      </c>
      <c r="J41" s="434">
        <v>125184063.18938315</v>
      </c>
      <c r="K41" s="434">
        <v>4897368.491464464</v>
      </c>
      <c r="L41" s="434">
        <v>158795.85700516042</v>
      </c>
      <c r="M41" s="434">
        <v>424603.65694151702</v>
      </c>
      <c r="N41" s="434">
        <v>37646168.832798973</v>
      </c>
      <c r="O41" s="434">
        <v>13217424.165390406</v>
      </c>
      <c r="P41" s="434">
        <v>17353819.534399088</v>
      </c>
      <c r="Q41" s="434">
        <v>0</v>
      </c>
    </row>
    <row r="42" spans="1:17" s="203" customFormat="1">
      <c r="D42" s="204"/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</row>
    <row r="43" spans="1:17" s="203" customFormat="1">
      <c r="D43" s="204"/>
      <c r="E43" s="434"/>
    </row>
    <row r="44" spans="1:17" s="203" customFormat="1" ht="15.75">
      <c r="D44"/>
      <c r="E44" s="358"/>
      <c r="F44" s="415" t="s">
        <v>336</v>
      </c>
      <c r="G44" s="415" t="s">
        <v>337</v>
      </c>
      <c r="H44" s="415" t="s">
        <v>338</v>
      </c>
      <c r="I44" s="415" t="s">
        <v>339</v>
      </c>
      <c r="J44" s="415" t="s">
        <v>340</v>
      </c>
      <c r="K44" s="415" t="s">
        <v>341</v>
      </c>
      <c r="L44" s="415" t="s">
        <v>342</v>
      </c>
      <c r="M44" s="415" t="s">
        <v>342</v>
      </c>
      <c r="N44" s="415" t="s">
        <v>343</v>
      </c>
      <c r="O44" s="441" t="s">
        <v>344</v>
      </c>
      <c r="P44" s="441" t="s">
        <v>345</v>
      </c>
      <c r="Q44" s="441" t="s">
        <v>152</v>
      </c>
    </row>
    <row r="45" spans="1:17" s="203" customFormat="1">
      <c r="D45" s="442" t="s">
        <v>349</v>
      </c>
      <c r="E45" s="442" t="s">
        <v>369</v>
      </c>
      <c r="F45" s="443">
        <v>0.3326987111381467</v>
      </c>
      <c r="G45" s="443">
        <v>0.27242544766697407</v>
      </c>
      <c r="H45" s="443">
        <v>9.0675928577715809E-2</v>
      </c>
      <c r="I45" s="443">
        <v>1.8684362776505573E-3</v>
      </c>
      <c r="J45" s="443">
        <v>0.18650401430639474</v>
      </c>
      <c r="K45" s="443">
        <v>7.2472094568056577E-3</v>
      </c>
      <c r="L45" s="443">
        <v>2.307928718690436E-4</v>
      </c>
      <c r="M45" s="443">
        <v>4.120737817295235E-4</v>
      </c>
      <c r="N45" s="443">
        <v>6.9577148653907128E-2</v>
      </c>
      <c r="O45" s="443">
        <v>1.9613209888220271E-2</v>
      </c>
      <c r="P45" s="443">
        <v>1.8747027380586489E-2</v>
      </c>
      <c r="Q45" s="444">
        <v>1</v>
      </c>
    </row>
    <row r="46" spans="1:17" s="203" customFormat="1" ht="15.75">
      <c r="D46"/>
      <c r="E46" s="445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</row>
    <row r="47" spans="1:17" s="203" customFormat="1">
      <c r="D47" s="447" t="s">
        <v>353</v>
      </c>
      <c r="E47" s="447" t="s">
        <v>370</v>
      </c>
      <c r="F47" s="448">
        <v>0.27948146542110203</v>
      </c>
      <c r="G47" s="448">
        <v>0.27363867373891371</v>
      </c>
      <c r="H47" s="448">
        <v>9.7425099561927686E-2</v>
      </c>
      <c r="I47" s="448">
        <v>3.8500183808379551E-3</v>
      </c>
      <c r="J47" s="448">
        <v>0.2183849598961628</v>
      </c>
      <c r="K47" s="448">
        <v>8.5544814337873872E-3</v>
      </c>
      <c r="L47" s="448">
        <v>2.7831455063134108E-4</v>
      </c>
      <c r="M47" s="448">
        <v>7.9001100556844303E-4</v>
      </c>
      <c r="N47" s="448">
        <v>6.2659051874054919E-2</v>
      </c>
      <c r="O47" s="448">
        <v>2.3075510616959095E-2</v>
      </c>
      <c r="P47" s="448">
        <v>3.186241352005463E-2</v>
      </c>
      <c r="Q47" s="449">
        <v>1</v>
      </c>
    </row>
    <row r="50" spans="3:5" s="203" customFormat="1" ht="30">
      <c r="C50" s="450" t="s">
        <v>451</v>
      </c>
      <c r="D50" s="204"/>
      <c r="E50" s="43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0" zoomScaleNormal="80" workbookViewId="0">
      <selection activeCell="C13" sqref="C13"/>
    </sheetView>
  </sheetViews>
  <sheetFormatPr defaultRowHeight="15.75"/>
  <cols>
    <col min="1" max="1" width="16.25" customWidth="1"/>
    <col min="2" max="2" width="20.25" bestFit="1" customWidth="1"/>
    <col min="3" max="3" width="32.375" bestFit="1" customWidth="1"/>
    <col min="4" max="4" width="17.875" bestFit="1" customWidth="1"/>
    <col min="5" max="5" width="13.125" customWidth="1"/>
    <col min="6" max="6" width="17.5" bestFit="1" customWidth="1"/>
    <col min="7" max="7" width="15.875" bestFit="1" customWidth="1"/>
  </cols>
  <sheetData>
    <row r="1" spans="1:8">
      <c r="A1" s="350" t="s">
        <v>405</v>
      </c>
      <c r="B1" s="350"/>
      <c r="C1" s="350"/>
      <c r="D1" s="350"/>
      <c r="E1" s="350"/>
      <c r="F1" s="350"/>
    </row>
    <row r="2" spans="1:8">
      <c r="A2" s="350"/>
      <c r="B2" s="350"/>
      <c r="C2" s="350"/>
      <c r="D2" s="350"/>
      <c r="E2" s="350"/>
      <c r="F2" s="350"/>
    </row>
    <row r="3" spans="1:8">
      <c r="A3" s="351" t="s">
        <v>406</v>
      </c>
      <c r="B3" s="351" t="s">
        <v>407</v>
      </c>
      <c r="C3" s="351" t="s">
        <v>417</v>
      </c>
      <c r="D3" s="351" t="s">
        <v>413</v>
      </c>
      <c r="E3" s="351" t="s">
        <v>408</v>
      </c>
      <c r="F3" s="351" t="s">
        <v>414</v>
      </c>
      <c r="G3" s="353" t="s">
        <v>418</v>
      </c>
    </row>
    <row r="4" spans="1:8">
      <c r="A4" s="352">
        <v>41061</v>
      </c>
      <c r="B4" t="s">
        <v>412</v>
      </c>
      <c r="C4" t="s">
        <v>411</v>
      </c>
      <c r="D4" s="348">
        <v>60</v>
      </c>
      <c r="E4">
        <v>3</v>
      </c>
      <c r="F4" s="348">
        <f t="shared" ref="F4:F9" si="0">D4/E4</f>
        <v>20</v>
      </c>
      <c r="G4" s="352">
        <v>42155</v>
      </c>
      <c r="H4" s="349" t="s">
        <v>463</v>
      </c>
    </row>
    <row r="5" spans="1:8">
      <c r="A5" s="352">
        <v>41334</v>
      </c>
      <c r="B5" t="s">
        <v>409</v>
      </c>
      <c r="C5" t="s">
        <v>410</v>
      </c>
      <c r="D5" s="348">
        <v>7.8</v>
      </c>
      <c r="E5">
        <v>2</v>
      </c>
      <c r="F5" s="348">
        <f t="shared" si="0"/>
        <v>3.9</v>
      </c>
      <c r="G5" s="352">
        <v>42063</v>
      </c>
      <c r="H5" s="349" t="s">
        <v>464</v>
      </c>
    </row>
    <row r="6" spans="1:8">
      <c r="A6" s="352">
        <v>41579</v>
      </c>
      <c r="B6" s="349" t="s">
        <v>415</v>
      </c>
      <c r="C6" t="s">
        <v>416</v>
      </c>
      <c r="D6" s="348">
        <v>15</v>
      </c>
      <c r="E6">
        <v>2</v>
      </c>
      <c r="F6" s="348">
        <f t="shared" si="0"/>
        <v>7.5</v>
      </c>
      <c r="G6" s="352">
        <v>42308</v>
      </c>
      <c r="H6" s="349" t="s">
        <v>465</v>
      </c>
    </row>
    <row r="7" spans="1:8">
      <c r="A7" s="352">
        <v>41944</v>
      </c>
      <c r="B7" s="349" t="s">
        <v>520</v>
      </c>
      <c r="C7" s="349" t="s">
        <v>421</v>
      </c>
      <c r="D7" s="348">
        <v>25.3</v>
      </c>
      <c r="E7">
        <v>1</v>
      </c>
      <c r="F7" s="348">
        <f t="shared" si="0"/>
        <v>25.3</v>
      </c>
      <c r="G7" s="352">
        <v>42308</v>
      </c>
      <c r="H7" s="349" t="s">
        <v>466</v>
      </c>
    </row>
    <row r="8" spans="1:8">
      <c r="A8" s="352">
        <v>42309</v>
      </c>
      <c r="B8" s="349" t="s">
        <v>519</v>
      </c>
      <c r="C8" s="349" t="s">
        <v>456</v>
      </c>
      <c r="D8" s="348">
        <v>30</v>
      </c>
      <c r="E8">
        <v>1</v>
      </c>
      <c r="F8" s="348">
        <f t="shared" si="0"/>
        <v>30</v>
      </c>
      <c r="G8" s="352">
        <v>42674</v>
      </c>
      <c r="H8" s="349" t="s">
        <v>467</v>
      </c>
    </row>
    <row r="9" spans="1:8">
      <c r="A9" s="352">
        <v>42675</v>
      </c>
      <c r="B9" s="349" t="s">
        <v>518</v>
      </c>
      <c r="C9" s="349" t="s">
        <v>461</v>
      </c>
      <c r="D9" s="348">
        <v>15</v>
      </c>
      <c r="E9">
        <v>1</v>
      </c>
      <c r="F9" s="348">
        <f t="shared" si="0"/>
        <v>15</v>
      </c>
      <c r="G9" s="352">
        <v>43039</v>
      </c>
      <c r="H9" s="349" t="s">
        <v>468</v>
      </c>
    </row>
    <row r="10" spans="1:8">
      <c r="A10" s="352">
        <v>42856</v>
      </c>
      <c r="B10" s="349" t="s">
        <v>521</v>
      </c>
      <c r="C10" s="349" t="s">
        <v>514</v>
      </c>
      <c r="D10" s="348">
        <v>-6.3</v>
      </c>
      <c r="E10">
        <v>1</v>
      </c>
      <c r="F10" s="348">
        <f t="shared" ref="F10" si="1">D10/E10</f>
        <v>-6.3</v>
      </c>
      <c r="G10" s="352">
        <v>43220</v>
      </c>
      <c r="H10" s="349" t="s">
        <v>513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Exhibit-RMP(RMM-1) page 1</vt:lpstr>
      <vt:lpstr>Exhibit-RMP(RMM-1) page 2</vt:lpstr>
      <vt:lpstr>Exhibit-RMP(RMM-2)</vt:lpstr>
      <vt:lpstr>Sch1 Bill Impact</vt:lpstr>
      <vt:lpstr>Comparison</vt:lpstr>
      <vt:lpstr>(Exh.1) Comm Ord Methd</vt:lpstr>
      <vt:lpstr>Allocator-2014</vt:lpstr>
      <vt:lpstr>Note</vt:lpstr>
      <vt:lpstr>'Exhibit-RMP(RMM-1) page 1'!Print_Area</vt:lpstr>
      <vt:lpstr>'Exhibit-RMP(RMM-1) page 2'!Print_Area</vt:lpstr>
      <vt:lpstr>'Exhibit-RMP(RMM-2)'!Print_Area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p74618</dc:creator>
  <cp:lastModifiedBy>laurieharris</cp:lastModifiedBy>
  <cp:lastPrinted>2016-03-04T19:29:08Z</cp:lastPrinted>
  <dcterms:created xsi:type="dcterms:W3CDTF">2012-05-11T17:24:36Z</dcterms:created>
  <dcterms:modified xsi:type="dcterms:W3CDTF">2017-03-16T13:17:57Z</dcterms:modified>
</cp:coreProperties>
</file>