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935"/>
  </bookViews>
  <sheets>
    <sheet name="2016 and 2017 EBA Balance" sheetId="1" r:id="rId1"/>
    <sheet name="Spc Customer" sheetId="4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0" hidden="1">{0,#N/A,TRUE,0;0,#N/A,TRUE,0;0,#N/A,TRUE,0;0,#N/A,TRUE,0;0,#N/A,TRUE,0;0,#N/A,TRUE,0;0,#N/A,TRUE,0;0,#N/A,TRUE,0}</definedName>
    <definedName name="alkjslkj" localSheetId="1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hidden="1">#REF!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[1]Inputs!#REF!</definedName>
    <definedName name="dsd" localSheetId="1" hidden="1">[1]Inputs!#REF!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0" hidden="1">{0,#N/A,TRUE,0;0,#N/A,TRUE,0;0,#N/A,TRUE,0;0,#N/A,TRUE,0;0,#N/A,TRUE,0;0,#N/A,TRUE,0;0,#N/A,TRUE,0;0,#N/A,TRUE,0}</definedName>
    <definedName name="fhfjhke" localSheetId="1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0" hidden="1">{0,#N/A,TRUE,0;0,#N/A,TRUE,0;0,#N/A,TRUE,0;0,#N/A,TRUE,0;0,#N/A,TRUE,0;0,#N/A,TRUE,0;0,#N/A,TRUE,0;0,#N/A,TRUE,0}</definedName>
    <definedName name="fjljelj" localSheetId="1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0" hidden="1">{0,#N/A,TRUE,0;0,#N/A,TRUE,0;0,#N/A,TRUE,0;0,#N/A,TRUE,0;0,#N/A,TRUE,0;0,#N/A,TRUE,0;0,#N/A,TRUE,0;0,#N/A,TRUE,0}</definedName>
    <definedName name="jfkejflj" localSheetId="1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0" hidden="1">{0,#N/A,TRUE,0;0,#N/A,TRUE,0;0,#N/A,TRUE,0;0,#N/A,TRUE,0;0,#N/A,TRUE,0;0,#N/A,TRUE,0;0,#N/A,TRUE,0;0,#N/A,TRUE,0}</definedName>
    <definedName name="jfkjlllje" localSheetId="1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localSheetId="1" hidden="1">[3]Inputs!#REF!</definedName>
    <definedName name="PricingInfo" hidden="1">[3]Inputs!#REF!</definedName>
    <definedName name="_xlnm.Print_Area" localSheetId="0">'2016 and 2017 EBA Balance'!$A$1:$H$17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localSheetId="1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0" hidden="1">{#N/A,#N/A,FALSE,"June 01 Mapping";#N/A,#N/A,FALSE,"June 01 conv";#N/A,#N/A,FALSE,"reclass";#N/A,#N/A,FALSE,"US FV";#N/A,#N/A,FALSE,"UK FV";#N/A,#N/A,FALSE,"UK GAAP"}</definedName>
    <definedName name="wrn.All._.but._.Syn._.and._.JE." localSheetId="1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0" hidden="1">{#N/A,#N/A,TRUE,"11.1";#N/A,#N/A,TRUE,"11.2";#N/A,#N/A,TRUE,"11.3-.4";#N/A,#N/A,TRUE,"11.5-11.6";#N/A,#N/A,TRUE,"11.7-.10";#N/A,#N/A,TRUE,"11.11-11.22";#N/A,#N/A,TRUE,"11.23_ECD"}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0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est." localSheetId="0" hidden="1">{#N/A,#N/A,TRUE,"10.1_Historical Cover Sheet";#N/A,#N/A,TRUE,"10.2-10.3_Historical"}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J6" i="1" l="1"/>
  <c r="D10" i="1"/>
  <c r="D9" i="1"/>
  <c r="D8" i="1"/>
  <c r="D7" i="1"/>
  <c r="E7" i="4"/>
  <c r="C7" i="4"/>
  <c r="E6" i="4" l="1"/>
  <c r="F6" i="4" s="1"/>
  <c r="F7" i="4" l="1"/>
  <c r="C8" i="4" s="1"/>
  <c r="E8" i="4" l="1"/>
  <c r="F8" i="4" l="1"/>
  <c r="C9" i="4" s="1"/>
  <c r="E9" i="4" s="1"/>
  <c r="F9" i="4" l="1"/>
  <c r="C10" i="4" s="1"/>
  <c r="C6" i="1"/>
  <c r="K6" i="1"/>
  <c r="J7" i="1"/>
  <c r="J8" i="1"/>
  <c r="K8" i="1" s="1"/>
  <c r="J9" i="1"/>
  <c r="J10" i="1"/>
  <c r="K10" i="1" s="1"/>
  <c r="J11" i="1"/>
  <c r="J12" i="1"/>
  <c r="J13" i="1"/>
  <c r="D12" i="1" l="1"/>
  <c r="D11" i="1"/>
  <c r="K11" i="1" s="1"/>
  <c r="G6" i="1"/>
  <c r="H6" i="1" s="1"/>
  <c r="C7" i="1" s="1"/>
  <c r="K12" i="1"/>
  <c r="K7" i="1"/>
  <c r="E10" i="4"/>
  <c r="K9" i="1"/>
  <c r="G7" i="1" l="1"/>
  <c r="H7" i="1" s="1"/>
  <c r="C8" i="1" s="1"/>
  <c r="G8" i="1" s="1"/>
  <c r="H8" i="1" s="1"/>
  <c r="C9" i="1" s="1"/>
  <c r="F10" i="4"/>
  <c r="C11" i="4" s="1"/>
  <c r="E11" i="4" l="1"/>
  <c r="G9" i="1"/>
  <c r="H9" i="1" s="1"/>
  <c r="C10" i="1" s="1"/>
  <c r="F11" i="4" l="1"/>
  <c r="C12" i="4" s="1"/>
  <c r="G10" i="1"/>
  <c r="H10" i="1" s="1"/>
  <c r="C11" i="1" s="1"/>
  <c r="G11" i="1" s="1"/>
  <c r="E12" i="4" l="1"/>
  <c r="H11" i="1"/>
  <c r="C12" i="1" s="1"/>
  <c r="F12" i="4" l="1"/>
  <c r="C13" i="4" s="1"/>
  <c r="G12" i="1"/>
  <c r="H12" i="1" s="1"/>
  <c r="E13" i="4" l="1"/>
  <c r="F13" i="4" l="1"/>
  <c r="C14" i="4" s="1"/>
  <c r="E14" i="4" l="1"/>
  <c r="F14" i="4" l="1"/>
  <c r="C15" i="4" s="1"/>
  <c r="E15" i="4" l="1"/>
  <c r="F15" i="4" l="1"/>
  <c r="C16" i="4" s="1"/>
  <c r="E16" i="4" l="1"/>
  <c r="F16" i="4" l="1"/>
  <c r="C17" i="4" s="1"/>
  <c r="E17" i="4" l="1"/>
  <c r="F17" i="4" s="1"/>
</calcChain>
</file>

<file path=xl/sharedStrings.xml><?xml version="1.0" encoding="utf-8"?>
<sst xmlns="http://schemas.openxmlformats.org/spreadsheetml/2006/main" count="32" uniqueCount="22">
  <si>
    <t>a.  $15,011,546.68 from 2016 EBA plus true-up -$1,255,204.92 from 2015 EBA.</t>
  </si>
  <si>
    <t>Note:</t>
  </si>
  <si>
    <t>b</t>
  </si>
  <si>
    <t>('$000)</t>
  </si>
  <si>
    <t>Budget Rev</t>
  </si>
  <si>
    <t>a</t>
  </si>
  <si>
    <t>End Balance</t>
  </si>
  <si>
    <t>Interest at 6%</t>
  </si>
  <si>
    <t>Amortization</t>
  </si>
  <si>
    <t>Begin Balance</t>
  </si>
  <si>
    <t>Month</t>
  </si>
  <si>
    <t>Adjusted</t>
  </si>
  <si>
    <t>Utah 2016 EBA Balance (Account # 187826)</t>
  </si>
  <si>
    <t>a.  $306,194 from 2016 EBA minus November 2016 recovery $61,392.30.</t>
  </si>
  <si>
    <t xml:space="preserve">    and fixed amount recovery for 11 months from December 2016 to October 2017.</t>
  </si>
  <si>
    <t>Utah 2016 EBA Balance (Account # 187826) and 2017 Interim Refund</t>
  </si>
  <si>
    <t>2017 Interim Refund</t>
  </si>
  <si>
    <t>Adj Spc Customer</t>
  </si>
  <si>
    <t>b.  Forecast</t>
  </si>
  <si>
    <t>c.  Days in month</t>
  </si>
  <si>
    <t>Excluding Spc Customer</t>
  </si>
  <si>
    <t>Spc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</si>
</sst>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[$-409]mmm\-yy;@"/>
    <numFmt numFmtId="165" formatCode="General_)"/>
  </numFmts>
  <fonts count="6" x14ac:knownFonts="1">
    <font>
      <sz val="12"/>
      <name val="Times New Roman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164" fontId="0" fillId="0" borderId="0" xfId="0" applyNumberFormat="1" applyFill="1" applyBorder="1"/>
    <xf numFmtId="5" fontId="2" fillId="0" borderId="0" xfId="0" applyNumberFormat="1" applyFont="1" applyFill="1" applyBorder="1"/>
    <xf numFmtId="10" fontId="0" fillId="0" borderId="0" xfId="0" applyNumberFormat="1" applyFill="1" applyBorder="1"/>
    <xf numFmtId="5" fontId="0" fillId="0" borderId="1" xfId="0" applyNumberFormat="1" applyFill="1" applyBorder="1"/>
    <xf numFmtId="7" fontId="0" fillId="0" borderId="2" xfId="0" applyNumberFormat="1" applyFill="1" applyBorder="1"/>
    <xf numFmtId="7" fontId="3" fillId="0" borderId="2" xfId="0" applyNumberFormat="1" applyFont="1" applyFill="1" applyBorder="1"/>
    <xf numFmtId="1" fontId="1" fillId="0" borderId="0" xfId="0" applyNumberFormat="1" applyFont="1" applyFill="1" applyBorder="1"/>
    <xf numFmtId="164" fontId="0" fillId="0" borderId="3" xfId="0" applyNumberFormat="1" applyFill="1" applyBorder="1"/>
    <xf numFmtId="5" fontId="0" fillId="0" borderId="4" xfId="0" applyNumberFormat="1" applyFill="1" applyBorder="1"/>
    <xf numFmtId="7" fontId="0" fillId="0" borderId="5" xfId="0" applyNumberFormat="1" applyFill="1" applyBorder="1"/>
    <xf numFmtId="7" fontId="3" fillId="0" borderId="5" xfId="0" applyNumberFormat="1" applyFont="1" applyFill="1" applyBorder="1"/>
    <xf numFmtId="7" fontId="2" fillId="0" borderId="5" xfId="0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4" fontId="0" fillId="0" borderId="0" xfId="0" applyNumberFormat="1" applyFill="1" applyBorder="1" applyAlignment="1">
      <alignment horizontal="right"/>
    </xf>
    <xf numFmtId="165" fontId="1" fillId="0" borderId="0" xfId="1"/>
    <xf numFmtId="7" fontId="0" fillId="0" borderId="0" xfId="0" applyNumberFormat="1" applyFill="1" applyBorder="1"/>
    <xf numFmtId="7" fontId="2" fillId="0" borderId="0" xfId="0" applyNumberFormat="1" applyFont="1" applyFill="1" applyBorder="1"/>
    <xf numFmtId="7" fontId="2" fillId="0" borderId="2" xfId="0" applyNumberFormat="1" applyFont="1" applyFill="1" applyBorder="1"/>
    <xf numFmtId="0" fontId="4" fillId="0" borderId="8" xfId="0" quotePrefix="1" applyFont="1" applyFill="1" applyBorder="1" applyAlignment="1">
      <alignment horizontal="centerContinuous"/>
    </xf>
    <xf numFmtId="7" fontId="0" fillId="0" borderId="4" xfId="0" applyNumberFormat="1" applyFill="1" applyBorder="1"/>
    <xf numFmtId="7" fontId="2" fillId="0" borderId="4" xfId="0" applyNumberFormat="1" applyFont="1" applyFill="1" applyBorder="1"/>
    <xf numFmtId="7" fontId="0" fillId="0" borderId="1" xfId="0" applyNumberFormat="1" applyFill="1" applyBorder="1"/>
  </cellXfs>
  <cellStyles count="2">
    <cellStyle name="Normal" xfId="0" builtinId="0"/>
    <cellStyle name="Normal_Blocking 09-00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80" zoomScaleNormal="80" zoomScaleSheetLayoutView="80" workbookViewId="0">
      <selection activeCell="D17" sqref="D17"/>
    </sheetView>
  </sheetViews>
  <sheetFormatPr defaultColWidth="8.625" defaultRowHeight="15.75" x14ac:dyDescent="0.25"/>
  <cols>
    <col min="1" max="1" width="9.625" style="1" customWidth="1"/>
    <col min="2" max="2" width="3.25" style="1" customWidth="1"/>
    <col min="3" max="8" width="16.625" style="1" customWidth="1"/>
    <col min="9" max="9" width="2.375" style="1" customWidth="1"/>
    <col min="10" max="10" width="10.25" style="1" bestFit="1" customWidth="1"/>
    <col min="11" max="11" width="8.625" style="1"/>
    <col min="12" max="12" width="11.75" style="1" bestFit="1" customWidth="1"/>
    <col min="13" max="16384" width="8.625" style="1"/>
  </cols>
  <sheetData>
    <row r="1" spans="1:13" x14ac:dyDescent="0.25">
      <c r="A1" s="30" t="s">
        <v>15</v>
      </c>
      <c r="B1" s="30"/>
      <c r="C1" s="29"/>
      <c r="D1" s="29"/>
      <c r="E1" s="29"/>
      <c r="F1" s="29"/>
      <c r="G1" s="29"/>
      <c r="H1" s="29"/>
    </row>
    <row r="2" spans="1:13" x14ac:dyDescent="0.25">
      <c r="A2" s="30" t="s">
        <v>20</v>
      </c>
      <c r="B2" s="30"/>
      <c r="C2" s="29"/>
      <c r="D2" s="29"/>
      <c r="E2" s="29"/>
      <c r="F2" s="29"/>
      <c r="G2" s="29"/>
      <c r="H2" s="29"/>
    </row>
    <row r="3" spans="1:13" x14ac:dyDescent="0.25">
      <c r="J3" s="28" t="s">
        <v>11</v>
      </c>
      <c r="L3" s="20">
        <v>2017</v>
      </c>
    </row>
    <row r="4" spans="1:13" x14ac:dyDescent="0.25">
      <c r="C4" s="26"/>
      <c r="D4" s="27"/>
      <c r="E4" s="27"/>
      <c r="F4" s="27"/>
      <c r="H4" s="26"/>
      <c r="J4" s="25" t="s">
        <v>4</v>
      </c>
      <c r="L4" s="19" t="s">
        <v>4</v>
      </c>
    </row>
    <row r="5" spans="1:13" x14ac:dyDescent="0.25">
      <c r="A5" s="24" t="s">
        <v>10</v>
      </c>
      <c r="B5" s="20"/>
      <c r="C5" s="22" t="s">
        <v>9</v>
      </c>
      <c r="D5" s="23" t="s">
        <v>8</v>
      </c>
      <c r="E5" s="23" t="s">
        <v>17</v>
      </c>
      <c r="F5" s="23" t="s">
        <v>16</v>
      </c>
      <c r="G5" s="22" t="s">
        <v>7</v>
      </c>
      <c r="H5" s="36" t="s">
        <v>6</v>
      </c>
      <c r="J5" s="21" t="s">
        <v>3</v>
      </c>
      <c r="L5" s="18" t="s">
        <v>3</v>
      </c>
    </row>
    <row r="6" spans="1:13" x14ac:dyDescent="0.25">
      <c r="A6" s="6">
        <v>42675</v>
      </c>
      <c r="B6" s="12" t="s">
        <v>5</v>
      </c>
      <c r="C6" s="17">
        <f>15011546.68-1255204.92</f>
        <v>13756341.76</v>
      </c>
      <c r="D6" s="17">
        <v>-1795694.31</v>
      </c>
      <c r="E6" s="17">
        <f>-'Spc Customer'!C7</f>
        <v>-244801.7</v>
      </c>
      <c r="F6" s="17"/>
      <c r="G6" s="15">
        <f>ROUND((C6+D6*0.5)*0.06/12,2)</f>
        <v>64292.47</v>
      </c>
      <c r="H6" s="37">
        <f>SUM(C6:G6)</f>
        <v>11780138.220000001</v>
      </c>
      <c r="J6" s="14">
        <f>L16</f>
        <v>144082.80049559983</v>
      </c>
      <c r="K6" s="8">
        <f t="shared" ref="K6:K11" si="0">-D6/(J6*1000)</f>
        <v>1.2462933145548062E-2</v>
      </c>
      <c r="L6" s="7">
        <v>159418.6918513561</v>
      </c>
      <c r="M6" s="6">
        <v>42736</v>
      </c>
    </row>
    <row r="7" spans="1:13" x14ac:dyDescent="0.25">
      <c r="A7" s="6">
        <v>42705</v>
      </c>
      <c r="B7" s="12"/>
      <c r="C7" s="15">
        <f>H6</f>
        <v>11780138.220000001</v>
      </c>
      <c r="D7" s="17">
        <f>-1195883.52-'Spc Customer'!D7</f>
        <v>-1173628.82</v>
      </c>
      <c r="E7" s="17"/>
      <c r="F7" s="17"/>
      <c r="G7" s="15">
        <f t="shared" ref="G7:G12" si="1">ROUND((C7+D7*0.5)*0.06/12,2)</f>
        <v>55966.62</v>
      </c>
      <c r="H7" s="37">
        <f t="shared" ref="H7:H12" si="2">SUM(C7:G7)</f>
        <v>10662476.02</v>
      </c>
      <c r="J7" s="14">
        <f>L17</f>
        <v>158414.40162695255</v>
      </c>
      <c r="K7" s="8">
        <f t="shared" si="0"/>
        <v>7.4085992684160057E-3</v>
      </c>
      <c r="L7" s="7">
        <v>142526.424419516</v>
      </c>
      <c r="M7" s="6">
        <v>42767</v>
      </c>
    </row>
    <row r="8" spans="1:13" x14ac:dyDescent="0.25">
      <c r="A8" s="6">
        <v>42736</v>
      </c>
      <c r="B8" s="12"/>
      <c r="C8" s="15">
        <f t="shared" ref="C8:C11" si="3">H7</f>
        <v>10662476.02</v>
      </c>
      <c r="D8" s="17">
        <f>-1161802.57-'Spc Customer'!D8</f>
        <v>-1139547.8700000001</v>
      </c>
      <c r="E8" s="17"/>
      <c r="F8" s="17"/>
      <c r="G8" s="15">
        <f t="shared" si="1"/>
        <v>50463.51</v>
      </c>
      <c r="H8" s="37">
        <f t="shared" si="2"/>
        <v>9573391.6599999983</v>
      </c>
      <c r="J8" s="14">
        <f t="shared" ref="J8:J13" si="4">L6</f>
        <v>159418.6918513561</v>
      </c>
      <c r="K8" s="8">
        <f t="shared" si="0"/>
        <v>7.1481446545962647E-3</v>
      </c>
      <c r="L8" s="7">
        <v>148585.24265104518</v>
      </c>
      <c r="M8" s="6">
        <v>42795</v>
      </c>
    </row>
    <row r="9" spans="1:13" x14ac:dyDescent="0.25">
      <c r="A9" s="6">
        <v>42767</v>
      </c>
      <c r="B9" s="12"/>
      <c r="C9" s="15">
        <f t="shared" si="3"/>
        <v>9573391.6599999983</v>
      </c>
      <c r="D9" s="17">
        <f>-1123559.37-'Spc Customer'!D9</f>
        <v>-1101304.6700000002</v>
      </c>
      <c r="E9" s="17"/>
      <c r="F9" s="17"/>
      <c r="G9" s="15">
        <f t="shared" si="1"/>
        <v>45113.7</v>
      </c>
      <c r="H9" s="37">
        <f t="shared" si="2"/>
        <v>8517200.6899999976</v>
      </c>
      <c r="J9" s="14">
        <f t="shared" si="4"/>
        <v>142526.424419516</v>
      </c>
      <c r="K9" s="8">
        <f t="shared" si="0"/>
        <v>7.7270209681145948E-3</v>
      </c>
      <c r="L9" s="7">
        <v>141254.5680814478</v>
      </c>
      <c r="M9" s="6">
        <v>42826</v>
      </c>
    </row>
    <row r="10" spans="1:13" x14ac:dyDescent="0.25">
      <c r="A10" s="6">
        <v>42795</v>
      </c>
      <c r="B10" s="12"/>
      <c r="C10" s="15">
        <f t="shared" si="3"/>
        <v>8517200.6899999976</v>
      </c>
      <c r="D10" s="17">
        <f>-977073.73-'Spc Customer'!D10</f>
        <v>-954819.03</v>
      </c>
      <c r="E10" s="17"/>
      <c r="F10" s="17"/>
      <c r="G10" s="15">
        <f t="shared" si="1"/>
        <v>40198.959999999999</v>
      </c>
      <c r="H10" s="37">
        <f t="shared" si="2"/>
        <v>7602580.6199999973</v>
      </c>
      <c r="J10" s="14">
        <f t="shared" si="4"/>
        <v>148585.24265104518</v>
      </c>
      <c r="K10" s="8">
        <f t="shared" si="0"/>
        <v>6.4260690561471698E-3</v>
      </c>
      <c r="L10" s="7">
        <v>163526.9466164076</v>
      </c>
      <c r="M10" s="6">
        <v>42856</v>
      </c>
    </row>
    <row r="11" spans="1:13" x14ac:dyDescent="0.25">
      <c r="A11" s="6">
        <v>42826</v>
      </c>
      <c r="B11" s="12" t="s">
        <v>2</v>
      </c>
      <c r="C11" s="15">
        <f t="shared" si="3"/>
        <v>7602580.6199999973</v>
      </c>
      <c r="D11" s="16">
        <f>ROUND(SUM($D$7:$D$10)/SUM($J$7:$J$10)*J11,2)</f>
        <v>-1013529.76</v>
      </c>
      <c r="E11" s="16"/>
      <c r="F11" s="38">
        <v>-6542837.395663131</v>
      </c>
      <c r="G11" s="15">
        <f>ROUND((C11+D11*0.5)*0.06/12,2)</f>
        <v>35479.08</v>
      </c>
      <c r="H11" s="37">
        <f>SUM(C11:G11)</f>
        <v>81692.544336866515</v>
      </c>
      <c r="J11" s="14">
        <f t="shared" si="4"/>
        <v>141254.5680814478</v>
      </c>
      <c r="K11" s="8">
        <f t="shared" si="0"/>
        <v>7.1751998803719795E-3</v>
      </c>
      <c r="L11" s="7">
        <v>185120.75332010328</v>
      </c>
      <c r="M11" s="6">
        <v>42887</v>
      </c>
    </row>
    <row r="12" spans="1:13" x14ac:dyDescent="0.25">
      <c r="A12" s="13">
        <v>42856</v>
      </c>
      <c r="B12" s="12" t="s">
        <v>2</v>
      </c>
      <c r="C12" s="10">
        <f>H11</f>
        <v>81692.544336866515</v>
      </c>
      <c r="D12" s="11">
        <f>ROUND(SUM($D$7:$D$10)/SUM($J$7:$J$10)*J12,2)*D17/31</f>
        <v>-81896.264324073505</v>
      </c>
      <c r="E12" s="11"/>
      <c r="F12" s="11"/>
      <c r="G12" s="10">
        <f t="shared" si="1"/>
        <v>203.72</v>
      </c>
      <c r="H12" s="39">
        <f t="shared" si="2"/>
        <v>1.2793009517508835E-5</v>
      </c>
      <c r="J12" s="14">
        <f t="shared" si="4"/>
        <v>163526.9466164076</v>
      </c>
      <c r="K12" s="8">
        <f>-D12/(J12*1000)</f>
        <v>5.008120436332808E-4</v>
      </c>
      <c r="L12" s="7">
        <v>221105.5732340508</v>
      </c>
      <c r="M12" s="6">
        <v>42917</v>
      </c>
    </row>
    <row r="13" spans="1:13" x14ac:dyDescent="0.25">
      <c r="A13" s="6"/>
      <c r="B13" s="6"/>
      <c r="D13" s="5"/>
      <c r="E13" s="5"/>
      <c r="F13" s="5"/>
      <c r="J13" s="14">
        <f t="shared" si="4"/>
        <v>185120.75332010328</v>
      </c>
      <c r="K13" s="8"/>
      <c r="L13" s="7">
        <v>211558.18703329313</v>
      </c>
      <c r="M13" s="6">
        <v>42948</v>
      </c>
    </row>
    <row r="14" spans="1:13" x14ac:dyDescent="0.25">
      <c r="A14" s="3" t="s">
        <v>1</v>
      </c>
      <c r="G14" s="5"/>
      <c r="J14" s="14"/>
      <c r="K14" s="8"/>
      <c r="L14" s="7">
        <v>176991.00274909966</v>
      </c>
      <c r="M14" s="6">
        <v>42979</v>
      </c>
    </row>
    <row r="15" spans="1:13" x14ac:dyDescent="0.25">
      <c r="A15" s="3" t="s">
        <v>0</v>
      </c>
      <c r="B15" s="6"/>
      <c r="D15" s="5"/>
      <c r="E15" s="5"/>
      <c r="F15" s="5"/>
      <c r="J15" s="14"/>
      <c r="K15" s="8"/>
      <c r="L15" s="7">
        <v>142934.08227942954</v>
      </c>
      <c r="M15" s="6">
        <v>43009</v>
      </c>
    </row>
    <row r="16" spans="1:13" x14ac:dyDescent="0.25">
      <c r="A16" s="3" t="s">
        <v>18</v>
      </c>
      <c r="B16" s="6"/>
      <c r="G16" s="5"/>
      <c r="J16" s="14"/>
      <c r="K16" s="8"/>
      <c r="L16" s="7">
        <v>144082.80049559983</v>
      </c>
      <c r="M16" s="6">
        <v>43041</v>
      </c>
    </row>
    <row r="17" spans="1:13" x14ac:dyDescent="0.25">
      <c r="A17" s="3" t="s">
        <v>19</v>
      </c>
      <c r="D17" s="4">
        <v>2.1637269459192465</v>
      </c>
      <c r="E17" s="4"/>
      <c r="F17" s="4"/>
      <c r="J17" s="9"/>
      <c r="K17" s="8"/>
      <c r="L17" s="7">
        <v>158414.40162695255</v>
      </c>
      <c r="M17" s="6">
        <v>43072</v>
      </c>
    </row>
    <row r="18" spans="1:13" x14ac:dyDescent="0.25">
      <c r="A18" s="3"/>
      <c r="D18" s="2"/>
      <c r="E18" s="2"/>
      <c r="F18" s="2"/>
    </row>
  </sheetData>
  <printOptions horizontalCentered="1"/>
  <pageMargins left="0.25" right="0.25" top="1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80" zoomScaleNormal="80" zoomScaleSheetLayoutView="80" workbookViewId="0">
      <selection activeCell="I21" sqref="I21"/>
    </sheetView>
  </sheetViews>
  <sheetFormatPr defaultColWidth="8.625" defaultRowHeight="15.75" x14ac:dyDescent="0.25"/>
  <cols>
    <col min="1" max="1" width="8.625" style="1"/>
    <col min="2" max="2" width="3.25" style="1" customWidth="1"/>
    <col min="3" max="6" width="15.375" style="1" customWidth="1"/>
    <col min="7" max="8" width="8.625" style="1"/>
    <col min="9" max="9" width="10.375" style="1" bestFit="1" customWidth="1"/>
    <col min="10" max="10" width="8.625" style="1"/>
    <col min="11" max="11" width="12.125" style="1" bestFit="1" customWidth="1"/>
    <col min="12" max="16384" width="8.625" style="1"/>
  </cols>
  <sheetData>
    <row r="1" spans="1:11" x14ac:dyDescent="0.25">
      <c r="A1" s="30" t="s">
        <v>12</v>
      </c>
      <c r="B1" s="30"/>
      <c r="C1" s="29"/>
      <c r="D1" s="29"/>
      <c r="E1" s="29"/>
      <c r="F1" s="29"/>
    </row>
    <row r="2" spans="1:11" x14ac:dyDescent="0.25">
      <c r="A2" s="30" t="s">
        <v>21</v>
      </c>
      <c r="B2" s="30"/>
      <c r="C2" s="29"/>
      <c r="D2" s="29"/>
      <c r="E2" s="29"/>
      <c r="F2" s="29"/>
    </row>
    <row r="4" spans="1:11" x14ac:dyDescent="0.25">
      <c r="C4" s="26"/>
      <c r="D4" s="27"/>
      <c r="F4" s="26"/>
    </row>
    <row r="5" spans="1:11" x14ac:dyDescent="0.25">
      <c r="A5" s="24" t="s">
        <v>10</v>
      </c>
      <c r="B5" s="20"/>
      <c r="C5" s="22" t="s">
        <v>9</v>
      </c>
      <c r="D5" s="23" t="s">
        <v>8</v>
      </c>
      <c r="E5" s="22" t="s">
        <v>7</v>
      </c>
      <c r="F5" s="22" t="s">
        <v>6</v>
      </c>
    </row>
    <row r="6" spans="1:11" x14ac:dyDescent="0.25">
      <c r="A6" s="6">
        <v>42675</v>
      </c>
      <c r="B6" s="12"/>
      <c r="C6" s="17">
        <v>0</v>
      </c>
      <c r="D6" s="17">
        <v>0</v>
      </c>
      <c r="E6" s="15">
        <f t="shared" ref="E6:E17" si="0">ROUND((C6+D6*0.5)*0.06/12,2)</f>
        <v>0</v>
      </c>
      <c r="F6" s="15">
        <f t="shared" ref="F6:F17" si="1">SUM(C6:E6)</f>
        <v>0</v>
      </c>
    </row>
    <row r="7" spans="1:11" x14ac:dyDescent="0.25">
      <c r="A7" s="6">
        <v>42705</v>
      </c>
      <c r="B7" s="12" t="s">
        <v>5</v>
      </c>
      <c r="C7" s="15">
        <f>306194-61392.3</f>
        <v>244801.7</v>
      </c>
      <c r="D7" s="17">
        <v>-22254.7</v>
      </c>
      <c r="E7" s="15">
        <f>ROUND((C7+D7*0.5)*0.06/12,2)</f>
        <v>1168.3699999999999</v>
      </c>
      <c r="F7" s="15">
        <f t="shared" si="1"/>
        <v>223715.37</v>
      </c>
      <c r="K7" s="33"/>
    </row>
    <row r="8" spans="1:11" x14ac:dyDescent="0.25">
      <c r="A8" s="6">
        <v>42736</v>
      </c>
      <c r="B8" s="12"/>
      <c r="C8" s="15">
        <f t="shared" ref="C8:C17" si="2">F7</f>
        <v>223715.37</v>
      </c>
      <c r="D8" s="17">
        <v>-22254.7</v>
      </c>
      <c r="E8" s="15">
        <f t="shared" si="0"/>
        <v>1062.94</v>
      </c>
      <c r="F8" s="15">
        <f t="shared" si="1"/>
        <v>202523.61</v>
      </c>
      <c r="I8" s="33"/>
    </row>
    <row r="9" spans="1:11" x14ac:dyDescent="0.25">
      <c r="A9" s="6">
        <v>42767</v>
      </c>
      <c r="B9" s="12"/>
      <c r="C9" s="15">
        <f t="shared" si="2"/>
        <v>202523.61</v>
      </c>
      <c r="D9" s="17">
        <v>-22254.7</v>
      </c>
      <c r="E9" s="15">
        <f t="shared" si="0"/>
        <v>956.98</v>
      </c>
      <c r="F9" s="15">
        <f t="shared" si="1"/>
        <v>181225.88999999998</v>
      </c>
    </row>
    <row r="10" spans="1:11" x14ac:dyDescent="0.25">
      <c r="A10" s="6">
        <v>42795</v>
      </c>
      <c r="B10" s="12"/>
      <c r="C10" s="15">
        <f t="shared" si="2"/>
        <v>181225.88999999998</v>
      </c>
      <c r="D10" s="17">
        <v>-22254.7</v>
      </c>
      <c r="E10" s="15">
        <f t="shared" si="0"/>
        <v>850.49</v>
      </c>
      <c r="F10" s="15">
        <f t="shared" si="1"/>
        <v>159821.67999999996</v>
      </c>
      <c r="J10" s="32"/>
    </row>
    <row r="11" spans="1:11" x14ac:dyDescent="0.25">
      <c r="A11" s="6">
        <v>42826</v>
      </c>
      <c r="B11" s="12"/>
      <c r="C11" s="15">
        <f t="shared" si="2"/>
        <v>159821.67999999996</v>
      </c>
      <c r="D11" s="17">
        <v>-22254.7</v>
      </c>
      <c r="E11" s="15">
        <f t="shared" si="0"/>
        <v>743.47</v>
      </c>
      <c r="F11" s="15">
        <f t="shared" si="1"/>
        <v>138310.44999999995</v>
      </c>
    </row>
    <row r="12" spans="1:11" x14ac:dyDescent="0.25">
      <c r="A12" s="6">
        <v>42856</v>
      </c>
      <c r="B12" s="12"/>
      <c r="C12" s="15">
        <f t="shared" si="2"/>
        <v>138310.44999999995</v>
      </c>
      <c r="D12" s="17">
        <v>-22254.7</v>
      </c>
      <c r="E12" s="15">
        <f t="shared" si="0"/>
        <v>635.91999999999996</v>
      </c>
      <c r="F12" s="15">
        <f t="shared" si="1"/>
        <v>116691.66999999995</v>
      </c>
    </row>
    <row r="13" spans="1:11" x14ac:dyDescent="0.25">
      <c r="A13" s="6">
        <v>42887</v>
      </c>
      <c r="B13" s="12"/>
      <c r="C13" s="15">
        <f t="shared" si="2"/>
        <v>116691.66999999995</v>
      </c>
      <c r="D13" s="17">
        <v>-22254.7</v>
      </c>
      <c r="E13" s="15">
        <f t="shared" si="0"/>
        <v>527.82000000000005</v>
      </c>
      <c r="F13" s="15">
        <f t="shared" si="1"/>
        <v>94964.789999999964</v>
      </c>
    </row>
    <row r="14" spans="1:11" x14ac:dyDescent="0.25">
      <c r="A14" s="6">
        <v>42917</v>
      </c>
      <c r="B14" s="12"/>
      <c r="C14" s="15">
        <f t="shared" si="2"/>
        <v>94964.789999999964</v>
      </c>
      <c r="D14" s="17">
        <v>-22254.7</v>
      </c>
      <c r="E14" s="15">
        <f t="shared" si="0"/>
        <v>419.19</v>
      </c>
      <c r="F14" s="15">
        <f t="shared" si="1"/>
        <v>73129.27999999997</v>
      </c>
    </row>
    <row r="15" spans="1:11" x14ac:dyDescent="0.25">
      <c r="A15" s="6">
        <v>42948</v>
      </c>
      <c r="B15" s="12"/>
      <c r="C15" s="15">
        <f t="shared" si="2"/>
        <v>73129.27999999997</v>
      </c>
      <c r="D15" s="17">
        <v>-22254.7</v>
      </c>
      <c r="E15" s="15">
        <f t="shared" si="0"/>
        <v>310.01</v>
      </c>
      <c r="F15" s="15">
        <f t="shared" si="1"/>
        <v>51184.589999999975</v>
      </c>
    </row>
    <row r="16" spans="1:11" x14ac:dyDescent="0.25">
      <c r="A16" s="6">
        <v>42979</v>
      </c>
      <c r="B16" s="12"/>
      <c r="C16" s="15">
        <f t="shared" si="2"/>
        <v>51184.589999999975</v>
      </c>
      <c r="D16" s="17">
        <v>-22254.7</v>
      </c>
      <c r="E16" s="15">
        <f t="shared" si="0"/>
        <v>200.29</v>
      </c>
      <c r="F16" s="15">
        <f t="shared" si="1"/>
        <v>29130.179999999975</v>
      </c>
    </row>
    <row r="17" spans="1:6" x14ac:dyDescent="0.25">
      <c r="A17" s="13">
        <v>43009</v>
      </c>
      <c r="B17" s="12"/>
      <c r="C17" s="10">
        <f t="shared" si="2"/>
        <v>29130.179999999975</v>
      </c>
      <c r="D17" s="35">
        <v>-22254.7</v>
      </c>
      <c r="E17" s="10">
        <f t="shared" si="0"/>
        <v>90.01</v>
      </c>
      <c r="F17" s="10">
        <f t="shared" si="1"/>
        <v>6965.4899999999743</v>
      </c>
    </row>
    <row r="18" spans="1:6" x14ac:dyDescent="0.25">
      <c r="A18" s="6"/>
      <c r="B18" s="6"/>
      <c r="D18" s="5"/>
      <c r="E18" s="31"/>
      <c r="F18" s="34"/>
    </row>
    <row r="19" spans="1:6" x14ac:dyDescent="0.25">
      <c r="A19" s="3" t="s">
        <v>1</v>
      </c>
      <c r="E19" s="5"/>
    </row>
    <row r="20" spans="1:6" x14ac:dyDescent="0.25">
      <c r="A20" s="3" t="s">
        <v>13</v>
      </c>
      <c r="B20" s="6"/>
      <c r="D20" s="5"/>
    </row>
    <row r="21" spans="1:6" x14ac:dyDescent="0.25">
      <c r="A21" s="3" t="s">
        <v>14</v>
      </c>
    </row>
  </sheetData>
  <printOptions horizontalCentered="1"/>
  <pageMargins left="0.25" right="0.25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and 2017 EBA Balance</vt:lpstr>
      <vt:lpstr>Spc Customer</vt:lpstr>
      <vt:lpstr>'2016 and 2017 EBA Balance'!Print_Area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2017-04-26T19:17:19Z</dcterms:created>
  <dcterms:modified xsi:type="dcterms:W3CDTF">2017-04-26T19:17:24Z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