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Websites\Pscweb\utilities\electric\17docs\1703515\"/>
    </mc:Choice>
  </mc:AlternateContent>
  <bookViews>
    <workbookView xWindow="0" yWindow="0" windowWidth="28800" windowHeight="11205"/>
  </bookViews>
  <sheets>
    <sheet name="10K to FF1 Inc Stmt" sheetId="1" r:id="rId1"/>
    <sheet name="Rtmkg FERC accts" sheetId="2" r:id="rId2"/>
    <sheet name="PacifiCorp YTD" sheetId="3" r:id="rId3"/>
    <sheet name="IS Reconciliation" sheetId="4" r:id="rId4"/>
    <sheet name="Form 1" sheetId="9" r:id="rId5"/>
    <sheet name="CC- Taxes " sheetId="5" r:id="rId6"/>
    <sheet name="EE - Other Net &amp; Derivative P-L" sheetId="7" r:id="rId7"/>
    <sheet name="FF - Interest Exp" sheetId="6" r:id="rId8"/>
  </sheets>
  <externalReferences>
    <externalReference r:id="rId9"/>
    <externalReference r:id="rId10"/>
    <externalReference r:id="rId11"/>
    <externalReference r:id="rId12"/>
    <externalReference r:id="rId13"/>
    <externalReference r:id="rId14"/>
    <externalReference r:id="rId15"/>
  </externalReferences>
  <definedNames>
    <definedName name="________j1" localSheetId="6"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6"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6"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6"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6"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6"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6"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6"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6"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6"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j1" localSheetId="6"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6"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6"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6"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6"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6"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6"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6"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6"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6"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6"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6"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6"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6"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6"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6"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6"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6"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6"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6"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6"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6"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6"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6"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localSheetId="6"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6"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6"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6"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6"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localSheetId="1" hidden="1">'Rtmkg FERC accts'!$A$1:$F$61</definedName>
    <definedName name="_xlnm._FilterDatabase" hidden="1">#REF!</definedName>
    <definedName name="_j1" localSheetId="6"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6"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6"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6"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6"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localSheetId="6"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255</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asa" localSheetId="6"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6"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6"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6"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gs" localSheetId="6"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6"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6"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6"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6"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6"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6" hidden="1">{#N/A,#N/A,FALSE,"Loans";#N/A,#N/A,FALSE,"Program Costs";#N/A,#N/A,FALSE,"Measures";#N/A,#N/A,FALSE,"Net Lost Rev";#N/A,#N/A,FALSE,"Incentive"}</definedName>
    <definedName name="extra5" hidden="1">{#N/A,#N/A,FALSE,"Loans";#N/A,#N/A,FALSE,"Program Costs";#N/A,#N/A,FALSE,"Measures";#N/A,#N/A,FALSE,"Net Lost Rev";#N/A,#N/A,FALSE,"Incentive"}</definedName>
    <definedName name="foo" localSheetId="6"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6"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6"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6"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6"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6"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6"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6"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6"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6"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6" hidden="1">{#N/A,#N/A,FALSE,"Actual";#N/A,#N/A,FALSE,"Normalized";#N/A,#N/A,FALSE,"Electric Actual";#N/A,#N/A,FALSE,"Electric Normalized"}</definedName>
    <definedName name="Master" hidden="1">{#N/A,#N/A,FALSE,"Actual";#N/A,#N/A,FALSE,"Normalized";#N/A,#N/A,FALSE,"Electric Actual";#N/A,#N/A,FALSE,"Electric Normalized"}</definedName>
    <definedName name="misc" localSheetId="5" hidden="1">{#N/A,#N/A,FALSE,"EBIT View - month";#N/A,#N/A,FALSE,"EBIT view - other month";#N/A,#N/A,FALSE,"EBIT View - Qtr";#N/A,#N/A,FALSE,"EBIT View - Year"}</definedName>
    <definedName name="misc" localSheetId="2" hidden="1">{#N/A,#N/A,FALSE,"EBIT View - month";#N/A,#N/A,FALSE,"EBIT view - other month";#N/A,#N/A,FALSE,"EBIT View - Qtr";#N/A,#N/A,FALSE,"EBIT View - Year"}</definedName>
    <definedName name="mmm" localSheetId="6"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6"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6"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6"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6"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6"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6"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retail" localSheetId="6"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6"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3" hidden="1">"45E0HSXTFNPZNJBTUASVO6FBF"</definedName>
    <definedName name="SAPBEXwbID" localSheetId="2" hidden="1">"4108ERTMCIG0BXYHHID4U9VRF"</definedName>
    <definedName name="SAPBEXwbID" hidden="1">"45LH92Q3939V4QXK6YGUNRITN"</definedName>
    <definedName name="shit" localSheetId="6"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6" hidden="1">{#N/A,#N/A,FALSE,"Actual";#N/A,#N/A,FALSE,"Normalized";#N/A,#N/A,FALSE,"Electric Actual";#N/A,#N/A,FALSE,"Electric Normalized"}</definedName>
    <definedName name="spippw" hidden="1">{#N/A,#N/A,FALSE,"Actual";#N/A,#N/A,FALSE,"Normalized";#N/A,#N/A,FALSE,"Electric Actual";#N/A,#N/A,FALSE,"Electric Normalized"}</definedName>
    <definedName name="standard1" localSheetId="6" hidden="1">{"YTD-Total",#N/A,FALSE,"Provision"}</definedName>
    <definedName name="standard1" hidden="1">{"YTD-Total",#N/A,FALSE,"Provision"}</definedName>
    <definedName name="w" hidden="1">[4]Inputs!#REF!</definedName>
    <definedName name="wrn.1996._.Hydro._.5._.Year._.Forecast._.Budget." localSheetId="6"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6" hidden="1">{"Page 3.4.1",#N/A,FALSE,"Totals";"Page 3.4.2",#N/A,FALSE,"Totals"}</definedName>
    <definedName name="wrn.Adj._.Back_Up." hidden="1">{"Page 3.4.1",#N/A,FALSE,"Totals";"Page 3.4.2",#N/A,FALSE,"Totals"}</definedName>
    <definedName name="wrn.ALL." localSheetId="6"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6"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6"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6" hidden="1">{#N/A,#N/A,FALSE,"Summary 1";#N/A,#N/A,FALSE,"Domestic";#N/A,#N/A,FALSE,"Australia";#N/A,#N/A,FALSE,"Other"}</definedName>
    <definedName name="wrn.All._.pages." hidden="1">{#N/A,#N/A,FALSE,"Summary 1";#N/A,#N/A,FALSE,"Domestic";#N/A,#N/A,FALSE,"Australia";#N/A,#N/A,FALSE,"Other"}</definedName>
    <definedName name="wrn.Allocation._.factor." localSheetId="6"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6"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6"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6"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6" hidden="1">{#N/A,#N/A,TRUE,"Cover";#N/A,#N/A,TRUE,"Contents"}</definedName>
    <definedName name="wrn.Cover." hidden="1">{#N/A,#N/A,TRUE,"Cover";#N/A,#N/A,TRUE,"Contents"}</definedName>
    <definedName name="wrn.CoverContents." localSheetId="6" hidden="1">{#N/A,#N/A,FALSE,"Cover";#N/A,#N/A,FALSE,"Contents"}</definedName>
    <definedName name="wrn.CoverContents." hidden="1">{#N/A,#N/A,FALSE,"Cover";#N/A,#N/A,FALSE,"Contents"}</definedName>
    <definedName name="wrn.EBIT._.views." localSheetId="5" hidden="1">{#N/A,#N/A,FALSE,"EBIT View - month";#N/A,#N/A,FALSE,"EBIT view - other month";#N/A,#N/A,FALSE,"EBIT View - Qtr";#N/A,#N/A,FALSE,"EBIT View - Year"}</definedName>
    <definedName name="wrn.EBIT._.views." localSheetId="2" hidden="1">{#N/A,#N/A,FALSE,"EBIT View - month";#N/A,#N/A,FALSE,"EBIT view - other month";#N/A,#N/A,FALSE,"EBIT View - Qtr";#N/A,#N/A,FALSE,"EBIT View - Year"}</definedName>
    <definedName name="wrn.El._.Paso._.Offshore." localSheetId="6"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Factors._.Tab._.10." localSheetId="6"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6" hidden="1">{"FullView",#N/A,FALSE,"Consltd-For contngcy"}</definedName>
    <definedName name="wrn.Full._.View." hidden="1">{"FullView",#N/A,FALSE,"Consltd-For contngcy"}</definedName>
    <definedName name="wrn.GLReport." localSheetId="6"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nterim._.no._.quarter._.printed." localSheetId="5" hidden="1">{#N/A,#N/A,FALSE,"PCorp month";#N/A,#N/A,FALSE,"DomElec Month";#N/A,#N/A,FALSE,"Other Ops month";#N/A,#N/A,FALSE,"Pcorp Yr";#N/A,#N/A,FALSE,"Dom Elec Yr";#N/A,#N/A,FALSE,"Other Ops Yr";#N/A,#N/A,FALSE,"Recon SEC to Legal";#N/A,#N/A,FALSE,"Recon SEC to LOB"}</definedName>
    <definedName name="wrn.Interim._.no._.quarter._.printed." localSheetId="2" hidden="1">{#N/A,#N/A,FALSE,"PCorp month";#N/A,#N/A,FALSE,"DomElec Month";#N/A,#N/A,FALSE,"Other Ops month";#N/A,#N/A,FALSE,"Pcorp Yr";#N/A,#N/A,FALSE,"Dom Elec Yr";#N/A,#N/A,FALSE,"Other Ops Yr";#N/A,#N/A,FALSE,"Recon SEC to Legal";#N/A,#N/A,FALSE,"Recon SEC to LOB"}</definedName>
    <definedName name="wrn.Open._.Issues._.Only." localSheetId="6" hidden="1">{"Open issues Only",#N/A,FALSE,"TIMELINE"}</definedName>
    <definedName name="wrn.Open._.Issues._.Only." hidden="1">{"Open issues Only",#N/A,FALSE,"TIMELINE"}</definedName>
    <definedName name="wrn.OR._.Carrying._.Charge._.JV." localSheetId="6"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6"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6" hidden="1">{#N/A,#N/A,FALSE,"Consltd-For contngcy";"PaymentView",#N/A,FALSE,"Consltd-For contngcy"}</definedName>
    <definedName name="wrn.Payment._.View." hidden="1">{#N/A,#N/A,FALSE,"Consltd-For contngcy";"PaymentView",#N/A,FALSE,"Consltd-For contngcy"}</definedName>
    <definedName name="wrn.PFSreconview." localSheetId="6" hidden="1">{"PFS recon view",#N/A,FALSE,"Hyperion Proof"}</definedName>
    <definedName name="wrn.PFSreconview." hidden="1">{"PFS recon view",#N/A,FALSE,"Hyperion Proof"}</definedName>
    <definedName name="wrn.PGHCreconview." localSheetId="6" hidden="1">{"PGHC recon view",#N/A,FALSE,"Hyperion Proof"}</definedName>
    <definedName name="wrn.PGHCreconview." hidden="1">{"PGHC recon view",#N/A,FALSE,"Hyperion Proof"}</definedName>
    <definedName name="wrn.PHI._.all._.other._.months." localSheetId="6" hidden="1">{#N/A,#N/A,FALSE,"PHI MTD";#N/A,#N/A,FALSE,"PHI YTD"}</definedName>
    <definedName name="wrn.PHI._.all._.other._.months." hidden="1">{#N/A,#N/A,FALSE,"PHI MTD";#N/A,#N/A,FALSE,"PHI YTD"}</definedName>
    <definedName name="wrn.PHI._.only." localSheetId="6" hidden="1">{#N/A,#N/A,FALSE,"PHI"}</definedName>
    <definedName name="wrn.PHI._.only." hidden="1">{#N/A,#N/A,FALSE,"PHI"}</definedName>
    <definedName name="wrn.PHI._.Sept._.Dec._.March." localSheetId="6" hidden="1">{#N/A,#N/A,FALSE,"PHI MTD";#N/A,#N/A,FALSE,"PHI QTD";#N/A,#N/A,FALSE,"PHI YTD"}</definedName>
    <definedName name="wrn.PHI._.Sept._.Dec._.March." hidden="1">{#N/A,#N/A,FALSE,"PHI MTD";#N/A,#N/A,FALSE,"PHI QTD";#N/A,#N/A,FALSE,"PHI YTD"}</definedName>
    <definedName name="wrn.PPMCoCodeView." localSheetId="6" hidden="1">{"PPM Co Code View",#N/A,FALSE,"Comp Codes"}</definedName>
    <definedName name="wrn.PPMCoCodeView." hidden="1">{"PPM Co Code View",#N/A,FALSE,"Comp Codes"}</definedName>
    <definedName name="wrn.PPMreconview." localSheetId="6" hidden="1">{"PPM Recon View",#N/A,FALSE,"Hyperion Proof"}</definedName>
    <definedName name="wrn.PPMreconview." hidden="1">{"PPM Recon View",#N/A,FALSE,"Hyperion Proof"}</definedName>
    <definedName name="wrn.print._.reports." localSheetId="6"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6" hidden="1">{"DATA_SET",#N/A,FALSE,"HOURLY SPREAD"}</definedName>
    <definedName name="wrn.PRINT._.SOURCE._.DATA." hidden="1">{"DATA_SET",#N/A,FALSE,"HOURLY SPREAD"}</definedName>
    <definedName name="wrn.PrintHistory." localSheetId="6"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6"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6" hidden="1">{"Electric Only",#N/A,FALSE,"Hyperion Proof"}</definedName>
    <definedName name="wrn.ProofElectricOnly." hidden="1">{"Electric Only",#N/A,FALSE,"Hyperion Proof"}</definedName>
    <definedName name="wrn.ProofTotal." localSheetId="6" hidden="1">{"Proof Total",#N/A,FALSE,"Hyperion Proof"}</definedName>
    <definedName name="wrn.ProofTotal." hidden="1">{"Proof Total",#N/A,FALSE,"Hyperion Proof"}</definedName>
    <definedName name="wrn.Quarter._.end._.with._.all._.reports." localSheetId="5" hidden="1">{#N/A,#N/A,FALSE,"PCorp month";#N/A,#N/A,FALSE,"DomElec Month";#N/A,#N/A,FALSE,"Other Ops month";#N/A,#N/A,FALSE,"PCorp Qtr";#N/A,#N/A,FALSE,"DomElec Qtr";#N/A,#N/A,FALSE,"Other Ops Qtr";#N/A,#N/A,FALSE,"Pcorp Yr";#N/A,#N/A,FALSE,"Dom Elec Yr";#N/A,#N/A,FALSE,"Other Ops Yr";#N/A,#N/A,FALSE,"Recon SEC to Legal";#N/A,#N/A,FALSE,"Recon SEC to LOB"}</definedName>
    <definedName name="wrn.Quarter._.end._.with._.all._.reports." localSheetId="2" hidden="1">{#N/A,#N/A,FALSE,"PCorp month";#N/A,#N/A,FALSE,"DomElec Month";#N/A,#N/A,FALSE,"Other Ops month";#N/A,#N/A,FALSE,"PCorp Qtr";#N/A,#N/A,FALSE,"DomElec Qtr";#N/A,#N/A,FALSE,"Other Ops Qtr";#N/A,#N/A,FALSE,"Pcorp Yr";#N/A,#N/A,FALSE,"Dom Elec Yr";#N/A,#N/A,FALSE,"Other Ops Yr";#N/A,#N/A,FALSE,"Recon SEC to Legal";#N/A,#N/A,FALSE,"Recon SEC to LOB"}</definedName>
    <definedName name="wrn.Reformat._.only." localSheetId="6" hidden="1">{#N/A,#N/A,FALSE,"Dec 1999 mapping"}</definedName>
    <definedName name="wrn.Reformat._.only." hidden="1">{#N/A,#N/A,FALSE,"Dec 1999 mapping"}</definedName>
    <definedName name="wrn.SALES._.VAR._.95._.BUDGET." localSheetId="6"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6"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6"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6"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6"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6"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6"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6"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6"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6"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6"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6" hidden="1">{#N/A,#N/A,TRUE,"Section7";#N/A,#N/A,TRUE,"DebtService";#N/A,#N/A,TRUE,"LoanSchedules";#N/A,#N/A,TRUE,"GraphDebt"}</definedName>
    <definedName name="wrn.Section7DebtService." hidden="1">{#N/A,#N/A,TRUE,"Section7";#N/A,#N/A,TRUE,"DebtService";#N/A,#N/A,TRUE,"LoanSchedules";#N/A,#N/A,TRUE,"GraphDebt"}</definedName>
    <definedName name="wrn.Sept._.Dec._.March._.I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6"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6" hidden="1">{"YTD-Total",#N/A,FALSE,"Provision"}</definedName>
    <definedName name="wrn.Standard." hidden="1">{"YTD-Total",#N/A,FALSE,"Provision"}</definedName>
    <definedName name="wrn.Standard._.NonUtility._.Only." localSheetId="6" hidden="1">{"YTD-NonUtility",#N/A,FALSE,"Prov NonUtility"}</definedName>
    <definedName name="wrn.Standard._.NonUtility._.Only." hidden="1">{"YTD-NonUtility",#N/A,FALSE,"Prov NonUtility"}</definedName>
    <definedName name="wrn.Standard._.Utility._.Only." localSheetId="6" hidden="1">{"YTD-Utility",#N/A,FALSE,"Prov Utility"}</definedName>
    <definedName name="wrn.Standard._.Utility._.Only." hidden="1">{"YTD-Utility",#N/A,FALSE,"Prov Utility"}</definedName>
    <definedName name="wrn.Summary." localSheetId="6" hidden="1">{"Table A",#N/A,FALSE,"Summary";"Table D",#N/A,FALSE,"Summary";"Table E",#N/A,FALSE,"Summary"}</definedName>
    <definedName name="wrn.Summary." hidden="1">{"Table A",#N/A,FALSE,"Summary";"Table D",#N/A,FALSE,"Summary";"Table E",#N/A,FALSE,"Summary"}</definedName>
    <definedName name="wrn.Summary._.View." localSheetId="6" hidden="1">{#N/A,#N/A,FALSE,"Consltd-For contngcy"}</definedName>
    <definedName name="wrn.Summary._.View." hidden="1">{#N/A,#N/A,FALSE,"Consltd-For contngcy"}</definedName>
    <definedName name="wrn.test." localSheetId="6" hidden="1">{#N/A,#N/A,TRUE,"10.1_Historical Cover Sheet";#N/A,#N/A,TRUE,"10.2-10.3_Historical"}</definedName>
    <definedName name="wrn.test." hidden="1">{#N/A,#N/A,TRUE,"10.1_Historical Cover Sheet";#N/A,#N/A,TRUE,"10.2-10.3_Historical"}</definedName>
    <definedName name="wrn.Total._.Summary." localSheetId="6" hidden="1">{"Total Summary",#N/A,FALSE,"Summary"}</definedName>
    <definedName name="wrn.Total._.Summary." hidden="1">{"Total Summary",#N/A,FALSE,"Summary"}</definedName>
    <definedName name="wrn.UK._.Conversion._.Only." localSheetId="6" hidden="1">{#N/A,#N/A,FALSE,"Dec 1999 UK Continuing Ops"}</definedName>
    <definedName name="wrn.UK._.Conversion._.Only." hidden="1">{#N/A,#N/A,FALSE,"Dec 1999 UK Continuing Ops"}</definedName>
    <definedName name="wrn.YearEnd." localSheetId="6"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 localSheetId="2" hidden="1">{#N/A,#N/A,FALSE,"PCorp month";#N/A,#N/A,FALSE,"DomElec Month";#N/A,#N/A,FALSE,"Other Ops month";#N/A,#N/A,FALSE,"Pcorp Yr";#N/A,#N/A,FALSE,"Dom Elec Yr";#N/A,#N/A,FALSE,"Other Ops Yr";#N/A,#N/A,FALSE,"Recon SEC to Legal";#N/A,#N/A,FALSE,"Recon SEC to LOB"}</definedName>
    <definedName name="y" hidden="1">'[1]DSM Output'!$B$21:$B$23</definedName>
    <definedName name="z" hidden="1">'[1]DSM Output'!$G$21:$G$23</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s="1"/>
  <c r="H16" i="1"/>
  <c r="G16" i="1"/>
  <c r="G15" i="1"/>
  <c r="G14" i="1"/>
  <c r="G13" i="1"/>
  <c r="C13" i="1"/>
  <c r="C19" i="1"/>
  <c r="C18" i="1"/>
  <c r="I54" i="7"/>
  <c r="I53" i="7"/>
  <c r="G48" i="7"/>
  <c r="F48" i="7"/>
  <c r="E48" i="7"/>
  <c r="I46" i="7"/>
  <c r="H46" i="7" s="1"/>
  <c r="I45" i="7"/>
  <c r="H45" i="7" s="1"/>
  <c r="I44" i="7"/>
  <c r="H44" i="7" s="1"/>
  <c r="I43" i="7"/>
  <c r="H43" i="7" s="1"/>
  <c r="I42" i="7"/>
  <c r="H42" i="7" s="1"/>
  <c r="I41" i="7"/>
  <c r="H41" i="7" s="1"/>
  <c r="I40" i="7"/>
  <c r="H40" i="7" s="1"/>
  <c r="I39" i="7"/>
  <c r="H39" i="7" s="1"/>
  <c r="I38" i="7"/>
  <c r="H38" i="7" s="1"/>
  <c r="I37" i="7"/>
  <c r="H37" i="7" s="1"/>
  <c r="I36" i="7"/>
  <c r="H36" i="7" s="1"/>
  <c r="I35" i="7"/>
  <c r="H35" i="7" s="1"/>
  <c r="I34" i="7"/>
  <c r="I48" i="7" s="1"/>
  <c r="G31" i="7"/>
  <c r="G50" i="7" s="1"/>
  <c r="E31" i="7"/>
  <c r="E50" i="7" s="1"/>
  <c r="G29" i="7"/>
  <c r="F29" i="7"/>
  <c r="F31" i="7" s="1"/>
  <c r="F50" i="7" s="1"/>
  <c r="E29" i="7"/>
  <c r="I26" i="7"/>
  <c r="H26" i="7" s="1"/>
  <c r="I25" i="7"/>
  <c r="H25" i="7" s="1"/>
  <c r="I24" i="7"/>
  <c r="H24" i="7" s="1"/>
  <c r="I23" i="7"/>
  <c r="H23" i="7" s="1"/>
  <c r="I22" i="7"/>
  <c r="H22" i="7" s="1"/>
  <c r="I21" i="7"/>
  <c r="H21" i="7" s="1"/>
  <c r="I19" i="7"/>
  <c r="H19" i="7" s="1"/>
  <c r="I18" i="7"/>
  <c r="H18" i="7" s="1"/>
  <c r="I17" i="7"/>
  <c r="H17" i="7" s="1"/>
  <c r="I16" i="7"/>
  <c r="H16" i="7" s="1"/>
  <c r="I15" i="7"/>
  <c r="H15" i="7" s="1"/>
  <c r="I14" i="7"/>
  <c r="H14" i="7" s="1"/>
  <c r="I13" i="7"/>
  <c r="H13" i="7" s="1"/>
  <c r="I12" i="7"/>
  <c r="H12" i="7" s="1"/>
  <c r="I11" i="7"/>
  <c r="H11" i="7" s="1"/>
  <c r="I10" i="7"/>
  <c r="H10" i="7" s="1"/>
  <c r="I9" i="7"/>
  <c r="I29" i="7" s="1"/>
  <c r="I31" i="7" s="1"/>
  <c r="J6" i="7"/>
  <c r="I6" i="7"/>
  <c r="H6" i="7"/>
  <c r="I5" i="7"/>
  <c r="H5" i="7"/>
  <c r="I2" i="7"/>
  <c r="H2" i="7"/>
  <c r="H1" i="7"/>
  <c r="G1" i="7"/>
  <c r="F1" i="7"/>
  <c r="E1" i="7"/>
  <c r="C17" i="1"/>
  <c r="C16" i="1"/>
  <c r="I19" i="5"/>
  <c r="I55" i="6"/>
  <c r="I54" i="6"/>
  <c r="I53" i="6"/>
  <c r="I49" i="6"/>
  <c r="G49" i="6"/>
  <c r="F49" i="6"/>
  <c r="E49" i="6"/>
  <c r="I47" i="6"/>
  <c r="H47" i="6" s="1"/>
  <c r="I44" i="6"/>
  <c r="H44" i="6"/>
  <c r="H49" i="6" s="1"/>
  <c r="G37" i="6"/>
  <c r="F37" i="6"/>
  <c r="E37" i="6"/>
  <c r="I35" i="6"/>
  <c r="H35" i="6" s="1"/>
  <c r="I34" i="6"/>
  <c r="H34" i="6" s="1"/>
  <c r="I33" i="6"/>
  <c r="H33" i="6" s="1"/>
  <c r="I32" i="6"/>
  <c r="H32" i="6" s="1"/>
  <c r="I31" i="6"/>
  <c r="H31" i="6" s="1"/>
  <c r="I30" i="6"/>
  <c r="H30" i="6" s="1"/>
  <c r="I29" i="6"/>
  <c r="I37" i="6" s="1"/>
  <c r="I52" i="6" s="1"/>
  <c r="I56" i="6" s="1"/>
  <c r="G26" i="6"/>
  <c r="G39" i="6" s="1"/>
  <c r="E26" i="6"/>
  <c r="E39" i="6" s="1"/>
  <c r="G24" i="6"/>
  <c r="F24" i="6"/>
  <c r="F26" i="6" s="1"/>
  <c r="F39" i="6" s="1"/>
  <c r="E24" i="6"/>
  <c r="H22" i="6"/>
  <c r="I21" i="6"/>
  <c r="H21" i="6" s="1"/>
  <c r="I20" i="6"/>
  <c r="H20" i="6"/>
  <c r="I19" i="6"/>
  <c r="H19" i="6" s="1"/>
  <c r="I18" i="6"/>
  <c r="H18" i="6"/>
  <c r="I17" i="6"/>
  <c r="I24" i="6" s="1"/>
  <c r="I26" i="6" s="1"/>
  <c r="I39" i="6" s="1"/>
  <c r="H16" i="6"/>
  <c r="H15" i="6"/>
  <c r="H14" i="6"/>
  <c r="H13" i="6"/>
  <c r="H12" i="6"/>
  <c r="H11" i="6"/>
  <c r="H10" i="6"/>
  <c r="H9" i="6"/>
  <c r="I6" i="6"/>
  <c r="I5" i="6"/>
  <c r="H5" i="6" s="1"/>
  <c r="I2" i="6"/>
  <c r="H2" i="6"/>
  <c r="H1" i="6"/>
  <c r="G1" i="6"/>
  <c r="F1" i="6"/>
  <c r="E1" i="6"/>
  <c r="G56" i="5"/>
  <c r="F56" i="5"/>
  <c r="E56" i="5"/>
  <c r="I54" i="5"/>
  <c r="H54" i="5"/>
  <c r="I53" i="5"/>
  <c r="I56" i="5" s="1"/>
  <c r="G50" i="5"/>
  <c r="G58" i="5" s="1"/>
  <c r="F50" i="5"/>
  <c r="F58" i="5" s="1"/>
  <c r="G48" i="5"/>
  <c r="F48" i="5"/>
  <c r="E48" i="5"/>
  <c r="E50" i="5" s="1"/>
  <c r="E58" i="5" s="1"/>
  <c r="J46" i="5"/>
  <c r="I46" i="5"/>
  <c r="H46" i="5" s="1"/>
  <c r="H48" i="5" s="1"/>
  <c r="H50" i="5" s="1"/>
  <c r="I43" i="5"/>
  <c r="H43" i="5"/>
  <c r="G36" i="5"/>
  <c r="F36" i="5"/>
  <c r="E36" i="5"/>
  <c r="I34" i="5"/>
  <c r="H34" i="5" s="1"/>
  <c r="I33" i="5"/>
  <c r="H33" i="5"/>
  <c r="I32" i="5"/>
  <c r="H32" i="5" s="1"/>
  <c r="I31" i="5"/>
  <c r="H31" i="5"/>
  <c r="I30" i="5"/>
  <c r="H30" i="5" s="1"/>
  <c r="I29" i="5"/>
  <c r="H29" i="5"/>
  <c r="I28" i="5"/>
  <c r="H28" i="5" s="1"/>
  <c r="I27" i="5"/>
  <c r="H27" i="5"/>
  <c r="I26" i="5"/>
  <c r="H26" i="5" s="1"/>
  <c r="I25" i="5"/>
  <c r="H25" i="5"/>
  <c r="I24" i="5"/>
  <c r="H24" i="5" s="1"/>
  <c r="H36" i="5" s="1"/>
  <c r="G21" i="5"/>
  <c r="G38" i="5" s="1"/>
  <c r="F21" i="5"/>
  <c r="F38" i="5" s="1"/>
  <c r="G19" i="5"/>
  <c r="F19" i="5"/>
  <c r="I17" i="5"/>
  <c r="I16" i="5"/>
  <c r="H16" i="5"/>
  <c r="I15" i="5"/>
  <c r="H15" i="5" s="1"/>
  <c r="I14" i="5"/>
  <c r="H14" i="5"/>
  <c r="I13" i="5"/>
  <c r="H13" i="5" s="1"/>
  <c r="I12" i="5"/>
  <c r="H12" i="5"/>
  <c r="I11" i="5"/>
  <c r="H11" i="5" s="1"/>
  <c r="I10" i="5"/>
  <c r="H10" i="5"/>
  <c r="I9" i="5"/>
  <c r="H9" i="5" s="1"/>
  <c r="I8" i="5"/>
  <c r="H8" i="5"/>
  <c r="I7" i="5"/>
  <c r="H7" i="5" s="1"/>
  <c r="I6" i="5"/>
  <c r="H6" i="5"/>
  <c r="I5" i="5"/>
  <c r="I40" i="5" s="1"/>
  <c r="I2" i="5"/>
  <c r="H2" i="5"/>
  <c r="H1" i="5"/>
  <c r="G1" i="5"/>
  <c r="F1" i="5"/>
  <c r="E1" i="5"/>
  <c r="C15" i="1"/>
  <c r="I15" i="1" s="1"/>
  <c r="C14" i="1"/>
  <c r="E99" i="4"/>
  <c r="E95" i="4"/>
  <c r="E76" i="4"/>
  <c r="E75" i="4"/>
  <c r="E74" i="4"/>
  <c r="E73" i="4"/>
  <c r="E72" i="4"/>
  <c r="E68" i="4"/>
  <c r="E67" i="4"/>
  <c r="E66" i="4"/>
  <c r="E65" i="4"/>
  <c r="E69" i="4" s="1"/>
  <c r="E64" i="4"/>
  <c r="E60" i="4"/>
  <c r="E58" i="4"/>
  <c r="E55" i="4"/>
  <c r="E54" i="4"/>
  <c r="E53" i="4"/>
  <c r="E52" i="4"/>
  <c r="E48" i="4"/>
  <c r="E45" i="4"/>
  <c r="E44" i="4"/>
  <c r="E43" i="4"/>
  <c r="D41" i="4"/>
  <c r="D40" i="4"/>
  <c r="D39" i="4"/>
  <c r="E36" i="4"/>
  <c r="C27" i="4"/>
  <c r="C29" i="4" s="1"/>
  <c r="E26" i="4"/>
  <c r="D25" i="4"/>
  <c r="E25" i="4" s="1"/>
  <c r="D24" i="4"/>
  <c r="E24" i="4" s="1"/>
  <c r="D23" i="4"/>
  <c r="E23" i="4" s="1"/>
  <c r="D22" i="4"/>
  <c r="E22" i="4" s="1"/>
  <c r="D21" i="4"/>
  <c r="E21" i="4" s="1"/>
  <c r="D20" i="4"/>
  <c r="E20" i="4" s="1"/>
  <c r="D19" i="4"/>
  <c r="E19" i="4" s="1"/>
  <c r="D18" i="4"/>
  <c r="E18" i="4" s="1"/>
  <c r="D17" i="4"/>
  <c r="E17" i="4" s="1"/>
  <c r="E16" i="4"/>
  <c r="D15" i="4"/>
  <c r="E15" i="4" s="1"/>
  <c r="D14" i="4"/>
  <c r="E14" i="4" s="1"/>
  <c r="D13" i="4"/>
  <c r="E13" i="4" s="1"/>
  <c r="D12" i="4"/>
  <c r="E12" i="4" s="1"/>
  <c r="D11" i="4"/>
  <c r="D27" i="4" s="1"/>
  <c r="D9" i="4"/>
  <c r="E9" i="4" s="1"/>
  <c r="D35" i="3"/>
  <c r="J31" i="3"/>
  <c r="L31" i="3" s="1"/>
  <c r="F31" i="3"/>
  <c r="D31" i="3"/>
  <c r="J27" i="3"/>
  <c r="L27" i="3" s="1"/>
  <c r="O27" i="3" s="1"/>
  <c r="F27" i="3"/>
  <c r="D27" i="3"/>
  <c r="D26" i="3"/>
  <c r="J25" i="3"/>
  <c r="F25" i="3"/>
  <c r="H25" i="3" s="1"/>
  <c r="D25" i="3"/>
  <c r="J24" i="3"/>
  <c r="L24" i="3" s="1"/>
  <c r="O24" i="3" s="1"/>
  <c r="F24" i="3"/>
  <c r="D24" i="3"/>
  <c r="L23" i="3"/>
  <c r="O23" i="3" s="1"/>
  <c r="J23" i="3"/>
  <c r="F23" i="3"/>
  <c r="D23" i="3"/>
  <c r="J22" i="3"/>
  <c r="F22" i="3"/>
  <c r="F28" i="3" s="1"/>
  <c r="D22" i="3"/>
  <c r="D28" i="3" s="1"/>
  <c r="H19" i="3"/>
  <c r="H17" i="3"/>
  <c r="J16" i="3"/>
  <c r="L16" i="3" s="1"/>
  <c r="F16" i="3"/>
  <c r="D16" i="3"/>
  <c r="J15" i="3"/>
  <c r="F15" i="3"/>
  <c r="L15" i="3" s="1"/>
  <c r="D15" i="3"/>
  <c r="J14" i="3"/>
  <c r="J17" i="3" s="1"/>
  <c r="F14" i="3"/>
  <c r="D14" i="3"/>
  <c r="L13" i="3"/>
  <c r="J13" i="3"/>
  <c r="F13" i="3"/>
  <c r="F17" i="3" s="1"/>
  <c r="D13" i="3"/>
  <c r="D17" i="3" s="1"/>
  <c r="J10" i="3"/>
  <c r="L10" i="3" s="1"/>
  <c r="F10" i="3"/>
  <c r="D10" i="3"/>
  <c r="D19" i="3" s="1"/>
  <c r="D30" i="3" s="1"/>
  <c r="D32" i="3" s="1"/>
  <c r="D37" i="3" s="1"/>
  <c r="B2" i="3"/>
  <c r="B61" i="2"/>
  <c r="B60" i="2"/>
  <c r="B59" i="2"/>
  <c r="B58" i="2"/>
  <c r="B57" i="2"/>
  <c r="B56" i="2"/>
  <c r="B55" i="2"/>
  <c r="B54" i="2"/>
  <c r="B53" i="2"/>
  <c r="B52" i="2"/>
  <c r="B51" i="2"/>
  <c r="B50" i="2"/>
  <c r="B49" i="2"/>
  <c r="B48" i="2"/>
  <c r="B47" i="2"/>
  <c r="B46" i="2"/>
  <c r="B45" i="2"/>
  <c r="B44" i="2"/>
  <c r="H19" i="1" s="1"/>
  <c r="B43" i="2"/>
  <c r="B42" i="2"/>
  <c r="B41" i="2"/>
  <c r="B40" i="2"/>
  <c r="B39" i="2"/>
  <c r="B38" i="2"/>
  <c r="B37" i="2"/>
  <c r="B36" i="2"/>
  <c r="B35" i="2"/>
  <c r="B34" i="2"/>
  <c r="B33" i="2"/>
  <c r="B32" i="2"/>
  <c r="B31" i="2"/>
  <c r="B30" i="2"/>
  <c r="B67" i="2" s="1"/>
  <c r="H17" i="1" s="1"/>
  <c r="B29" i="2"/>
  <c r="B28" i="2"/>
  <c r="B27" i="2"/>
  <c r="B26" i="2"/>
  <c r="B25" i="2"/>
  <c r="B24" i="2"/>
  <c r="B68" i="2" s="1"/>
  <c r="H18" i="1" s="1"/>
  <c r="B23" i="2"/>
  <c r="B22" i="2"/>
  <c r="B21" i="2"/>
  <c r="B20" i="2"/>
  <c r="B19" i="2"/>
  <c r="B18" i="2"/>
  <c r="B17" i="2"/>
  <c r="B16" i="2"/>
  <c r="B69" i="2" s="1"/>
  <c r="B15" i="2"/>
  <c r="B14" i="2"/>
  <c r="B13" i="2"/>
  <c r="B66" i="2" s="1"/>
  <c r="B12" i="2"/>
  <c r="B11" i="2"/>
  <c r="B10" i="2"/>
  <c r="B9" i="2"/>
  <c r="B8" i="2"/>
  <c r="B65" i="2" s="1"/>
  <c r="B7" i="2"/>
  <c r="B6" i="2"/>
  <c r="B5" i="2"/>
  <c r="B4" i="2"/>
  <c r="B3" i="2"/>
  <c r="B64" i="2" s="1"/>
  <c r="B2" i="2"/>
  <c r="B63" i="2" s="1"/>
  <c r="D18" i="1"/>
  <c r="I17" i="1"/>
  <c r="I16" i="1"/>
  <c r="I14" i="1"/>
  <c r="B11" i="1"/>
  <c r="C11" i="1" s="1"/>
  <c r="E42" i="4" l="1"/>
  <c r="E56" i="4"/>
  <c r="E77" i="4"/>
  <c r="E79" i="4" s="1"/>
  <c r="E81" i="4" s="1"/>
  <c r="E49" i="4"/>
  <c r="I19" i="1"/>
  <c r="I50" i="7"/>
  <c r="H9" i="7"/>
  <c r="H29" i="7" s="1"/>
  <c r="H31" i="7" s="1"/>
  <c r="H34" i="7"/>
  <c r="H48" i="7" s="1"/>
  <c r="I52" i="7"/>
  <c r="I55" i="7" s="1"/>
  <c r="H17" i="5"/>
  <c r="I21" i="5"/>
  <c r="I36" i="5"/>
  <c r="I48" i="5"/>
  <c r="I50" i="5" s="1"/>
  <c r="I58" i="5" s="1"/>
  <c r="H5" i="5"/>
  <c r="E17" i="5"/>
  <c r="E19" i="5" s="1"/>
  <c r="E21" i="5" s="1"/>
  <c r="E38" i="5" s="1"/>
  <c r="H17" i="6"/>
  <c r="H24" i="6" s="1"/>
  <c r="H26" i="6" s="1"/>
  <c r="H39" i="6" s="1"/>
  <c r="H53" i="5"/>
  <c r="H56" i="5" s="1"/>
  <c r="H58" i="5" s="1"/>
  <c r="H29" i="6"/>
  <c r="H37" i="6" s="1"/>
  <c r="I41" i="6"/>
  <c r="E29" i="4"/>
  <c r="E11" i="4"/>
  <c r="E27" i="4" s="1"/>
  <c r="D29" i="4"/>
  <c r="F19" i="3"/>
  <c r="F30" i="3" s="1"/>
  <c r="F32" i="3" s="1"/>
  <c r="B19" i="1"/>
  <c r="D19" i="1" s="1"/>
  <c r="O31" i="3"/>
  <c r="B70" i="2"/>
  <c r="B71" i="2" s="1"/>
  <c r="H20" i="1"/>
  <c r="O15" i="3"/>
  <c r="B15" i="1"/>
  <c r="D15" i="1" s="1"/>
  <c r="B16" i="1"/>
  <c r="D16" i="1" s="1"/>
  <c r="O16" i="3"/>
  <c r="O10" i="3"/>
  <c r="B13" i="1"/>
  <c r="L17" i="3"/>
  <c r="L19" i="3" s="1"/>
  <c r="L25" i="3"/>
  <c r="O25" i="3" s="1"/>
  <c r="J28" i="3"/>
  <c r="B14" i="1"/>
  <c r="D14" i="1" s="1"/>
  <c r="I18" i="1"/>
  <c r="O13" i="3"/>
  <c r="L14" i="3"/>
  <c r="O14" i="3" s="1"/>
  <c r="J19" i="3"/>
  <c r="J30" i="3" s="1"/>
  <c r="J32" i="3" s="1"/>
  <c r="H22" i="3"/>
  <c r="H50" i="7" l="1"/>
  <c r="I38" i="5"/>
  <c r="H19" i="5"/>
  <c r="H21" i="5" s="1"/>
  <c r="H38" i="5" s="1"/>
  <c r="H28" i="3"/>
  <c r="H26" i="3"/>
  <c r="L26" i="3" s="1"/>
  <c r="L22" i="3"/>
  <c r="O22" i="3" l="1"/>
  <c r="L28" i="3"/>
  <c r="B17" i="1" l="1"/>
  <c r="L30" i="3"/>
  <c r="L32" i="3" s="1"/>
  <c r="D17" i="1" l="1"/>
  <c r="B20" i="1"/>
  <c r="B21" i="1" s="1"/>
  <c r="C20" i="1" l="1"/>
  <c r="D20" i="1" s="1"/>
  <c r="I13" i="1"/>
  <c r="D13" i="1"/>
</calcChain>
</file>

<file path=xl/comments1.xml><?xml version="1.0" encoding="utf-8"?>
<comments xmlns="http://schemas.openxmlformats.org/spreadsheetml/2006/main">
  <authors>
    <author>Docekal, Catherine</author>
  </authors>
  <commentList>
    <comment ref="I9" authorId="0" shapeId="0">
      <text>
        <r>
          <rPr>
            <b/>
            <sz val="8"/>
            <color indexed="81"/>
            <rFont val="Tahoma"/>
            <family val="2"/>
          </rPr>
          <t>Docekal, Catherine:</t>
        </r>
        <r>
          <rPr>
            <sz val="8"/>
            <color indexed="81"/>
            <rFont val="Tahoma"/>
            <family val="2"/>
          </rPr>
          <t xml:space="preserve">
flipped to a net income position in Q2-2016. see tab HH. These balance reverse the prior qtrs activity to move interest</t>
        </r>
      </text>
    </comment>
  </commentList>
</comments>
</file>

<file path=xl/sharedStrings.xml><?xml version="1.0" encoding="utf-8"?>
<sst xmlns="http://schemas.openxmlformats.org/spreadsheetml/2006/main" count="602" uniqueCount="334">
  <si>
    <t>PACIFICORP</t>
  </si>
  <si>
    <t>INCOME STATEMENT</t>
  </si>
  <si>
    <t>Recon YTD FERC to Form 1</t>
  </si>
  <si>
    <t>GAAP-to-FERC-to-Ratemaking Financial Results - Income Statement</t>
  </si>
  <si>
    <t>Utility Operating Income</t>
  </si>
  <si>
    <t>(1)</t>
  </si>
  <si>
    <t>(2)</t>
  </si>
  <si>
    <t>(1) - (2)</t>
  </si>
  <si>
    <t>(3)</t>
  </si>
  <si>
    <t>(4)</t>
  </si>
  <si>
    <t>(2) - (3) - (4)</t>
  </si>
  <si>
    <t>YTD</t>
  </si>
  <si>
    <t>YTD Dec 2016</t>
  </si>
  <si>
    <t>GAAP/FERC</t>
  </si>
  <si>
    <t xml:space="preserve">Nonutility </t>
  </si>
  <si>
    <t>GAAP</t>
  </si>
  <si>
    <t>FERC</t>
  </si>
  <si>
    <t>Differences</t>
  </si>
  <si>
    <t>Form 1</t>
  </si>
  <si>
    <t>Income</t>
  </si>
  <si>
    <t>Difference</t>
  </si>
  <si>
    <t>Revenues</t>
  </si>
  <si>
    <t>Energy Costs &amp; OMAG</t>
  </si>
  <si>
    <t>(a) - (c)</t>
  </si>
  <si>
    <t>Depreciation &amp; Amortization</t>
  </si>
  <si>
    <t>(a),(c)</t>
  </si>
  <si>
    <t>Taxes Other Than Income Taxes</t>
  </si>
  <si>
    <t>Interest and Other</t>
  </si>
  <si>
    <t>(c)</t>
  </si>
  <si>
    <t>Below the Line Activity</t>
  </si>
  <si>
    <t xml:space="preserve">(b) </t>
  </si>
  <si>
    <t>Income Taxes</t>
  </si>
  <si>
    <t>(d)</t>
  </si>
  <si>
    <t>Earnings on Common</t>
  </si>
  <si>
    <t>Operating Income</t>
  </si>
  <si>
    <t>Explanations for "Adjustments from GAAP to FERC" notes to reconciliations:</t>
  </si>
  <si>
    <t>(a)</t>
  </si>
  <si>
    <t xml:space="preserve">Depreciation expense associated with transportation equipment is generally charged to O&amp;M and CWIP for FERC, but to depreciation expense and CWIP for GAAP. </t>
  </si>
  <si>
    <t>(b)</t>
  </si>
  <si>
    <t>FERC requires that intercompany profits associated with Bridger Coal Company and Trapper Mining not be eliminated in cost of fuel, as is done for GAAP (and for regulatory results). Therefore, for FERC purposes, the intercompany profit is included in FERC account 418.1 and fuel expense is presented at cost plus profit.</t>
  </si>
  <si>
    <t xml:space="preserve">For GAAP, payments on capital leases are recorded as depreciation and interest expense. For FERC, they are recorded in O&amp;M (as rent or fuel expense, depending on the nature of the lease). </t>
  </si>
  <si>
    <t xml:space="preserve">For FERC, taxes associated with PacifiCorp's mining subsidiary are not consolidated. </t>
  </si>
  <si>
    <t>DO NOT UPDATE. VALUES ELECTRONICALLY POPULATED FROM FERC FINANCIALS</t>
  </si>
  <si>
    <t>Operating Revenues (400)</t>
  </si>
  <si>
    <t>A</t>
  </si>
  <si>
    <t>Operating Expenses (401)</t>
  </si>
  <si>
    <t>B</t>
  </si>
  <si>
    <t>Maintenance Expense (402)</t>
  </si>
  <si>
    <t>Depreciation Expense (403)</t>
  </si>
  <si>
    <t>C</t>
  </si>
  <si>
    <t>Depreciation of Asset Retirement Cost (403.1)</t>
  </si>
  <si>
    <t>Depreciation and Depletion of Plant (404 - 405)</t>
  </si>
  <si>
    <t>Amortization of Utility Plant Acq. Adj. (406)</t>
  </si>
  <si>
    <t>Amort of Property Loss, Unrecovrd Plnt &amp; Reg Stdy Cost (407)</t>
  </si>
  <si>
    <t>Amort. of Conversion Expenses (407.2)</t>
  </si>
  <si>
    <t>Regulatory Debits (407.3)</t>
  </si>
  <si>
    <t>(Less) Regulatory Credits (407.4)</t>
  </si>
  <si>
    <t>Taxes Other than Income Taxes (408.1)</t>
  </si>
  <si>
    <t>D</t>
  </si>
  <si>
    <t>Income Taxes - Federal (409.1)</t>
  </si>
  <si>
    <t>G</t>
  </si>
  <si>
    <t>Income Taxes - Other (409.1)</t>
  </si>
  <si>
    <t>Prov. for Def. Income Taxes (410.1)</t>
  </si>
  <si>
    <t>(Less) Def. Income Taxes-Cr. (411.1)</t>
  </si>
  <si>
    <t>Investment Tax Credit Adjustment - Net (411.4)</t>
  </si>
  <si>
    <t>(Less) Gains from Disposition of Utility Plant (411.6)</t>
  </si>
  <si>
    <t>Losses from Disposition of Utility Plant (411.7)</t>
  </si>
  <si>
    <t>(Less) Gains from Disposition of Allowances (411.8)</t>
  </si>
  <si>
    <t>Losses from Disposition of Allowances (411.9)</t>
  </si>
  <si>
    <t>Accretion Expense (411.10)</t>
  </si>
  <si>
    <t>Revenues From Merchandising, Jobbing &amp; Contract Work (415)</t>
  </si>
  <si>
    <t>F</t>
  </si>
  <si>
    <t>(Less) Exp. of Merchandising, Jobbing &amp; Contract Work (416)</t>
  </si>
  <si>
    <t>Revenues From Nonutility Operations (417)</t>
  </si>
  <si>
    <t>(Less) Exp. of Nonutility Operations (417.1)</t>
  </si>
  <si>
    <t>Nonoperating Rental Income (418)</t>
  </si>
  <si>
    <t>Equity in Earnings of Subsidiaries (418.1)</t>
  </si>
  <si>
    <t>Interest and Dividend Income  (419)</t>
  </si>
  <si>
    <t>E</t>
  </si>
  <si>
    <t>AFUDC (419.1)</t>
  </si>
  <si>
    <t>Misc. Nonoperating Income (421)</t>
  </si>
  <si>
    <t>Gain on Disposition of Property (421.1)</t>
  </si>
  <si>
    <t>Loss on Disposition of Property (421.2)</t>
  </si>
  <si>
    <t>Miscellaneous Amortization (425)</t>
  </si>
  <si>
    <t>Donations (426.1)</t>
  </si>
  <si>
    <t>Life Insurance (426.2)</t>
  </si>
  <si>
    <t>Penalties (426.3)</t>
  </si>
  <si>
    <t>Exp. for Certain Civic, Political &amp; Related Act. (426.4)</t>
  </si>
  <si>
    <t>Other Deductions (426.5)</t>
  </si>
  <si>
    <t>Taxes Other Than Income Taxes (408.2)</t>
  </si>
  <si>
    <t>Income Taxes - Federal (409.2)</t>
  </si>
  <si>
    <t>Income Taxes - Other (409.2)</t>
  </si>
  <si>
    <t>Provision for Deferred Income Taxes (410.2)</t>
  </si>
  <si>
    <t>(Less) Provision for Deferred Income Taxes - Cr (411.2)</t>
  </si>
  <si>
    <t>Investment Tax Credit Adjustment - Net (411.5)</t>
  </si>
  <si>
    <t>(Less) Investment Tax Credits (420)</t>
  </si>
  <si>
    <t>Interest on Long-Term Debt (427)</t>
  </si>
  <si>
    <t>Amortization of Debt Discount and Expenses (428)</t>
  </si>
  <si>
    <t>Amortization of Loss on Reacquired Debt (428.1)</t>
  </si>
  <si>
    <t>(Less) Amortization of Premium on Debt - Credit (429)</t>
  </si>
  <si>
    <t>(Less) Amortization of Gain on Reacquired Debt (429.1)</t>
  </si>
  <si>
    <t>Interest on Debt to Associated Companies (430)</t>
  </si>
  <si>
    <t>Other Interest Expense (431)</t>
  </si>
  <si>
    <t>(Less)Allowance for Borrowed Funds Used During Constr. (432)</t>
  </si>
  <si>
    <t>Extraordinary Income (434)</t>
  </si>
  <si>
    <t>(Less) Extraordinary Deductions (435)</t>
  </si>
  <si>
    <t>Net Extraordinary Items</t>
  </si>
  <si>
    <t>Income Taxes - Federal and Other (409.3)</t>
  </si>
  <si>
    <t>Extraordinary Items After Tax</t>
  </si>
  <si>
    <t>NET INCOME</t>
  </si>
  <si>
    <r>
      <t xml:space="preserve">Revenue     </t>
    </r>
    <r>
      <rPr>
        <b/>
        <sz val="8"/>
        <color rgb="FFFF0000"/>
        <rFont val="Times New Roman"/>
        <family val="1"/>
      </rPr>
      <t>A</t>
    </r>
  </si>
  <si>
    <r>
      <t xml:space="preserve">O&amp;M/Energy Costs     </t>
    </r>
    <r>
      <rPr>
        <sz val="8"/>
        <color rgb="FFFF0000"/>
        <rFont val="Times New Roman"/>
        <family val="1"/>
      </rPr>
      <t>B</t>
    </r>
  </si>
  <si>
    <r>
      <t xml:space="preserve">Depr/Amort     </t>
    </r>
    <r>
      <rPr>
        <sz val="8"/>
        <color rgb="FFFF0000"/>
        <rFont val="Times New Roman"/>
        <family val="1"/>
      </rPr>
      <t>C</t>
    </r>
  </si>
  <si>
    <r>
      <t xml:space="preserve">Taxes o/t inc. taxes     </t>
    </r>
    <r>
      <rPr>
        <sz val="8"/>
        <color rgb="FFFF0000"/>
        <rFont val="Times New Roman"/>
        <family val="1"/>
      </rPr>
      <t>D</t>
    </r>
  </si>
  <si>
    <r>
      <t xml:space="preserve">Interest/Other     </t>
    </r>
    <r>
      <rPr>
        <sz val="8"/>
        <color rgb="FFFF0000"/>
        <rFont val="Times New Roman"/>
        <family val="1"/>
      </rPr>
      <t>E</t>
    </r>
  </si>
  <si>
    <r>
      <t xml:space="preserve">Below the line     </t>
    </r>
    <r>
      <rPr>
        <sz val="8"/>
        <color rgb="FFFF0000"/>
        <rFont val="Times New Roman"/>
        <family val="1"/>
      </rPr>
      <t>F</t>
    </r>
  </si>
  <si>
    <r>
      <t xml:space="preserve">Inc. taxes     </t>
    </r>
    <r>
      <rPr>
        <sz val="8"/>
        <color rgb="FFFF0000"/>
        <rFont val="Times New Roman"/>
        <family val="1"/>
      </rPr>
      <t>G</t>
    </r>
  </si>
  <si>
    <t>GAAP Income Statement 10Q/K</t>
  </si>
  <si>
    <t xml:space="preserve">For the Period Ended </t>
  </si>
  <si>
    <t>The lettered tabs in this spreadsheet compare PacifiCorp's Standalone GAAP financial line item to FERC account balances. FERC to GAAP reconciliation GL accounts are populated on these tabs using company 1000, PacifiCorp only balances.</t>
  </si>
  <si>
    <t xml:space="preserve">The following GAAP financial line items are electronically updated using the Excel formula "sumif" to the SAP, F.01 trial balance report tab within this document. </t>
  </si>
  <si>
    <t>PacifiCorp 
Standalone</t>
  </si>
  <si>
    <t>PMI *</t>
  </si>
  <si>
    <t>Elimination</t>
  </si>
  <si>
    <t>Mining 
(FRF, EW, Interwest)</t>
  </si>
  <si>
    <t>PacifiCorp 
Consolidated</t>
  </si>
  <si>
    <t>check to HFM</t>
  </si>
  <si>
    <t>difference (rounding)</t>
  </si>
  <si>
    <t>Company Code</t>
  </si>
  <si>
    <t>Tab</t>
  </si>
  <si>
    <t>2025 &amp; 2022</t>
  </si>
  <si>
    <t>2060, 2050 &amp; 2010</t>
  </si>
  <si>
    <t>($000)</t>
  </si>
  <si>
    <t>REVENUES</t>
  </si>
  <si>
    <t>AA</t>
  </si>
  <si>
    <t/>
  </si>
  <si>
    <t>EXPENSES</t>
  </si>
  <si>
    <t xml:space="preserve">  Energy costs</t>
  </si>
  <si>
    <t>BB</t>
  </si>
  <si>
    <t xml:space="preserve">  Operations and maintenance</t>
  </si>
  <si>
    <t xml:space="preserve">  Depreciation and amortization</t>
  </si>
  <si>
    <t>DD</t>
  </si>
  <si>
    <t xml:space="preserve">  Taxes other than income taxes</t>
  </si>
  <si>
    <t>CC</t>
  </si>
  <si>
    <t>Total</t>
  </si>
  <si>
    <t>Operating income</t>
  </si>
  <si>
    <t>Other income (expense)</t>
  </si>
  <si>
    <t xml:space="preserve">  Interest expense</t>
  </si>
  <si>
    <t>FF</t>
  </si>
  <si>
    <t xml:space="preserve">  Allowance for borrowed funds</t>
  </si>
  <si>
    <t xml:space="preserve">  Allowance for equity funds</t>
  </si>
  <si>
    <t>HH</t>
  </si>
  <si>
    <t xml:space="preserve">  Interest income</t>
  </si>
  <si>
    <t xml:space="preserve">  Equity in subsidary earnings</t>
  </si>
  <si>
    <t>GG</t>
  </si>
  <si>
    <t xml:space="preserve">  Other - net</t>
  </si>
  <si>
    <t>EE</t>
  </si>
  <si>
    <t>Income before income taxes</t>
  </si>
  <si>
    <t>Income tax expense</t>
  </si>
  <si>
    <t>Net income attributable to PacifiCorp</t>
  </si>
  <si>
    <t>GAAP/FERC net income check</t>
  </si>
  <si>
    <t>* Note: PMI balances exclude equity earnings in Bridger. Also, company code 2022 (Eliminations) &amp; 2025 (Bridger) fully eliminate beginning 2012 as PMI (company 2020) records its own tax expense. No longer need to include 2022 &amp; 2025 to capture PMI eliminations of tax with PacifiCorp (company 1000 only).</t>
  </si>
  <si>
    <t>RECONCILIATION OF CY 2016 FERC FORM 1 INCOME STATEMENT TO SEMIANNUAL REPORT</t>
  </si>
  <si>
    <t>CY 2016</t>
  </si>
  <si>
    <t>FERC Form 1 (Page 114)</t>
  </si>
  <si>
    <t>Regulatory Results of</t>
  </si>
  <si>
    <t>Income Statement</t>
  </si>
  <si>
    <t>Operations</t>
  </si>
  <si>
    <t>Reference</t>
  </si>
  <si>
    <t>Operating Revenues</t>
  </si>
  <si>
    <t>Operation Expenses</t>
  </si>
  <si>
    <t>Maintenance Expenses</t>
  </si>
  <si>
    <t>Depreciation Expense</t>
  </si>
  <si>
    <t>Amortization of Utility Plant</t>
  </si>
  <si>
    <t>Amortization of Utility Plant Acq Adj</t>
  </si>
  <si>
    <t>Amort of Property Losses, Unrec Plant, etc.</t>
  </si>
  <si>
    <t>Regulatory Debits less Regulatory Credits</t>
  </si>
  <si>
    <t>Taxes Other Than Income</t>
  </si>
  <si>
    <t>Income Taxes - Federal</t>
  </si>
  <si>
    <t>(5)</t>
  </si>
  <si>
    <t>Income Taxes - Other</t>
  </si>
  <si>
    <t>Provision for Deferred Income Tax - DR</t>
  </si>
  <si>
    <t>Provision for Deferred Income Tax - CR</t>
  </si>
  <si>
    <t>Investment Tax Credit Adj. - Net</t>
  </si>
  <si>
    <t>Gains on Disposition of Allowances</t>
  </si>
  <si>
    <t>Loss on Sales of Plant</t>
  </si>
  <si>
    <t>(6)</t>
  </si>
  <si>
    <t>Accretion Expense</t>
  </si>
  <si>
    <t>Total Utility Operation Expenses</t>
  </si>
  <si>
    <t>Net Utility Operating Income</t>
  </si>
  <si>
    <t>(1)  Operation &amp; Maintenance Expense Differences</t>
  </si>
  <si>
    <t>(a)  Operation Expenses in FERC Form 1 not in Regulatory Results</t>
  </si>
  <si>
    <t xml:space="preserve"> - Bridger/Trapper equity earnings.  This is shown in the Form 1 as fuel expense which is </t>
  </si>
  <si>
    <t xml:space="preserve">offset by equity in earnings of subsidiary. In regulatory results, this amount is removed from  </t>
  </si>
  <si>
    <t>fuel expense. Bridger/Trapper plant balances are included in rate base.</t>
  </si>
  <si>
    <t xml:space="preserve"> - Hydro relicensing costs - these items are included in regulatory results on a cash basis.</t>
  </si>
  <si>
    <t>These amounts reflect the difference between cash and accrual basis accounting.</t>
  </si>
  <si>
    <t>North Umpqua</t>
  </si>
  <si>
    <t>Bear River</t>
  </si>
  <si>
    <t>Lewis River</t>
  </si>
  <si>
    <t>-Washington RPS REC</t>
  </si>
  <si>
    <t>-Washington Environmental Costs</t>
  </si>
  <si>
    <t>(b) 2017 Protocol Adjustment in JAM but not in Form 1</t>
  </si>
  <si>
    <t>(c) Interwest Mining Company O&amp;M expenses are recognized in Regulatory Results</t>
  </si>
  <si>
    <t xml:space="preserve"> but not the Form 1 because it is an Electric Subsidiary.  These O&amp;M expenses were offset by below</t>
  </si>
  <si>
    <t xml:space="preserve"> the line items to produce 0 net income for Interwest.</t>
  </si>
  <si>
    <t>(2)  Depreciation Differences</t>
  </si>
  <si>
    <t xml:space="preserve"> - Oregon accelerated depreciation on steam generation</t>
  </si>
  <si>
    <t xml:space="preserve"> - Utah Klamath Depreciation Adjustment - classfied non-regulatory</t>
  </si>
  <si>
    <t xml:space="preserve"> - Idaho Populus-Terminal depreciation adjustment</t>
  </si>
  <si>
    <t xml:space="preserve"> - Other nonutility depreciation items</t>
  </si>
  <si>
    <t>(3)  Amortization of Utility Plant Differences</t>
  </si>
  <si>
    <t xml:space="preserve"> -Wyoming Klamath Adjustment</t>
  </si>
  <si>
    <t>(4)  Amortization of Powerdale in Washington and Idaho</t>
  </si>
  <si>
    <t>(5) Tax Reconciliation</t>
  </si>
  <si>
    <t xml:space="preserve">Form 1 </t>
  </si>
  <si>
    <t>Amount</t>
  </si>
  <si>
    <t>Pg. 114</t>
  </si>
  <si>
    <t xml:space="preserve">Income Taxes - Other (409.1) </t>
  </si>
  <si>
    <t>Provision for Deferred Income Taxes (410.1)</t>
  </si>
  <si>
    <t>Less: Provision for Deferred Income Taxes-Cr (411.1)</t>
  </si>
  <si>
    <t>Investment Tax Credit Adj. - Net (411.4) / (411.5)</t>
  </si>
  <si>
    <t>Total Income Tax Expense - Form 1</t>
  </si>
  <si>
    <t>Results of Operations</t>
  </si>
  <si>
    <t>Pg. 2.2</t>
  </si>
  <si>
    <t>Income Taxes - State</t>
  </si>
  <si>
    <t>Provision for Deferred Income Taxes Dr</t>
  </si>
  <si>
    <t>Pg. 2.18</t>
  </si>
  <si>
    <t xml:space="preserve">Less: Provision for Deferred Income Taxes-Cr </t>
  </si>
  <si>
    <t>Pg. 2.19</t>
  </si>
  <si>
    <t>Investment Tax Credit Adj.</t>
  </si>
  <si>
    <t>Results of Operations Income Tax Expense before Corrections</t>
  </si>
  <si>
    <t>No adjustments in Results of Operations altering base period taxes.</t>
  </si>
  <si>
    <t>Total Income Tax Expense - Results of Operations</t>
  </si>
  <si>
    <t>Difference in Form 1 and Results of Operations Income Tax Expense</t>
  </si>
  <si>
    <t>Reconciling Items</t>
  </si>
  <si>
    <t>Pre-Tax Book Income</t>
  </si>
  <si>
    <t>Book/Tax Differences not included for State Ratemaking purposes</t>
  </si>
  <si>
    <t>Net Operating Loss Adjustment</t>
  </si>
  <si>
    <t>Uncertain Tax Position</t>
  </si>
  <si>
    <t>Uncertain Tax Position - Interest</t>
  </si>
  <si>
    <t>Provision-to-Return adjustments</t>
  </si>
  <si>
    <t>Tax Reserve Changes (Contingency)</t>
  </si>
  <si>
    <t>Other Adjustments</t>
  </si>
  <si>
    <t>State Tax  Credits - Deferred</t>
  </si>
  <si>
    <t>Deferred Income Tax Expense ~ Post-Retirement Reg Assets Amortization</t>
  </si>
  <si>
    <t>Current &amp; Deferred Tax Adjustment - PMI</t>
  </si>
  <si>
    <t>Reconciled Difference</t>
  </si>
  <si>
    <t>(6)  Gain on Sale of Plant</t>
  </si>
  <si>
    <t>Account 421 is shown below the line in the Form 1. Certain gains and losses are included in</t>
  </si>
  <si>
    <t>regulatory results to ensure appropriate ratemaking treatment of these transactions.</t>
  </si>
  <si>
    <t>New Acct</t>
  </si>
  <si>
    <t>GL Acct</t>
  </si>
  <si>
    <t>Acct. Description</t>
  </si>
  <si>
    <t>Income Statment Reference</t>
  </si>
  <si>
    <t>notes</t>
  </si>
  <si>
    <t>reference</t>
  </si>
  <si>
    <t>Provision for Income Taxes</t>
  </si>
  <si>
    <t>PacifiCorp GAAP</t>
  </si>
  <si>
    <t>Remove from GAAP classification:</t>
  </si>
  <si>
    <t>Current federal tax correction interest</t>
  </si>
  <si>
    <t>(9)</t>
  </si>
  <si>
    <t>FF or HH</t>
  </si>
  <si>
    <t>Current federal tax correction interest income</t>
  </si>
  <si>
    <t>Federal uncertain tax position interest</t>
  </si>
  <si>
    <t>Federal uncertain tax position interest income</t>
  </si>
  <si>
    <t>Current state tax correction interest</t>
  </si>
  <si>
    <t>State uncertain tax position interest</t>
  </si>
  <si>
    <t>Current federal tax interest expense</t>
  </si>
  <si>
    <t>Current federal tax interest income</t>
  </si>
  <si>
    <t>Current state tax interest expense </t>
  </si>
  <si>
    <t>Current state tax interest income</t>
  </si>
  <si>
    <t>Curr Fed Tax Interest Exp - Reg Asset</t>
  </si>
  <si>
    <t>Current state tax correction interest income</t>
  </si>
  <si>
    <t>State uncertain tax position interest income</t>
  </si>
  <si>
    <t>Net Changes</t>
  </si>
  <si>
    <t>GAAP Adjusted to FERC - (income)/expense</t>
  </si>
  <si>
    <t>Per FERC Form 1/3Q</t>
  </si>
  <si>
    <t>Comparison</t>
  </si>
  <si>
    <t>Net interest on income tax positions and corrections, including interest on regulatory assets/liab.</t>
  </si>
  <si>
    <t>Taxes other than income taxes</t>
  </si>
  <si>
    <t>PacifiCorp Standalone GAAP</t>
  </si>
  <si>
    <t>Add to GAAP classification:</t>
  </si>
  <si>
    <t>Other Taxes and Fees - Other Inc/Ded</t>
  </si>
  <si>
    <t>Taxes Other Than Income Taxes (408.1)</t>
  </si>
  <si>
    <t>Interest Expense</t>
  </si>
  <si>
    <t>Pref Stk Reprch Amrt</t>
  </si>
  <si>
    <t>(12)</t>
  </si>
  <si>
    <t>Pref Stk Reprch Loss</t>
  </si>
  <si>
    <t>Current federal tax correction int income</t>
  </si>
  <si>
    <t>Current state tax correction int income</t>
  </si>
  <si>
    <t>Current state tax interest expense</t>
  </si>
  <si>
    <t>Curr ST Tax Interest Exp - Reg Asset</t>
  </si>
  <si>
    <t>Curr Fed Tax Int-Reg</t>
  </si>
  <si>
    <t>Purch Power Exp Offs</t>
  </si>
  <si>
    <t>Nat Gas Offst-Int</t>
  </si>
  <si>
    <t>Rent Exp Off-Cap Int</t>
  </si>
  <si>
    <t>InterCo Interest Income - PMI</t>
  </si>
  <si>
    <t>(20)</t>
  </si>
  <si>
    <t>GAAP Adjusted to FERC</t>
  </si>
  <si>
    <t>PMI interest</t>
  </si>
  <si>
    <t>Hardcoded zero as they currently map to tab HH since they are in an overall net credit position.</t>
  </si>
  <si>
    <t>Allowance for borrowed funds</t>
  </si>
  <si>
    <t>Other</t>
  </si>
  <si>
    <t>Dividends</t>
  </si>
  <si>
    <t>(14)</t>
  </si>
  <si>
    <t>Rent Revenue - Non-Utility - Electric</t>
  </si>
  <si>
    <t>(19)</t>
  </si>
  <si>
    <t>Services Provided to Others - Revenue</t>
  </si>
  <si>
    <t>FAS 133 Unrealized Purch Power Exp - Gains</t>
  </si>
  <si>
    <t>MidAmerican Mgmt Fee - (426.5)</t>
  </si>
  <si>
    <t>(16)</t>
  </si>
  <si>
    <t>MidAm Affiliated Svc - LTIP (426.5)</t>
  </si>
  <si>
    <t>MidAm Affiliated Svc - Aircraft (426.5)</t>
  </si>
  <si>
    <t>Gain on Disposition of Property</t>
  </si>
  <si>
    <t>Loss on Disposition of Property</t>
  </si>
  <si>
    <t>(15)</t>
  </si>
  <si>
    <t>Reimbursement of Street Light Installation &amp; Maintenance</t>
  </si>
  <si>
    <t>Asset Sales Proceeds-Clearing</t>
  </si>
  <si>
    <t>(11)</t>
  </si>
  <si>
    <t>426.1 Donations</t>
  </si>
  <si>
    <t>426.3 &amp; 426.4 Penalties, Civic, Political &amp; Related Activities</t>
  </si>
  <si>
    <t>426.5 Other Deductions</t>
  </si>
  <si>
    <t>418 Nonoperating Rental Income</t>
  </si>
  <si>
    <t>416 Expenses - Merchandising and Jobbing</t>
  </si>
  <si>
    <t>421 Other Rent/Leases</t>
  </si>
  <si>
    <t>a</t>
  </si>
  <si>
    <r>
      <t xml:space="preserve">Rate Making - Other below the line </t>
    </r>
    <r>
      <rPr>
        <sz val="8"/>
        <color rgb="FF0000FF"/>
        <rFont val="Times New Roman"/>
        <family val="1"/>
      </rPr>
      <t>(sum of a)</t>
    </r>
  </si>
  <si>
    <t>tab DD</t>
  </si>
  <si>
    <t>RECONCILIATION OF 10K TO FORM 1</t>
  </si>
  <si>
    <t>(e)</t>
  </si>
  <si>
    <t>(f)</t>
  </si>
  <si>
    <t>For GAAP, excise tax fees, forestry tax fees and non-operating property taxes are included in other, net operting income/expense activity.</t>
  </si>
  <si>
    <t>For FERC, revenue adjustments related to property insurance reserves are included in O&amp;M and the net profit on sales of inventory is recorded as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</si>
</sst>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1" formatCode="_(* #,##0_);_(* \(#,##0\);_(* &quot;-&quot;_);_(@_)"/>
    <numFmt numFmtId="44" formatCode="_(&quot;$&quot;* #,##0.00_);_(&quot;$&quot;* \(#,##0.00\);_(&quot;$&quot;* &quot;-&quot;??_);_(@_)"/>
    <numFmt numFmtId="43" formatCode="_(* #,##0.00_);_(* \(#,##0.00\);_(* &quot;-&quot;??_);_(@_)"/>
    <numFmt numFmtId="164" formatCode="mm/dd/yy;@"/>
    <numFmt numFmtId="165" formatCode="_(&quot;$&quot;* #,##0_);_(&quot;$&quot;* \(#,##0\);_(&quot;$&quot;* &quot;-&quot;??_);_(@_)"/>
    <numFmt numFmtId="166" formatCode="_(* #,##0_);_(* \(#,##0\);_(* &quot;-&quot;??_);_(@_)"/>
    <numFmt numFmtId="167" formatCode="0.0_);\(0.0\)"/>
    <numFmt numFmtId="168" formatCode="_(* #,##0.0_);_(* \(#,##0.0\);_(* &quot;-&quot;??_);_(@_)"/>
  </numFmts>
  <fonts count="34" x14ac:knownFonts="1">
    <font>
      <sz val="10"/>
      <name val="Times New Roman"/>
      <family val="1"/>
    </font>
    <font>
      <sz val="10"/>
      <color theme="1"/>
      <name val="Arial"/>
      <family val="2"/>
    </font>
    <font>
      <b/>
      <sz val="10"/>
      <color theme="1"/>
      <name val="Arial"/>
      <family val="2"/>
    </font>
    <font>
      <sz val="11"/>
      <color theme="1"/>
      <name val="Calibri"/>
      <family val="2"/>
      <scheme val="minor"/>
    </font>
    <font>
      <b/>
      <sz val="10"/>
      <color theme="1"/>
      <name val="Calibri"/>
      <family val="2"/>
      <scheme val="minor"/>
    </font>
    <font>
      <sz val="10"/>
      <color theme="1"/>
      <name val="Calibri"/>
      <family val="2"/>
      <scheme val="minor"/>
    </font>
    <font>
      <sz val="10"/>
      <name val="Times New Roman"/>
      <family val="1"/>
    </font>
    <font>
      <sz val="10"/>
      <name val="Arial"/>
      <family val="2"/>
    </font>
    <font>
      <sz val="10"/>
      <name val="Calibri"/>
      <family val="2"/>
      <scheme val="minor"/>
    </font>
    <font>
      <b/>
      <sz val="10"/>
      <name val="Calibri"/>
      <family val="2"/>
      <scheme val="minor"/>
    </font>
    <font>
      <sz val="8"/>
      <name val="Times New Roman"/>
      <family val="1"/>
    </font>
    <font>
      <sz val="8"/>
      <color rgb="FFFF0000"/>
      <name val="Times New Roman"/>
      <family val="1"/>
    </font>
    <font>
      <sz val="10"/>
      <color indexed="8"/>
      <name val="Arial"/>
      <family val="2"/>
    </font>
    <font>
      <sz val="8"/>
      <color indexed="8"/>
      <name val="Times New Roman"/>
      <family val="1"/>
    </font>
    <font>
      <b/>
      <sz val="8"/>
      <color rgb="FFFF0000"/>
      <name val="Times New Roman"/>
      <family val="1"/>
    </font>
    <font>
      <b/>
      <sz val="8"/>
      <name val="Times New Roman"/>
      <family val="1"/>
    </font>
    <font>
      <i/>
      <sz val="8"/>
      <name val="Times New Roman"/>
      <family val="1"/>
    </font>
    <font>
      <b/>
      <i/>
      <sz val="8"/>
      <name val="Times New Roman"/>
      <family val="1"/>
    </font>
    <font>
      <b/>
      <u/>
      <sz val="8"/>
      <name val="Times New Roman"/>
      <family val="1"/>
    </font>
    <font>
      <u/>
      <sz val="8"/>
      <name val="Times New Roman"/>
      <family val="1"/>
    </font>
    <font>
      <b/>
      <sz val="14"/>
      <color theme="1"/>
      <name val="Arial"/>
      <family val="2"/>
    </font>
    <font>
      <u/>
      <sz val="10"/>
      <color theme="1"/>
      <name val="Arial"/>
      <family val="2"/>
    </font>
    <font>
      <sz val="11"/>
      <color rgb="FFFF0000"/>
      <name val="Calibri"/>
      <family val="2"/>
      <scheme val="minor"/>
    </font>
    <font>
      <sz val="11"/>
      <name val="Calibri"/>
      <family val="2"/>
      <scheme val="minor"/>
    </font>
    <font>
      <sz val="8"/>
      <name val="Arial"/>
      <family val="2"/>
    </font>
    <font>
      <b/>
      <sz val="10"/>
      <color rgb="FFFF0000"/>
      <name val="Arial"/>
      <family val="2"/>
    </font>
    <font>
      <b/>
      <sz val="8"/>
      <color rgb="FFFF0000"/>
      <name val="Arial"/>
      <family val="2"/>
    </font>
    <font>
      <sz val="8"/>
      <color theme="1"/>
      <name val="Arial"/>
      <family val="2"/>
    </font>
    <font>
      <u/>
      <sz val="8"/>
      <color indexed="12"/>
      <name val="Arial"/>
      <family val="2"/>
    </font>
    <font>
      <sz val="8"/>
      <color indexed="12"/>
      <name val="Times New Roman"/>
      <family val="1"/>
    </font>
    <font>
      <sz val="8"/>
      <color indexed="12"/>
      <name val="Arial"/>
      <family val="2"/>
    </font>
    <font>
      <sz val="8"/>
      <color rgb="FF0000FF"/>
      <name val="Times New Roman"/>
      <family val="1"/>
    </font>
    <font>
      <b/>
      <sz val="8"/>
      <color indexed="81"/>
      <name val="Tahoma"/>
      <family val="2"/>
    </font>
    <font>
      <sz val="8"/>
      <color indexed="81"/>
      <name val="Tahoma"/>
      <family val="2"/>
    </font>
  </fonts>
  <fills count="8">
    <fill>
      <patternFill patternType="none"/>
    </fill>
    <fill>
      <patternFill patternType="gray125"/>
    </fill>
    <fill>
      <patternFill patternType="solid">
        <fgColor indexed="40"/>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style="thin">
        <color theme="0" tint="-0.24994659260841701"/>
      </bottom>
      <diagonal/>
    </border>
    <border>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right/>
      <top/>
      <bottom style="double">
        <color indexed="64"/>
      </bottom>
      <diagonal/>
    </border>
  </borders>
  <cellStyleXfs count="17">
    <xf numFmtId="0" fontId="0" fillId="0" borderId="0"/>
    <xf numFmtId="43" fontId="6" fillId="0" borderId="0" applyFont="0" applyFill="0" applyBorder="0" applyAlignment="0" applyProtection="0"/>
    <xf numFmtId="0" fontId="3" fillId="0" borderId="0"/>
    <xf numFmtId="0" fontId="7" fillId="0" borderId="0"/>
    <xf numFmtId="44" fontId="3" fillId="0" borderId="0" applyFont="0" applyFill="0" applyBorder="0" applyAlignment="0" applyProtection="0"/>
    <xf numFmtId="0" fontId="7" fillId="0" borderId="0"/>
    <xf numFmtId="0" fontId="7" fillId="0" borderId="0"/>
    <xf numFmtId="4" fontId="12" fillId="2" borderId="6" applyNumberFormat="0" applyProtection="0">
      <alignment horizontal="left" vertical="center" indent="1"/>
    </xf>
    <xf numFmtId="0" fontId="7"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0" fontId="7" fillId="0" borderId="0"/>
    <xf numFmtId="0" fontId="24" fillId="0" borderId="0"/>
    <xf numFmtId="0" fontId="24" fillId="0" borderId="0"/>
    <xf numFmtId="0" fontId="28" fillId="0" borderId="0" applyNumberFormat="0" applyFill="0" applyBorder="0" applyAlignment="0" applyProtection="0">
      <alignment vertical="top"/>
      <protection locked="0"/>
    </xf>
    <xf numFmtId="0" fontId="7" fillId="0" borderId="0"/>
  </cellStyleXfs>
  <cellXfs count="324">
    <xf numFmtId="0" fontId="0" fillId="0" borderId="0" xfId="0"/>
    <xf numFmtId="0" fontId="4" fillId="0" borderId="0" xfId="2" applyFont="1"/>
    <xf numFmtId="0" fontId="5" fillId="0" borderId="0" xfId="2" applyFont="1"/>
    <xf numFmtId="0" fontId="5" fillId="0" borderId="0" xfId="3" applyFont="1"/>
    <xf numFmtId="0" fontId="4" fillId="0" borderId="0" xfId="2" applyFont="1" applyAlignment="1">
      <alignment horizontal="center"/>
    </xf>
    <xf numFmtId="0" fontId="8" fillId="0" borderId="0" xfId="2" quotePrefix="1" applyFont="1" applyAlignment="1">
      <alignment horizontal="center"/>
    </xf>
    <xf numFmtId="0" fontId="8" fillId="0" borderId="0" xfId="2" applyFont="1" applyAlignment="1">
      <alignment horizontal="center"/>
    </xf>
    <xf numFmtId="17" fontId="5" fillId="0" borderId="0" xfId="2" applyNumberFormat="1" applyFont="1" applyAlignment="1">
      <alignment horizontal="center"/>
    </xf>
    <xf numFmtId="164" fontId="5" fillId="0" borderId="0" xfId="2" applyNumberFormat="1" applyFont="1" applyAlignment="1">
      <alignment horizontal="center" wrapText="1"/>
    </xf>
    <xf numFmtId="17" fontId="5" fillId="0" borderId="0" xfId="2" applyNumberFormat="1" applyFont="1" applyAlignment="1">
      <alignment horizontal="center" wrapText="1"/>
    </xf>
    <xf numFmtId="0" fontId="5" fillId="0" borderId="1" xfId="2" applyFont="1" applyBorder="1" applyAlignment="1">
      <alignment horizontal="center"/>
    </xf>
    <xf numFmtId="0" fontId="8" fillId="0" borderId="1" xfId="2" applyFont="1" applyBorder="1" applyAlignment="1">
      <alignment horizontal="center"/>
    </xf>
    <xf numFmtId="165" fontId="5" fillId="0" borderId="0" xfId="4" applyNumberFormat="1" applyFont="1"/>
    <xf numFmtId="166" fontId="8" fillId="0" borderId="0" xfId="1" applyNumberFormat="1" applyFont="1"/>
    <xf numFmtId="43" fontId="5" fillId="0" borderId="0" xfId="1" applyFont="1"/>
    <xf numFmtId="166" fontId="5" fillId="0" borderId="0" xfId="2" applyNumberFormat="1" applyFont="1"/>
    <xf numFmtId="0" fontId="5" fillId="0" borderId="0" xfId="2" quotePrefix="1" applyFont="1"/>
    <xf numFmtId="166" fontId="5" fillId="0" borderId="0" xfId="2" applyNumberFormat="1" applyFont="1" applyFill="1"/>
    <xf numFmtId="166" fontId="5" fillId="0" borderId="0" xfId="2" applyNumberFormat="1" applyFont="1" applyFill="1" applyBorder="1"/>
    <xf numFmtId="0" fontId="8" fillId="0" borderId="0" xfId="2" applyFont="1" applyAlignment="1">
      <alignment horizontal="right"/>
    </xf>
    <xf numFmtId="165" fontId="5" fillId="0" borderId="2" xfId="4" applyNumberFormat="1" applyFont="1" applyBorder="1"/>
    <xf numFmtId="0" fontId="8" fillId="0" borderId="0" xfId="2" applyFont="1"/>
    <xf numFmtId="166" fontId="5" fillId="0" borderId="2" xfId="2" applyNumberFormat="1" applyFont="1" applyBorder="1"/>
    <xf numFmtId="166" fontId="5" fillId="0" borderId="0" xfId="2" applyNumberFormat="1" applyFont="1" applyBorder="1"/>
    <xf numFmtId="41" fontId="5" fillId="0" borderId="0" xfId="2" applyNumberFormat="1" applyFont="1"/>
    <xf numFmtId="43" fontId="5" fillId="0" borderId="0" xfId="2" applyNumberFormat="1" applyFont="1"/>
    <xf numFmtId="0" fontId="9" fillId="0" borderId="0" xfId="5" applyFont="1" applyFill="1" applyAlignment="1">
      <alignment vertical="top"/>
    </xf>
    <xf numFmtId="0" fontId="8" fillId="0" borderId="0" xfId="5" applyFont="1" applyFill="1" applyAlignment="1">
      <alignment vertical="top"/>
    </xf>
    <xf numFmtId="0" fontId="5" fillId="0" borderId="0" xfId="2" applyFont="1" applyBorder="1"/>
    <xf numFmtId="0" fontId="8" fillId="0" borderId="0" xfId="5" applyFont="1" applyFill="1" applyAlignment="1">
      <alignment horizontal="center" vertical="top"/>
    </xf>
    <xf numFmtId="49" fontId="8" fillId="0" borderId="0" xfId="6" applyNumberFormat="1" applyFont="1" applyFill="1" applyAlignment="1">
      <alignment horizontal="center" vertical="top"/>
    </xf>
    <xf numFmtId="166" fontId="5" fillId="0" borderId="0" xfId="1" applyNumberFormat="1" applyFont="1" applyBorder="1"/>
    <xf numFmtId="0" fontId="5" fillId="0" borderId="0" xfId="2" applyFont="1" applyBorder="1" applyAlignment="1">
      <alignment horizontal="left"/>
    </xf>
    <xf numFmtId="0" fontId="5" fillId="0" borderId="0" xfId="2" applyFont="1" applyFill="1" applyBorder="1"/>
    <xf numFmtId="41" fontId="5" fillId="0" borderId="0" xfId="2" applyNumberFormat="1" applyFont="1" applyBorder="1"/>
    <xf numFmtId="0" fontId="5" fillId="0" borderId="0" xfId="2" applyFont="1" applyFill="1"/>
    <xf numFmtId="0" fontId="10" fillId="0" borderId="0" xfId="0" applyFont="1"/>
    <xf numFmtId="166" fontId="10" fillId="0" borderId="0" xfId="1" applyNumberFormat="1" applyFont="1"/>
    <xf numFmtId="0" fontId="11" fillId="0" borderId="0" xfId="0" applyFont="1"/>
    <xf numFmtId="0" fontId="13" fillId="0" borderId="6" xfId="7" quotePrefix="1" applyNumberFormat="1" applyFont="1" applyFill="1" applyProtection="1">
      <alignment horizontal="left" vertical="center" indent="1"/>
      <protection locked="0"/>
    </xf>
    <xf numFmtId="43" fontId="10" fillId="0" borderId="0" xfId="1" applyFont="1"/>
    <xf numFmtId="43" fontId="10" fillId="3" borderId="0" xfId="1" applyFont="1" applyFill="1"/>
    <xf numFmtId="166" fontId="10" fillId="0" borderId="0" xfId="1" applyNumberFormat="1" applyFont="1" applyFill="1"/>
    <xf numFmtId="0" fontId="10" fillId="0" borderId="0" xfId="0" applyFont="1" applyAlignment="1">
      <alignment horizontal="right"/>
    </xf>
    <xf numFmtId="43" fontId="10" fillId="0" borderId="0" xfId="0" applyNumberFormat="1" applyFont="1"/>
    <xf numFmtId="166" fontId="10" fillId="0" borderId="1" xfId="1" applyNumberFormat="1" applyFont="1" applyBorder="1"/>
    <xf numFmtId="0" fontId="15" fillId="4" borderId="0" xfId="8" applyFont="1" applyFill="1"/>
    <xf numFmtId="0" fontId="10" fillId="4" borderId="0" xfId="8" applyFont="1" applyFill="1" applyAlignment="1">
      <alignment horizontal="center"/>
    </xf>
    <xf numFmtId="0" fontId="14" fillId="4" borderId="0" xfId="8" applyNumberFormat="1" applyFont="1" applyFill="1"/>
    <xf numFmtId="0" fontId="10" fillId="4" borderId="0" xfId="8" applyFont="1" applyFill="1"/>
    <xf numFmtId="0" fontId="10" fillId="4" borderId="0" xfId="8" applyFont="1" applyFill="1" applyBorder="1"/>
    <xf numFmtId="43" fontId="10" fillId="4" borderId="0" xfId="1" applyNumberFormat="1" applyFont="1" applyFill="1"/>
    <xf numFmtId="0" fontId="10" fillId="4" borderId="0" xfId="8" applyFont="1" applyFill="1" applyAlignment="1" applyProtection="1">
      <alignment horizontal="center" vertical="top"/>
      <protection locked="0"/>
    </xf>
    <xf numFmtId="14" fontId="10" fillId="4" borderId="0" xfId="8" applyNumberFormat="1" applyFont="1" applyFill="1" applyAlignment="1" applyProtection="1">
      <alignment horizontal="left"/>
      <protection locked="0"/>
    </xf>
    <xf numFmtId="43" fontId="10" fillId="4" borderId="0" xfId="8" quotePrefix="1" applyNumberFormat="1" applyFont="1" applyFill="1"/>
    <xf numFmtId="14" fontId="10" fillId="4" borderId="0" xfId="8" applyNumberFormat="1" applyFont="1" applyFill="1" applyAlignment="1" applyProtection="1">
      <alignment horizontal="center"/>
      <protection locked="0"/>
    </xf>
    <xf numFmtId="0" fontId="16" fillId="4" borderId="0" xfId="0" applyFont="1" applyFill="1"/>
    <xf numFmtId="0" fontId="17" fillId="4" borderId="0" xfId="8" applyFont="1" applyFill="1" applyAlignment="1" applyProtection="1">
      <alignment horizontal="center"/>
      <protection locked="0"/>
    </xf>
    <xf numFmtId="0" fontId="10" fillId="4" borderId="0" xfId="8" applyFont="1" applyFill="1" applyBorder="1" applyAlignment="1"/>
    <xf numFmtId="0" fontId="16" fillId="4" borderId="0" xfId="0" applyFont="1" applyFill="1" applyAlignment="1">
      <alignment horizontal="left" vertical="top"/>
    </xf>
    <xf numFmtId="0" fontId="14" fillId="4" borderId="0" xfId="8" applyNumberFormat="1" applyFont="1" applyFill="1" applyBorder="1"/>
    <xf numFmtId="43" fontId="10" fillId="4" borderId="0" xfId="8" quotePrefix="1" applyNumberFormat="1" applyFont="1" applyFill="1" applyBorder="1"/>
    <xf numFmtId="0" fontId="10" fillId="4" borderId="0" xfId="8" applyFont="1" applyFill="1" applyAlignment="1">
      <alignment horizontal="center" vertical="center"/>
    </xf>
    <xf numFmtId="0" fontId="11" fillId="4" borderId="0" xfId="8" applyNumberFormat="1" applyFont="1" applyFill="1"/>
    <xf numFmtId="0" fontId="10" fillId="4" borderId="0" xfId="8" applyFont="1" applyFill="1" applyBorder="1" applyAlignment="1">
      <alignment horizontal="center" wrapText="1"/>
    </xf>
    <xf numFmtId="0" fontId="10" fillId="4" borderId="0" xfId="8" applyFont="1" applyFill="1" applyBorder="1" applyAlignment="1">
      <alignment horizontal="center"/>
    </xf>
    <xf numFmtId="0" fontId="10" fillId="4" borderId="0" xfId="8" applyFont="1" applyFill="1" applyAlignment="1">
      <alignment horizontal="center" wrapText="1"/>
    </xf>
    <xf numFmtId="43" fontId="10" fillId="4" borderId="0" xfId="1" applyNumberFormat="1" applyFont="1" applyFill="1" applyBorder="1" applyAlignment="1" applyProtection="1">
      <alignment horizontal="center" wrapText="1"/>
      <protection locked="0"/>
    </xf>
    <xf numFmtId="0" fontId="10" fillId="4" borderId="0" xfId="0" applyFont="1" applyFill="1" applyBorder="1" applyAlignment="1">
      <alignment horizontal="center" wrapText="1"/>
    </xf>
    <xf numFmtId="0" fontId="10" fillId="4" borderId="0" xfId="0" applyFont="1" applyFill="1" applyAlignment="1">
      <alignment horizontal="center" wrapText="1"/>
    </xf>
    <xf numFmtId="0" fontId="10" fillId="4" borderId="1" xfId="8" applyFont="1" applyFill="1" applyBorder="1" applyAlignment="1">
      <alignment horizontal="center" vertical="center"/>
    </xf>
    <xf numFmtId="0" fontId="10" fillId="4" borderId="1" xfId="8" applyFont="1" applyFill="1" applyBorder="1" applyAlignment="1">
      <alignment horizontal="center"/>
    </xf>
    <xf numFmtId="0" fontId="10" fillId="4" borderId="1" xfId="0" applyNumberFormat="1" applyFont="1" applyFill="1" applyBorder="1" applyAlignment="1">
      <alignment horizontal="center" wrapText="1"/>
    </xf>
    <xf numFmtId="0" fontId="10" fillId="4" borderId="1" xfId="8" applyNumberFormat="1" applyFont="1" applyFill="1" applyBorder="1" applyAlignment="1">
      <alignment horizontal="center" wrapText="1"/>
    </xf>
    <xf numFmtId="43" fontId="10" fillId="4" borderId="1" xfId="1" applyNumberFormat="1" applyFont="1" applyFill="1" applyBorder="1" applyAlignment="1" applyProtection="1">
      <alignment horizontal="center"/>
      <protection locked="0"/>
    </xf>
    <xf numFmtId="6" fontId="10" fillId="4" borderId="1" xfId="1" quotePrefix="1" applyNumberFormat="1" applyFont="1" applyFill="1" applyBorder="1" applyAlignment="1" applyProtection="1">
      <alignment horizontal="center"/>
      <protection locked="0"/>
    </xf>
    <xf numFmtId="6" fontId="10" fillId="4" borderId="0" xfId="1" applyNumberFormat="1" applyFont="1" applyFill="1" applyBorder="1" applyAlignment="1" applyProtection="1">
      <alignment horizontal="center"/>
      <protection locked="0"/>
    </xf>
    <xf numFmtId="0" fontId="15" fillId="4" borderId="0" xfId="8" quotePrefix="1" applyFont="1" applyFill="1"/>
    <xf numFmtId="0" fontId="15" fillId="4" borderId="0" xfId="8" quotePrefix="1" applyFont="1" applyFill="1" applyAlignment="1">
      <alignment horizontal="center"/>
    </xf>
    <xf numFmtId="43" fontId="10" fillId="4" borderId="0" xfId="8" applyNumberFormat="1" applyFont="1" applyFill="1"/>
    <xf numFmtId="0" fontId="14" fillId="4" borderId="0" xfId="1" applyNumberFormat="1" applyFont="1" applyFill="1"/>
    <xf numFmtId="166" fontId="10" fillId="0" borderId="1" xfId="1" applyNumberFormat="1" applyFont="1" applyFill="1" applyBorder="1"/>
    <xf numFmtId="166" fontId="10" fillId="4" borderId="1" xfId="1" applyNumberFormat="1" applyFont="1" applyFill="1" applyBorder="1"/>
    <xf numFmtId="166" fontId="10" fillId="4" borderId="0" xfId="1" applyNumberFormat="1" applyFont="1" applyFill="1" applyBorder="1"/>
    <xf numFmtId="166" fontId="10" fillId="4" borderId="7" xfId="1" applyNumberFormat="1" applyFont="1" applyFill="1" applyBorder="1"/>
    <xf numFmtId="166" fontId="10" fillId="4" borderId="0" xfId="8" applyNumberFormat="1" applyFont="1" applyFill="1"/>
    <xf numFmtId="0" fontId="10" fillId="4" borderId="0" xfId="8" quotePrefix="1" applyFont="1" applyFill="1"/>
    <xf numFmtId="0" fontId="10" fillId="4" borderId="0" xfId="8" quotePrefix="1" applyFont="1" applyFill="1" applyAlignment="1">
      <alignment horizontal="center"/>
    </xf>
    <xf numFmtId="166" fontId="10" fillId="4" borderId="0" xfId="1" applyNumberFormat="1" applyFont="1" applyFill="1"/>
    <xf numFmtId="167" fontId="10" fillId="4" borderId="0" xfId="1" applyNumberFormat="1" applyFont="1" applyFill="1" applyAlignment="1">
      <alignment horizontal="center"/>
    </xf>
    <xf numFmtId="166" fontId="10" fillId="4" borderId="4" xfId="1" applyNumberFormat="1" applyFont="1" applyFill="1" applyBorder="1"/>
    <xf numFmtId="166" fontId="11" fillId="4" borderId="0" xfId="1" applyNumberFormat="1" applyFont="1" applyFill="1" applyBorder="1"/>
    <xf numFmtId="0" fontId="15" fillId="4" borderId="0" xfId="8" applyFont="1" applyFill="1" applyAlignment="1">
      <alignment wrapText="1"/>
    </xf>
    <xf numFmtId="0" fontId="15" fillId="4" borderId="0" xfId="8" applyFont="1" applyFill="1" applyAlignment="1">
      <alignment horizontal="center" wrapText="1"/>
    </xf>
    <xf numFmtId="0" fontId="10" fillId="4" borderId="0" xfId="8" quotePrefix="1" applyFont="1" applyFill="1" applyAlignment="1">
      <alignment wrapText="1"/>
    </xf>
    <xf numFmtId="0" fontId="10" fillId="4" borderId="0" xfId="8" quotePrefix="1" applyFont="1" applyFill="1" applyAlignment="1">
      <alignment horizontal="center" wrapText="1"/>
    </xf>
    <xf numFmtId="0" fontId="10" fillId="4" borderId="0" xfId="0" quotePrefix="1" applyFont="1" applyFill="1" applyAlignment="1">
      <alignment horizontal="left"/>
    </xf>
    <xf numFmtId="166" fontId="10" fillId="4" borderId="7" xfId="8" applyNumberFormat="1" applyFont="1" applyFill="1" applyBorder="1"/>
    <xf numFmtId="0" fontId="10" fillId="4" borderId="0" xfId="8" applyFont="1" applyFill="1" applyAlignment="1">
      <alignment horizontal="left" indent="1"/>
    </xf>
    <xf numFmtId="0" fontId="15" fillId="4" borderId="0" xfId="0" applyFont="1" applyFill="1"/>
    <xf numFmtId="0" fontId="15" fillId="4" borderId="0" xfId="0" applyFont="1" applyFill="1" applyAlignment="1">
      <alignment horizontal="center"/>
    </xf>
    <xf numFmtId="166" fontId="10" fillId="4" borderId="2" xfId="1" applyNumberFormat="1" applyFont="1" applyFill="1" applyBorder="1"/>
    <xf numFmtId="166" fontId="10" fillId="4" borderId="0" xfId="8" applyNumberFormat="1" applyFont="1" applyFill="1" applyBorder="1"/>
    <xf numFmtId="43" fontId="10" fillId="4" borderId="0" xfId="1" applyFont="1" applyFill="1"/>
    <xf numFmtId="43" fontId="10" fillId="4" borderId="0" xfId="1" applyFont="1" applyFill="1" applyBorder="1"/>
    <xf numFmtId="0" fontId="18" fillId="4" borderId="0" xfId="0" applyFont="1" applyFill="1"/>
    <xf numFmtId="0" fontId="10" fillId="4" borderId="0" xfId="0" quotePrefix="1" applyFont="1" applyFill="1" applyAlignment="1">
      <alignment horizontal="center"/>
    </xf>
    <xf numFmtId="0" fontId="19" fillId="4" borderId="0" xfId="8" applyFont="1" applyFill="1"/>
    <xf numFmtId="0" fontId="16" fillId="4" borderId="0" xfId="8" applyFont="1" applyFill="1"/>
    <xf numFmtId="0" fontId="16" fillId="4" borderId="0" xfId="8" quotePrefix="1" applyFont="1" applyFill="1" applyAlignment="1">
      <alignment horizontal="center"/>
    </xf>
    <xf numFmtId="43" fontId="16" fillId="0" borderId="0" xfId="1" applyFont="1" applyFill="1"/>
    <xf numFmtId="0" fontId="13" fillId="4" borderId="0" xfId="0" applyNumberFormat="1" applyFont="1" applyFill="1" applyBorder="1" applyAlignment="1">
      <alignment horizontal="center"/>
    </xf>
    <xf numFmtId="0" fontId="10" fillId="4" borderId="0" xfId="8" applyFont="1" applyFill="1" applyAlignment="1">
      <alignment wrapText="1"/>
    </xf>
    <xf numFmtId="0" fontId="20" fillId="0" borderId="0" xfId="9" applyFont="1"/>
    <xf numFmtId="0" fontId="3" fillId="0" borderId="0" xfId="9"/>
    <xf numFmtId="0" fontId="1" fillId="0" borderId="0" xfId="9" applyFont="1"/>
    <xf numFmtId="0" fontId="0" fillId="0" borderId="1" xfId="9" applyFont="1" applyBorder="1" applyAlignment="1">
      <alignment horizontal="centerContinuous"/>
    </xf>
    <xf numFmtId="0" fontId="1" fillId="0" borderId="1" xfId="9" applyFont="1" applyBorder="1" applyAlignment="1">
      <alignment horizontal="centerContinuous"/>
    </xf>
    <xf numFmtId="0" fontId="1" fillId="0" borderId="0" xfId="9" applyFont="1" applyAlignment="1">
      <alignment horizontal="center"/>
    </xf>
    <xf numFmtId="0" fontId="1" fillId="0" borderId="1" xfId="9" applyFont="1" applyBorder="1" applyAlignment="1">
      <alignment horizontal="center"/>
    </xf>
    <xf numFmtId="0" fontId="21" fillId="0" borderId="0" xfId="9" applyFont="1" applyAlignment="1">
      <alignment horizontal="center"/>
    </xf>
    <xf numFmtId="166" fontId="1" fillId="0" borderId="0" xfId="10" applyNumberFormat="1" applyFont="1" applyBorder="1"/>
    <xf numFmtId="166" fontId="7" fillId="0" borderId="0" xfId="9" applyNumberFormat="1" applyFont="1" applyFill="1" applyBorder="1"/>
    <xf numFmtId="0" fontId="1" fillId="0" borderId="0" xfId="9" quotePrefix="1" applyFont="1" applyFill="1" applyAlignment="1">
      <alignment horizontal="center"/>
    </xf>
    <xf numFmtId="166" fontId="1" fillId="0" borderId="0" xfId="10" applyNumberFormat="1" applyFont="1"/>
    <xf numFmtId="0" fontId="1" fillId="0" borderId="0" xfId="9" applyFont="1" applyFill="1"/>
    <xf numFmtId="166" fontId="1" fillId="0" borderId="0" xfId="10" applyNumberFormat="1" applyFont="1" applyFill="1"/>
    <xf numFmtId="166" fontId="1" fillId="0" borderId="0" xfId="9" applyNumberFormat="1" applyFont="1" applyFill="1"/>
    <xf numFmtId="0" fontId="0" fillId="0" borderId="0" xfId="9" quotePrefix="1" applyFont="1" applyFill="1" applyAlignment="1">
      <alignment horizontal="center"/>
    </xf>
    <xf numFmtId="166" fontId="3" fillId="0" borderId="0" xfId="9" applyNumberFormat="1"/>
    <xf numFmtId="166" fontId="7" fillId="0" borderId="0" xfId="10" applyNumberFormat="1" applyFont="1" applyFill="1"/>
    <xf numFmtId="0" fontId="22" fillId="0" borderId="0" xfId="9" applyFont="1"/>
    <xf numFmtId="0" fontId="1" fillId="0" borderId="0" xfId="9" applyFont="1" applyFill="1" applyAlignment="1">
      <alignment horizontal="center"/>
    </xf>
    <xf numFmtId="0" fontId="3" fillId="0" borderId="0" xfId="9" applyFill="1"/>
    <xf numFmtId="0" fontId="7" fillId="0" borderId="0" xfId="9" quotePrefix="1" applyFont="1" applyFill="1" applyAlignment="1">
      <alignment horizontal="center"/>
    </xf>
    <xf numFmtId="166" fontId="1" fillId="0" borderId="4" xfId="10" applyNumberFormat="1" applyFont="1" applyFill="1" applyBorder="1"/>
    <xf numFmtId="166" fontId="1" fillId="0" borderId="2" xfId="10" applyNumberFormat="1" applyFont="1" applyFill="1" applyBorder="1"/>
    <xf numFmtId="0" fontId="0" fillId="0" borderId="0" xfId="9" applyFont="1" applyFill="1"/>
    <xf numFmtId="0" fontId="0" fillId="0" borderId="0" xfId="9" applyFont="1" applyFill="1" applyAlignment="1">
      <alignment horizontal="left" indent="2"/>
    </xf>
    <xf numFmtId="0" fontId="1" fillId="0" borderId="0" xfId="9" applyFont="1" applyFill="1" applyAlignment="1">
      <alignment horizontal="left" indent="4"/>
    </xf>
    <xf numFmtId="0" fontId="7" fillId="0" borderId="0" xfId="9" applyFont="1" applyFill="1"/>
    <xf numFmtId="0" fontId="23" fillId="0" borderId="0" xfId="9" applyFont="1"/>
    <xf numFmtId="0" fontId="1" fillId="0" borderId="0" xfId="9" applyFont="1" applyFill="1" applyAlignment="1">
      <alignment horizontal="left" indent="5"/>
    </xf>
    <xf numFmtId="49" fontId="1" fillId="0" borderId="0" xfId="9" applyNumberFormat="1" applyFont="1" applyFill="1" applyAlignment="1">
      <alignment horizontal="left" indent="6"/>
    </xf>
    <xf numFmtId="166" fontId="7" fillId="0" borderId="1" xfId="10" applyNumberFormat="1" applyFont="1" applyFill="1" applyBorder="1"/>
    <xf numFmtId="0" fontId="0" fillId="0" borderId="0" xfId="9" quotePrefix="1" applyFont="1" applyFill="1" applyAlignment="1">
      <alignment horizontal="left" indent="4"/>
    </xf>
    <xf numFmtId="0" fontId="0" fillId="0" borderId="0" xfId="9" quotePrefix="1" applyFont="1" applyFill="1" applyAlignment="1">
      <alignment horizontal="left" indent="3"/>
    </xf>
    <xf numFmtId="0" fontId="7" fillId="0" borderId="0" xfId="9" applyFont="1" applyFill="1" applyAlignment="1">
      <alignment horizontal="left" indent="3"/>
    </xf>
    <xf numFmtId="0" fontId="1" fillId="0" borderId="0" xfId="9" applyFont="1" applyFill="1" applyAlignment="1">
      <alignment horizontal="left"/>
    </xf>
    <xf numFmtId="0" fontId="1" fillId="0" borderId="0" xfId="9" quotePrefix="1" applyFont="1" applyFill="1" applyBorder="1"/>
    <xf numFmtId="0" fontId="1" fillId="0" borderId="0" xfId="9" applyFont="1" applyFill="1" applyBorder="1"/>
    <xf numFmtId="166" fontId="1" fillId="0" borderId="2" xfId="9" applyNumberFormat="1" applyFont="1" applyFill="1" applyBorder="1"/>
    <xf numFmtId="0" fontId="1" fillId="0" borderId="0" xfId="9" applyFont="1" applyFill="1" applyBorder="1" applyAlignment="1">
      <alignment horizontal="center"/>
    </xf>
    <xf numFmtId="166" fontId="0" fillId="0" borderId="0" xfId="10" applyNumberFormat="1" applyFont="1" applyFill="1"/>
    <xf numFmtId="3" fontId="1" fillId="0" borderId="0" xfId="9" applyNumberFormat="1" applyFont="1" applyFill="1" applyBorder="1"/>
    <xf numFmtId="49" fontId="0" fillId="0" borderId="0" xfId="9" quotePrefix="1" applyNumberFormat="1" applyFont="1" applyFill="1" applyAlignment="1"/>
    <xf numFmtId="0" fontId="1" fillId="0" borderId="0" xfId="9" applyFont="1" applyFill="1" applyAlignment="1">
      <alignment horizontal="left" indent="2"/>
    </xf>
    <xf numFmtId="166" fontId="1" fillId="0" borderId="0" xfId="9" applyNumberFormat="1" applyFont="1" applyFill="1" applyBorder="1"/>
    <xf numFmtId="166" fontId="1" fillId="0" borderId="4" xfId="9" applyNumberFormat="1" applyFont="1" applyFill="1" applyBorder="1"/>
    <xf numFmtId="166" fontId="1" fillId="0" borderId="0" xfId="9" applyNumberFormat="1" applyFont="1" applyFill="1" applyAlignment="1">
      <alignment horizontal="center"/>
    </xf>
    <xf numFmtId="0" fontId="0" fillId="0" borderId="0" xfId="9" applyFont="1" applyFill="1" applyAlignment="1">
      <alignment horizontal="left"/>
    </xf>
    <xf numFmtId="37" fontId="21" fillId="0" borderId="0" xfId="9" applyNumberFormat="1" applyFont="1" applyFill="1" applyBorder="1"/>
    <xf numFmtId="37" fontId="1" fillId="0" borderId="0" xfId="9" applyNumberFormat="1" applyFont="1" applyFill="1" applyBorder="1" applyAlignment="1">
      <alignment horizontal="centerContinuous"/>
    </xf>
    <xf numFmtId="0" fontId="3" fillId="0" borderId="0" xfId="9" applyAlignment="1">
      <alignment horizontal="center"/>
    </xf>
    <xf numFmtId="37" fontId="0" fillId="0" borderId="1" xfId="9" applyNumberFormat="1" applyFont="1" applyFill="1" applyBorder="1" applyAlignment="1">
      <alignment horizontal="center"/>
    </xf>
    <xf numFmtId="37" fontId="1" fillId="0" borderId="0" xfId="9" applyNumberFormat="1" applyFont="1" applyBorder="1"/>
    <xf numFmtId="37" fontId="1" fillId="0" borderId="0" xfId="9" applyNumberFormat="1" applyFont="1" applyFill="1" applyBorder="1" applyAlignment="1">
      <alignment horizontal="left" indent="1"/>
    </xf>
    <xf numFmtId="0" fontId="3" fillId="0" borderId="0" xfId="9" applyBorder="1"/>
    <xf numFmtId="37" fontId="24" fillId="0" borderId="8" xfId="9" applyNumberFormat="1" applyFont="1" applyFill="1" applyBorder="1" applyAlignment="1">
      <alignment horizontal="center"/>
    </xf>
    <xf numFmtId="37" fontId="7" fillId="0" borderId="9" xfId="9" applyNumberFormat="1" applyFont="1" applyFill="1" applyBorder="1"/>
    <xf numFmtId="37" fontId="25" fillId="0" borderId="0" xfId="9" applyNumberFormat="1" applyFont="1" applyFill="1" applyBorder="1" applyAlignment="1">
      <alignment horizontal="center"/>
    </xf>
    <xf numFmtId="37" fontId="7" fillId="0" borderId="0" xfId="9" applyNumberFormat="1" applyFont="1" applyFill="1" applyBorder="1"/>
    <xf numFmtId="37" fontId="24" fillId="0" borderId="10" xfId="9" applyNumberFormat="1" applyFont="1" applyFill="1" applyBorder="1" applyAlignment="1">
      <alignment horizontal="center"/>
    </xf>
    <xf numFmtId="37" fontId="24" fillId="0" borderId="11" xfId="9" applyNumberFormat="1" applyFont="1" applyFill="1" applyBorder="1" applyAlignment="1">
      <alignment horizontal="center"/>
    </xf>
    <xf numFmtId="37" fontId="24" fillId="0" borderId="0" xfId="9" applyNumberFormat="1" applyFont="1" applyFill="1" applyBorder="1" applyAlignment="1">
      <alignment horizontal="center"/>
    </xf>
    <xf numFmtId="37" fontId="7" fillId="0" borderId="1" xfId="9" applyNumberFormat="1" applyFont="1" applyFill="1" applyBorder="1"/>
    <xf numFmtId="37" fontId="2" fillId="0" borderId="0" xfId="9" applyNumberFormat="1" applyFont="1" applyFill="1" applyBorder="1"/>
    <xf numFmtId="37" fontId="1" fillId="0" borderId="1" xfId="9" applyNumberFormat="1" applyFont="1" applyFill="1" applyBorder="1"/>
    <xf numFmtId="37" fontId="1" fillId="0" borderId="0" xfId="9" applyNumberFormat="1" applyFont="1" applyFill="1" applyBorder="1"/>
    <xf numFmtId="37" fontId="1" fillId="0" borderId="0" xfId="9" applyNumberFormat="1" applyFont="1" applyFill="1"/>
    <xf numFmtId="0" fontId="3" fillId="0" borderId="1" xfId="9" applyBorder="1" applyAlignment="1">
      <alignment horizontal="center"/>
    </xf>
    <xf numFmtId="37" fontId="2" fillId="0" borderId="0" xfId="9" applyNumberFormat="1" applyFont="1" applyFill="1" applyBorder="1" applyAlignment="1">
      <alignment horizontal="centerContinuous"/>
    </xf>
    <xf numFmtId="37" fontId="26" fillId="0" borderId="0" xfId="9" applyNumberFormat="1" applyFont="1" applyFill="1" applyBorder="1" applyAlignment="1">
      <alignment horizontal="center"/>
    </xf>
    <xf numFmtId="37" fontId="1" fillId="0" borderId="12" xfId="9" applyNumberFormat="1" applyFont="1" applyFill="1" applyBorder="1"/>
    <xf numFmtId="43" fontId="1" fillId="0" borderId="10" xfId="11" applyFont="1" applyFill="1" applyBorder="1"/>
    <xf numFmtId="37" fontId="2" fillId="0" borderId="0" xfId="9" applyNumberFormat="1" applyFont="1" applyFill="1" applyBorder="1" applyAlignment="1">
      <alignment horizontal="left" indent="1"/>
    </xf>
    <xf numFmtId="37" fontId="1" fillId="0" borderId="4" xfId="9" applyNumberFormat="1" applyFont="1" applyFill="1" applyBorder="1"/>
    <xf numFmtId="37" fontId="27" fillId="0" borderId="0" xfId="9" applyNumberFormat="1" applyFont="1" applyFill="1" applyBorder="1"/>
    <xf numFmtId="37" fontId="1" fillId="0" borderId="13" xfId="9" applyNumberFormat="1" applyFont="1" applyFill="1" applyBorder="1"/>
    <xf numFmtId="37" fontId="1" fillId="0" borderId="0" xfId="9" applyNumberFormat="1" applyFont="1"/>
    <xf numFmtId="37" fontId="2" fillId="0" borderId="0" xfId="9" applyNumberFormat="1" applyFont="1" applyFill="1" applyBorder="1" applyAlignment="1"/>
    <xf numFmtId="37" fontId="2" fillId="0" borderId="0" xfId="9" applyNumberFormat="1" applyFont="1" applyBorder="1" applyAlignment="1">
      <alignment horizontal="center"/>
    </xf>
    <xf numFmtId="166" fontId="23" fillId="0" borderId="0" xfId="10" applyNumberFormat="1" applyFont="1" applyFill="1" applyBorder="1"/>
    <xf numFmtId="166" fontId="7" fillId="0" borderId="0" xfId="10" applyNumberFormat="1" applyFont="1" applyFill="1" applyBorder="1"/>
    <xf numFmtId="37" fontId="1" fillId="0" borderId="2" xfId="9" applyNumberFormat="1" applyFont="1" applyFill="1" applyBorder="1"/>
    <xf numFmtId="37" fontId="0" fillId="0" borderId="0" xfId="9" applyNumberFormat="1" applyFont="1" applyFill="1" applyBorder="1"/>
    <xf numFmtId="0" fontId="1" fillId="0" borderId="0" xfId="9" applyFont="1" applyAlignment="1">
      <alignment horizontal="left" indent="3"/>
    </xf>
    <xf numFmtId="37" fontId="7" fillId="0" borderId="0" xfId="9" applyNumberFormat="1" applyFont="1" applyFill="1" applyBorder="1" applyAlignment="1">
      <alignment horizontal="center"/>
    </xf>
    <xf numFmtId="37" fontId="1" fillId="0" borderId="0" xfId="9" applyNumberFormat="1" applyFont="1" applyFill="1" applyBorder="1" applyAlignment="1">
      <alignment horizontal="left" indent="5"/>
    </xf>
    <xf numFmtId="0" fontId="15" fillId="4" borderId="1" xfId="12" applyFont="1" applyFill="1" applyBorder="1" applyAlignment="1">
      <alignment horizontal="center" wrapText="1"/>
    </xf>
    <xf numFmtId="0" fontId="15" fillId="4" borderId="1" xfId="13" applyFont="1" applyFill="1" applyBorder="1" applyAlignment="1">
      <alignment horizontal="center" wrapText="1"/>
    </xf>
    <xf numFmtId="0" fontId="15" fillId="4" borderId="1" xfId="12" applyFont="1" applyFill="1" applyBorder="1"/>
    <xf numFmtId="0" fontId="15" fillId="4" borderId="1" xfId="12" applyFont="1" applyFill="1" applyBorder="1" applyAlignment="1">
      <alignment horizontal="right"/>
    </xf>
    <xf numFmtId="38" fontId="15" fillId="4" borderId="1" xfId="1" applyNumberFormat="1" applyFont="1" applyFill="1" applyBorder="1" applyAlignment="1">
      <alignment horizontal="center" wrapText="1"/>
    </xf>
    <xf numFmtId="0" fontId="15" fillId="4" borderId="1" xfId="12" applyNumberFormat="1" applyFont="1" applyFill="1" applyBorder="1" applyAlignment="1">
      <alignment horizontal="center"/>
    </xf>
    <xf numFmtId="0" fontId="15" fillId="4" borderId="1" xfId="14" applyNumberFormat="1" applyFont="1" applyFill="1" applyBorder="1" applyAlignment="1">
      <alignment horizontal="center"/>
    </xf>
    <xf numFmtId="0" fontId="10" fillId="4" borderId="0" xfId="12" applyFont="1" applyFill="1"/>
    <xf numFmtId="0" fontId="10" fillId="4" borderId="0" xfId="12" applyFont="1" applyFill="1" applyAlignment="1">
      <alignment horizontal="center"/>
    </xf>
    <xf numFmtId="0" fontId="10" fillId="4" borderId="0" xfId="0" applyFont="1" applyFill="1" applyAlignment="1">
      <alignment horizontal="left"/>
    </xf>
    <xf numFmtId="0" fontId="10" fillId="4" borderId="0" xfId="12" applyFont="1" applyFill="1" applyAlignment="1">
      <alignment horizontal="right"/>
    </xf>
    <xf numFmtId="38" fontId="10" fillId="4" borderId="0" xfId="0" applyNumberFormat="1" applyFont="1" applyFill="1" applyAlignment="1">
      <alignment horizontal="center"/>
    </xf>
    <xf numFmtId="0" fontId="10" fillId="4" borderId="0" xfId="0" applyFont="1" applyFill="1" applyBorder="1" applyAlignment="1"/>
    <xf numFmtId="0" fontId="29" fillId="4" borderId="0" xfId="15" applyFont="1" applyFill="1" applyBorder="1" applyAlignment="1" applyProtection="1">
      <alignment horizontal="center"/>
    </xf>
    <xf numFmtId="166" fontId="10" fillId="4" borderId="0" xfId="1" applyNumberFormat="1" applyFont="1" applyFill="1" applyAlignment="1">
      <alignment horizontal="center"/>
    </xf>
    <xf numFmtId="0" fontId="15" fillId="4" borderId="0" xfId="12" applyFont="1" applyFill="1"/>
    <xf numFmtId="0" fontId="10" fillId="4" borderId="0" xfId="0" applyNumberFormat="1" applyFont="1" applyFill="1" applyBorder="1" applyAlignment="1">
      <alignment horizontal="center"/>
    </xf>
    <xf numFmtId="49" fontId="30" fillId="4" borderId="0" xfId="15" applyNumberFormat="1" applyFont="1" applyFill="1" applyBorder="1" applyAlignment="1" applyProtection="1">
      <alignment horizontal="center"/>
    </xf>
    <xf numFmtId="49" fontId="11" fillId="4" borderId="0" xfId="15" applyNumberFormat="1" applyFont="1" applyFill="1" applyAlignment="1" applyProtection="1">
      <alignment horizontal="center"/>
    </xf>
    <xf numFmtId="0" fontId="10" fillId="4" borderId="0" xfId="0" applyFont="1" applyFill="1" applyBorder="1"/>
    <xf numFmtId="49" fontId="29" fillId="4" borderId="0" xfId="15" applyNumberFormat="1" applyFont="1" applyFill="1" applyAlignment="1" applyProtection="1">
      <alignment horizontal="center"/>
    </xf>
    <xf numFmtId="0" fontId="10" fillId="4" borderId="0" xfId="1" quotePrefix="1" applyNumberFormat="1" applyFont="1" applyFill="1" applyBorder="1" applyAlignment="1" applyProtection="1">
      <alignment horizontal="center" vertical="center"/>
      <protection locked="0"/>
    </xf>
    <xf numFmtId="0" fontId="10" fillId="4" borderId="0" xfId="1" quotePrefix="1" applyNumberFormat="1" applyFont="1" applyFill="1" applyBorder="1" applyAlignment="1" applyProtection="1">
      <alignment vertical="center"/>
      <protection locked="0"/>
    </xf>
    <xf numFmtId="0" fontId="10" fillId="4" borderId="0" xfId="0" applyFont="1" applyFill="1" applyBorder="1" applyAlignment="1">
      <alignment horizontal="left"/>
    </xf>
    <xf numFmtId="0" fontId="10" fillId="4" borderId="0" xfId="0" applyNumberFormat="1" applyFont="1" applyFill="1" applyBorder="1" applyAlignment="1"/>
    <xf numFmtId="166" fontId="29" fillId="4" borderId="0" xfId="1" applyNumberFormat="1" applyFont="1" applyFill="1"/>
    <xf numFmtId="166" fontId="10" fillId="4" borderId="9" xfId="1" applyNumberFormat="1" applyFont="1" applyFill="1" applyBorder="1"/>
    <xf numFmtId="166" fontId="10" fillId="5" borderId="4" xfId="1" applyNumberFormat="1" applyFont="1" applyFill="1" applyBorder="1"/>
    <xf numFmtId="38" fontId="18" fillId="4" borderId="0" xfId="1" applyNumberFormat="1" applyFont="1" applyFill="1" applyAlignment="1">
      <alignment horizontal="left"/>
    </xf>
    <xf numFmtId="43" fontId="10" fillId="4" borderId="0" xfId="12" applyNumberFormat="1" applyFont="1" applyFill="1" applyAlignment="1">
      <alignment horizontal="center"/>
    </xf>
    <xf numFmtId="0" fontId="10" fillId="4" borderId="0" xfId="12" applyFont="1" applyFill="1" applyBorder="1"/>
    <xf numFmtId="0" fontId="10" fillId="4" borderId="0" xfId="16" applyFont="1" applyFill="1"/>
    <xf numFmtId="166" fontId="10" fillId="4" borderId="0" xfId="12" applyNumberFormat="1" applyFont="1" applyFill="1" applyBorder="1"/>
    <xf numFmtId="38" fontId="10" fillId="4" borderId="0" xfId="1" applyNumberFormat="1" applyFont="1" applyFill="1" applyAlignment="1">
      <alignment horizontal="left"/>
    </xf>
    <xf numFmtId="38" fontId="15" fillId="4" borderId="0" xfId="1" applyNumberFormat="1" applyFont="1" applyFill="1" applyAlignment="1">
      <alignment horizontal="right"/>
    </xf>
    <xf numFmtId="166" fontId="15" fillId="6" borderId="2" xfId="1" applyNumberFormat="1" applyFont="1" applyFill="1" applyBorder="1"/>
    <xf numFmtId="43" fontId="10" fillId="6" borderId="2" xfId="1" applyFont="1" applyFill="1" applyBorder="1"/>
    <xf numFmtId="166" fontId="10" fillId="4" borderId="0" xfId="1" applyNumberFormat="1" applyFont="1" applyFill="1" applyAlignment="1">
      <alignment horizontal="right"/>
    </xf>
    <xf numFmtId="166" fontId="10" fillId="4" borderId="0" xfId="12" applyNumberFormat="1" applyFont="1" applyFill="1"/>
    <xf numFmtId="0" fontId="10" fillId="4" borderId="0" xfId="0" applyFont="1" applyFill="1" applyAlignment="1">
      <alignment horizontal="right"/>
    </xf>
    <xf numFmtId="166" fontId="11" fillId="4" borderId="0" xfId="12" applyNumberFormat="1" applyFont="1" applyFill="1" applyAlignment="1">
      <alignment horizontal="left"/>
    </xf>
    <xf numFmtId="0" fontId="10" fillId="4" borderId="1" xfId="12" applyFont="1" applyFill="1" applyBorder="1"/>
    <xf numFmtId="166" fontId="10" fillId="4" borderId="1" xfId="1" applyNumberFormat="1" applyFont="1" applyFill="1" applyBorder="1" applyAlignment="1">
      <alignment horizontal="right"/>
    </xf>
    <xf numFmtId="166" fontId="10" fillId="4" borderId="1" xfId="12" applyNumberFormat="1" applyFont="1" applyFill="1" applyBorder="1"/>
    <xf numFmtId="168" fontId="10" fillId="4" borderId="1" xfId="1" applyNumberFormat="1" applyFont="1" applyFill="1" applyBorder="1"/>
    <xf numFmtId="166" fontId="10" fillId="4" borderId="1" xfId="12" applyNumberFormat="1" applyFont="1" applyFill="1" applyBorder="1" applyAlignment="1">
      <alignment horizontal="left"/>
    </xf>
    <xf numFmtId="168" fontId="10" fillId="4" borderId="0" xfId="1" applyNumberFormat="1" applyFont="1" applyFill="1"/>
    <xf numFmtId="0" fontId="10" fillId="4" borderId="0" xfId="12" applyFont="1" applyFill="1" applyAlignment="1">
      <alignment horizontal="left"/>
    </xf>
    <xf numFmtId="0" fontId="10" fillId="4" borderId="0" xfId="13" applyFont="1" applyFill="1" applyAlignment="1" applyProtection="1">
      <alignment horizontal="right"/>
      <protection locked="0"/>
    </xf>
    <xf numFmtId="43" fontId="10" fillId="4" borderId="0" xfId="1" applyFont="1" applyFill="1" applyAlignment="1">
      <alignment horizontal="center"/>
    </xf>
    <xf numFmtId="0" fontId="10" fillId="4" borderId="0" xfId="0" applyFont="1" applyFill="1" applyBorder="1" applyAlignment="1">
      <alignment horizontal="center"/>
    </xf>
    <xf numFmtId="49" fontId="30" fillId="0" borderId="0" xfId="15" applyNumberFormat="1" applyFont="1" applyFill="1" applyBorder="1" applyAlignment="1" applyProtection="1">
      <alignment horizontal="center"/>
    </xf>
    <xf numFmtId="0" fontId="10" fillId="4" borderId="0" xfId="12" applyFont="1" applyFill="1" applyBorder="1" applyAlignment="1">
      <alignment horizontal="center"/>
    </xf>
    <xf numFmtId="0" fontId="10" fillId="4" borderId="0" xfId="0" applyFont="1" applyFill="1" applyProtection="1">
      <protection locked="0"/>
    </xf>
    <xf numFmtId="0" fontId="10" fillId="4" borderId="0" xfId="12" applyFont="1" applyFill="1" applyProtection="1">
      <protection locked="0"/>
    </xf>
    <xf numFmtId="166" fontId="10" fillId="4" borderId="0" xfId="1" applyNumberFormat="1" applyFont="1" applyFill="1" applyProtection="1">
      <protection locked="0"/>
    </xf>
    <xf numFmtId="0" fontId="10" fillId="4" borderId="0" xfId="0" applyFont="1" applyFill="1" applyAlignment="1" applyProtection="1">
      <alignment horizontal="center"/>
      <protection locked="0"/>
    </xf>
    <xf numFmtId="0" fontId="10" fillId="4" borderId="0" xfId="0" applyFont="1" applyFill="1"/>
    <xf numFmtId="0" fontId="15" fillId="4" borderId="0" xfId="12" applyFont="1" applyFill="1" applyProtection="1">
      <protection locked="0"/>
    </xf>
    <xf numFmtId="166" fontId="10" fillId="4" borderId="0" xfId="1" applyNumberFormat="1" applyFont="1" applyFill="1" applyBorder="1" applyProtection="1">
      <protection locked="0"/>
    </xf>
    <xf numFmtId="49" fontId="31" fillId="4" borderId="0" xfId="0" applyNumberFormat="1" applyFont="1" applyFill="1" applyAlignment="1" applyProtection="1">
      <alignment horizontal="center"/>
      <protection locked="0"/>
    </xf>
    <xf numFmtId="0" fontId="10" fillId="4" borderId="0" xfId="12" applyFont="1" applyFill="1" applyAlignment="1" applyProtection="1">
      <alignment horizontal="center"/>
      <protection locked="0"/>
    </xf>
    <xf numFmtId="49" fontId="13" fillId="4" borderId="0" xfId="0" applyNumberFormat="1" applyFont="1" applyFill="1" applyBorder="1" applyProtection="1">
      <protection locked="0"/>
    </xf>
    <xf numFmtId="49" fontId="29" fillId="4" borderId="0" xfId="15" applyNumberFormat="1" applyFont="1" applyFill="1" applyAlignment="1" applyProtection="1">
      <alignment horizontal="center"/>
      <protection locked="0"/>
    </xf>
    <xf numFmtId="43" fontId="10" fillId="4" borderId="0" xfId="0" applyNumberFormat="1" applyFont="1" applyFill="1" applyAlignment="1" applyProtection="1">
      <alignment horizontal="center"/>
      <protection locked="0"/>
    </xf>
    <xf numFmtId="0" fontId="15" fillId="4" borderId="0" xfId="12" applyFont="1" applyFill="1" applyAlignment="1" applyProtection="1">
      <alignment horizontal="left"/>
      <protection locked="0"/>
    </xf>
    <xf numFmtId="38" fontId="10" fillId="4" borderId="0" xfId="1" applyNumberFormat="1" applyFont="1" applyFill="1" applyBorder="1" applyAlignment="1" applyProtection="1">
      <protection locked="0"/>
    </xf>
    <xf numFmtId="166" fontId="10" fillId="4" borderId="0" xfId="1" applyNumberFormat="1" applyFont="1" applyFill="1" applyAlignment="1" applyProtection="1">
      <alignment horizontal="center"/>
      <protection locked="0"/>
    </xf>
    <xf numFmtId="166" fontId="10" fillId="7" borderId="0" xfId="1" applyNumberFormat="1" applyFont="1" applyFill="1" applyProtection="1">
      <protection locked="0"/>
    </xf>
    <xf numFmtId="49" fontId="29" fillId="4" borderId="0" xfId="15" applyNumberFormat="1" applyFont="1" applyFill="1" applyBorder="1" applyAlignment="1" applyProtection="1">
      <alignment horizontal="center"/>
    </xf>
    <xf numFmtId="0" fontId="11" fillId="4" borderId="0" xfId="0" applyFont="1" applyFill="1" applyProtection="1">
      <protection locked="0"/>
    </xf>
    <xf numFmtId="0" fontId="10" fillId="4" borderId="0" xfId="0" quotePrefix="1" applyFont="1" applyFill="1" applyProtection="1">
      <protection locked="0"/>
    </xf>
    <xf numFmtId="0" fontId="10" fillId="4" borderId="0" xfId="0" applyNumberFormat="1" applyFont="1" applyFill="1" applyBorder="1" applyAlignment="1" applyProtection="1">
      <alignment horizontal="center"/>
      <protection locked="0"/>
    </xf>
    <xf numFmtId="0" fontId="10" fillId="4" borderId="0" xfId="0" applyFont="1" applyFill="1" applyBorder="1" applyProtection="1">
      <protection locked="0"/>
    </xf>
    <xf numFmtId="0" fontId="29" fillId="4" borderId="0" xfId="15"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166" fontId="10" fillId="4" borderId="4" xfId="1" applyNumberFormat="1" applyFont="1" applyFill="1" applyBorder="1" applyProtection="1">
      <protection locked="0"/>
    </xf>
    <xf numFmtId="166" fontId="10" fillId="5" borderId="4" xfId="1" applyNumberFormat="1" applyFont="1" applyFill="1" applyBorder="1" applyProtection="1">
      <protection locked="0"/>
    </xf>
    <xf numFmtId="38" fontId="18" fillId="4" borderId="0" xfId="1" applyNumberFormat="1" applyFont="1" applyFill="1" applyAlignment="1" applyProtection="1">
      <alignment horizontal="left"/>
      <protection locked="0"/>
    </xf>
    <xf numFmtId="38" fontId="10" fillId="4" borderId="0" xfId="1" applyNumberFormat="1" applyFont="1" applyFill="1" applyAlignment="1" applyProtection="1">
      <alignment horizontal="left"/>
      <protection locked="0"/>
    </xf>
    <xf numFmtId="43" fontId="10" fillId="4" borderId="0" xfId="1" applyFont="1" applyFill="1" applyBorder="1" applyProtection="1">
      <protection locked="0"/>
    </xf>
    <xf numFmtId="166" fontId="10" fillId="4" borderId="4" xfId="0" applyNumberFormat="1" applyFont="1" applyFill="1" applyBorder="1" applyProtection="1">
      <protection locked="0"/>
    </xf>
    <xf numFmtId="166" fontId="10" fillId="4" borderId="0" xfId="0" applyNumberFormat="1" applyFont="1" applyFill="1" applyProtection="1">
      <protection locked="0"/>
    </xf>
    <xf numFmtId="0" fontId="15" fillId="4" borderId="0" xfId="0" applyFont="1" applyFill="1" applyProtection="1">
      <protection locked="0"/>
    </xf>
    <xf numFmtId="38" fontId="15" fillId="4" borderId="0" xfId="1" applyNumberFormat="1" applyFont="1" applyFill="1" applyAlignment="1" applyProtection="1">
      <alignment horizontal="right"/>
      <protection locked="0"/>
    </xf>
    <xf numFmtId="166" fontId="15" fillId="6" borderId="2" xfId="1" applyNumberFormat="1" applyFont="1" applyFill="1" applyBorder="1" applyProtection="1">
      <protection locked="0"/>
    </xf>
    <xf numFmtId="43" fontId="10" fillId="6" borderId="2" xfId="1" applyNumberFormat="1" applyFont="1" applyFill="1" applyBorder="1" applyProtection="1">
      <protection locked="0"/>
    </xf>
    <xf numFmtId="43" fontId="10" fillId="4" borderId="0" xfId="0" applyNumberFormat="1" applyFont="1" applyFill="1" applyBorder="1" applyProtection="1">
      <protection locked="0"/>
    </xf>
    <xf numFmtId="166" fontId="15" fillId="4" borderId="0" xfId="1" applyNumberFormat="1" applyFont="1" applyFill="1" applyBorder="1" applyProtection="1">
      <protection locked="0"/>
    </xf>
    <xf numFmtId="43" fontId="11" fillId="4" borderId="0" xfId="0" applyNumberFormat="1" applyFont="1" applyFill="1" applyAlignment="1" applyProtection="1">
      <alignment horizontal="center"/>
      <protection locked="0"/>
    </xf>
    <xf numFmtId="166" fontId="10" fillId="4" borderId="0" xfId="0" applyNumberFormat="1" applyFont="1" applyFill="1"/>
    <xf numFmtId="0" fontId="10" fillId="4" borderId="0" xfId="0" applyFont="1" applyFill="1" applyAlignment="1">
      <alignment horizontal="center"/>
    </xf>
    <xf numFmtId="166" fontId="10" fillId="4" borderId="1" xfId="1" applyNumberFormat="1" applyFont="1" applyFill="1" applyBorder="1" applyProtection="1">
      <protection locked="0"/>
    </xf>
    <xf numFmtId="38" fontId="10" fillId="4" borderId="0" xfId="1" applyNumberFormat="1" applyFont="1" applyFill="1" applyAlignment="1">
      <alignment horizontal="right"/>
    </xf>
    <xf numFmtId="0" fontId="10" fillId="4" borderId="0" xfId="16" applyFont="1" applyFill="1" applyAlignment="1">
      <alignment horizontal="right"/>
    </xf>
    <xf numFmtId="166" fontId="10" fillId="4" borderId="1" xfId="0" applyNumberFormat="1" applyFont="1" applyFill="1" applyBorder="1"/>
    <xf numFmtId="43" fontId="10" fillId="4" borderId="0" xfId="0" applyNumberFormat="1" applyFont="1" applyFill="1"/>
    <xf numFmtId="0" fontId="31" fillId="4" borderId="0" xfId="0" applyFont="1" applyFill="1" applyAlignment="1">
      <alignment horizontal="center"/>
    </xf>
    <xf numFmtId="166" fontId="10" fillId="4" borderId="0" xfId="12" quotePrefix="1" applyNumberFormat="1" applyFont="1" applyFill="1"/>
    <xf numFmtId="0" fontId="31" fillId="4" borderId="0" xfId="15" applyFont="1" applyFill="1" applyBorder="1" applyAlignment="1" applyProtection="1">
      <alignment horizontal="center"/>
    </xf>
    <xf numFmtId="49" fontId="31" fillId="4" borderId="0" xfId="15" applyNumberFormat="1" applyFont="1" applyFill="1" applyBorder="1" applyAlignment="1" applyProtection="1">
      <alignment horizontal="center"/>
    </xf>
    <xf numFmtId="49" fontId="13" fillId="4" borderId="0" xfId="0" applyNumberFormat="1" applyFont="1" applyFill="1" applyBorder="1"/>
    <xf numFmtId="0" fontId="10" fillId="4" borderId="0" xfId="12" quotePrefix="1" applyFont="1" applyFill="1"/>
    <xf numFmtId="0" fontId="31" fillId="4" borderId="0" xfId="15" applyFont="1" applyFill="1" applyAlignment="1" applyProtection="1">
      <alignment horizontal="center"/>
    </xf>
    <xf numFmtId="166" fontId="10" fillId="0" borderId="0" xfId="1" applyNumberFormat="1" applyFont="1" applyFill="1" applyBorder="1"/>
    <xf numFmtId="166" fontId="31" fillId="4" borderId="0" xfId="0" applyNumberFormat="1" applyFont="1" applyFill="1" applyAlignment="1">
      <alignment horizontal="center"/>
    </xf>
    <xf numFmtId="166" fontId="10" fillId="4" borderId="0" xfId="0" applyNumberFormat="1" applyFont="1" applyFill="1" applyAlignment="1">
      <alignment horizontal="center"/>
    </xf>
    <xf numFmtId="0" fontId="15" fillId="4" borderId="0" xfId="0" applyFont="1" applyFill="1" applyAlignment="1">
      <alignment horizontal="left"/>
    </xf>
    <xf numFmtId="166" fontId="10" fillId="6" borderId="2" xfId="1" applyNumberFormat="1" applyFont="1" applyFill="1" applyBorder="1"/>
    <xf numFmtId="43" fontId="10" fillId="6" borderId="2" xfId="1" applyNumberFormat="1" applyFont="1" applyFill="1" applyBorder="1"/>
    <xf numFmtId="49" fontId="31" fillId="4" borderId="0" xfId="1" applyNumberFormat="1" applyFont="1" applyFill="1" applyAlignment="1">
      <alignment horizontal="center"/>
    </xf>
    <xf numFmtId="38" fontId="10" fillId="4" borderId="0" xfId="0" applyNumberFormat="1" applyFont="1" applyFill="1"/>
    <xf numFmtId="40" fontId="10" fillId="4" borderId="0" xfId="0" applyNumberFormat="1" applyFont="1" applyFill="1"/>
    <xf numFmtId="38" fontId="10" fillId="4" borderId="0" xfId="0" applyNumberFormat="1" applyFont="1" applyFill="1" applyAlignment="1">
      <alignment horizontal="right"/>
    </xf>
    <xf numFmtId="166" fontId="10" fillId="4" borderId="0" xfId="0" applyNumberFormat="1" applyFont="1" applyFill="1" applyBorder="1"/>
    <xf numFmtId="168" fontId="10" fillId="4" borderId="0" xfId="1" applyNumberFormat="1" applyFont="1" applyFill="1" applyAlignment="1">
      <alignment horizontal="left"/>
    </xf>
    <xf numFmtId="0" fontId="4" fillId="0" borderId="0" xfId="2" applyFont="1" applyAlignment="1">
      <alignment horizontal="left"/>
    </xf>
    <xf numFmtId="165" fontId="5" fillId="0" borderId="0" xfId="4" applyNumberFormat="1" applyFont="1" applyFill="1"/>
    <xf numFmtId="0" fontId="8" fillId="0" borderId="3" xfId="6" applyFont="1" applyFill="1" applyBorder="1" applyAlignment="1">
      <alignment horizontal="left" vertical="top" wrapText="1"/>
    </xf>
    <xf numFmtId="0" fontId="8" fillId="0" borderId="4" xfId="6" applyFont="1" applyFill="1" applyBorder="1" applyAlignment="1">
      <alignment horizontal="left" vertical="top" wrapText="1"/>
    </xf>
    <xf numFmtId="0" fontId="8" fillId="0" borderId="5" xfId="6" applyFont="1" applyFill="1" applyBorder="1" applyAlignment="1">
      <alignment horizontal="left" vertical="top" wrapText="1"/>
    </xf>
    <xf numFmtId="0" fontId="4" fillId="0" borderId="0" xfId="2" applyFont="1" applyBorder="1" applyAlignment="1">
      <alignment horizontal="center"/>
    </xf>
    <xf numFmtId="0" fontId="4" fillId="0" borderId="1" xfId="2" applyFont="1" applyBorder="1" applyAlignment="1">
      <alignment horizontal="center"/>
    </xf>
    <xf numFmtId="0" fontId="10" fillId="4" borderId="0" xfId="8" applyFont="1" applyFill="1" applyAlignment="1">
      <alignment horizontal="left" vertical="top" wrapText="1"/>
    </xf>
    <xf numFmtId="37" fontId="2" fillId="0" borderId="0" xfId="9" applyNumberFormat="1" applyFont="1" applyFill="1" applyBorder="1" applyAlignment="1">
      <alignment horizontal="center" vertical="center" textRotation="90"/>
    </xf>
  </cellXfs>
  <cellStyles count="17">
    <cellStyle name="Comma" xfId="1" builtinId="3"/>
    <cellStyle name="Comma 2" xfId="10"/>
    <cellStyle name="Comma 3" xfId="11"/>
    <cellStyle name="Currency 3" xfId="4"/>
    <cellStyle name="Hyperlink" xfId="15" builtinId="8"/>
    <cellStyle name="Normal" xfId="0" builtinId="0"/>
    <cellStyle name="Normal 10 2 2" xfId="3"/>
    <cellStyle name="Normal 2" xfId="9"/>
    <cellStyle name="Normal 22 2" xfId="5"/>
    <cellStyle name="Normal 25" xfId="2"/>
    <cellStyle name="Normal_03 2008 income statement - year-to-date" xfId="8"/>
    <cellStyle name="Normal_CY 2003 Assets BS Recon" xfId="13"/>
    <cellStyle name="Normal_CY 2003 Liabilities BS Recon" xfId="14"/>
    <cellStyle name="Normal_FERC 2002 P&amp;L Tie-out" xfId="16"/>
    <cellStyle name="Normal_FERC 2002 Revenue Reconciliation" xfId="12"/>
    <cellStyle name="Normal_GAAP-FERC B-S Recon 9-30-2007" xfId="6"/>
    <cellStyle name="SAPBEXstdItem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552450</xdr:colOff>
      <xdr:row>5</xdr:row>
      <xdr:rowOff>123825</xdr:rowOff>
    </xdr:from>
    <xdr:to>
      <xdr:col>25</xdr:col>
      <xdr:colOff>208519</xdr:colOff>
      <xdr:row>32</xdr:row>
      <xdr:rowOff>85670</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63175" y="838200"/>
          <a:ext cx="6218794" cy="4114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66674</xdr:colOff>
      <xdr:row>0</xdr:row>
      <xdr:rowOff>133350</xdr:rowOff>
    </xdr:from>
    <xdr:to>
      <xdr:col>13</xdr:col>
      <xdr:colOff>238125</xdr:colOff>
      <xdr:row>53</xdr:row>
      <xdr:rowOff>152401</xdr:rowOff>
    </xdr:to>
    <xdr:pic>
      <xdr:nvPicPr>
        <xdr:cNvPr id="2" name="Picture 1"/>
        <xdr:cNvPicPr>
          <a:picLocks noChangeAspect="1"/>
        </xdr:cNvPicPr>
      </xdr:nvPicPr>
      <xdr:blipFill rotWithShape="1">
        <a:blip xmlns:r="http://schemas.openxmlformats.org/officeDocument/2006/relationships" r:embed="rId1"/>
        <a:srcRect l="16226" t="9168" r="65803" b="7210"/>
        <a:stretch/>
      </xdr:blipFill>
      <xdr:spPr>
        <a:xfrm>
          <a:off x="5934074" y="942975"/>
          <a:ext cx="6572251" cy="8601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76995</xdr:colOff>
      <xdr:row>5</xdr:row>
      <xdr:rowOff>793</xdr:rowOff>
    </xdr:from>
    <xdr:to>
      <xdr:col>11</xdr:col>
      <xdr:colOff>76995</xdr:colOff>
      <xdr:row>16</xdr:row>
      <xdr:rowOff>123825</xdr:rowOff>
    </xdr:to>
    <xdr:cxnSp macro="">
      <xdr:nvCxnSpPr>
        <xdr:cNvPr id="2" name="Straight Arrow Connector 1"/>
        <xdr:cNvCxnSpPr/>
      </xdr:nvCxnSpPr>
      <xdr:spPr bwMode="auto">
        <a:xfrm>
          <a:off x="10421145" y="877093"/>
          <a:ext cx="0" cy="1694657"/>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76995</xdr:colOff>
      <xdr:row>5</xdr:row>
      <xdr:rowOff>793</xdr:rowOff>
    </xdr:from>
    <xdr:to>
      <xdr:col>11</xdr:col>
      <xdr:colOff>76995</xdr:colOff>
      <xdr:row>16</xdr:row>
      <xdr:rowOff>123825</xdr:rowOff>
    </xdr:to>
    <xdr:cxnSp macro="">
      <xdr:nvCxnSpPr>
        <xdr:cNvPr id="3" name="Straight Arrow Connector 2"/>
        <xdr:cNvCxnSpPr/>
      </xdr:nvCxnSpPr>
      <xdr:spPr bwMode="auto">
        <a:xfrm>
          <a:off x="10421145" y="877093"/>
          <a:ext cx="0" cy="1694657"/>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76200</xdr:colOff>
      <xdr:row>8</xdr:row>
      <xdr:rowOff>133350</xdr:rowOff>
    </xdr:from>
    <xdr:to>
      <xdr:col>11</xdr:col>
      <xdr:colOff>76200</xdr:colOff>
      <xdr:row>16</xdr:row>
      <xdr:rowOff>9525</xdr:rowOff>
    </xdr:to>
    <xdr:cxnSp macro="">
      <xdr:nvCxnSpPr>
        <xdr:cNvPr id="2" name="Straight Arrow Connector 1"/>
        <xdr:cNvCxnSpPr/>
      </xdr:nvCxnSpPr>
      <xdr:spPr bwMode="auto">
        <a:xfrm>
          <a:off x="10306050" y="1438275"/>
          <a:ext cx="0" cy="1019175"/>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ocuments%20and%20Settings\p04092.000\Local%20Settings\Temporary%20Internet%20Files\OLK1AC\RECOV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RCHIVE\2016\ROO%20-%20December%202016\Recon%202016%20Results%20to%20FERC%20Form%201\GAAP%20to%20FERC%20recons\Copy%20of%20GAAP-FERC%20Income%20Stmt%20Recon%20Dec%202016%20(4.03.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ARCHIVE\2016\ROO%20-%20December%202016\Recon%202016%20Results%20to%20FERC%20Form%201\Dec%202016%20Form%201%20IS%20Reconciliation%20to%202016%20RO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ARCHIVE\2015\ROO%20-%20December%202015\Recon%202015%20Results%20to%20FERC%20Form%201\Dec%202015%20Form%201%20IS%20Reconciliation%20to%202015%20R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row>
        <row r="22">
          <cell r="B22" t="str">
            <v>27</v>
          </cell>
          <cell r="G22">
            <v>1931963666</v>
          </cell>
        </row>
        <row r="23">
          <cell r="B23" t="str">
            <v>36</v>
          </cell>
          <cell r="G23">
            <v>70121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K to FF1 Inc Stmt"/>
      <sheetName val="Rtmkg FERC accts"/>
      <sheetName val="PacifiCorp YTD"/>
      <sheetName val="Cover"/>
      <sheetName val="AA - Revenues"/>
      <sheetName val="BB - Energy Costs &amp; O&amp;M"/>
      <sheetName val="CC- Taxes "/>
      <sheetName val="DD - Depr &amp; Amort"/>
      <sheetName val="EE - Other Net &amp; Derivative P-L"/>
      <sheetName val="FF - Interest Exp"/>
      <sheetName val="GG - Equity in Subs"/>
      <sheetName val="HH -Int &amp; Dividend Income"/>
      <sheetName val="416"/>
      <sheetName val="418"/>
      <sheetName val="421"/>
      <sheetName val="426.1"/>
      <sheetName val="426.3 &amp; 426.4"/>
      <sheetName val="426.5"/>
      <sheetName val="notes"/>
      <sheetName val="Form 1 to Reg  - Util Op Inc"/>
      <sheetName val="FERC Financials"/>
      <sheetName val="F.01 SAP (PCORP)"/>
      <sheetName val="F.01 SAP (PMI)"/>
      <sheetName val="F.01 SAP (Mining)"/>
    </sheetNames>
    <sheetDataSet>
      <sheetData sheetId="0"/>
      <sheetData sheetId="1"/>
      <sheetData sheetId="2">
        <row r="16">
          <cell r="D16">
            <v>189632534.75</v>
          </cell>
        </row>
        <row r="22">
          <cell r="D22">
            <v>-380344453.94</v>
          </cell>
        </row>
        <row r="23">
          <cell r="D23">
            <v>15316302.25</v>
          </cell>
        </row>
        <row r="27">
          <cell r="D27">
            <v>3275677.47</v>
          </cell>
        </row>
        <row r="31">
          <cell r="D31">
            <v>333880342.04000002</v>
          </cell>
        </row>
      </sheetData>
      <sheetData sheetId="3">
        <row r="2">
          <cell r="H2" t="str">
            <v>December 31, 2016</v>
          </cell>
        </row>
      </sheetData>
      <sheetData sheetId="4">
        <row r="1">
          <cell r="E1" t="str">
            <v>3 Months Ended
March 31, 2016</v>
          </cell>
          <cell r="F1" t="str">
            <v>3 Months Ended
June 30, 2016</v>
          </cell>
          <cell r="G1" t="str">
            <v>3 Months Ended
Sept. 30, 2016</v>
          </cell>
          <cell r="H1" t="str">
            <v>3 Months Ended
Dec. 31, 2016</v>
          </cell>
        </row>
      </sheetData>
      <sheetData sheetId="5"/>
      <sheetData sheetId="6"/>
      <sheetData sheetId="7">
        <row r="28">
          <cell r="I28">
            <v>1344291.97</v>
          </cell>
        </row>
      </sheetData>
      <sheetData sheetId="8"/>
      <sheetData sheetId="9"/>
      <sheetData sheetId="10">
        <row r="13">
          <cell r="I13">
            <v>-17851890.699999999</v>
          </cell>
        </row>
      </sheetData>
      <sheetData sheetId="11">
        <row r="27">
          <cell r="I27">
            <v>-9486316.7699999996</v>
          </cell>
        </row>
        <row r="37">
          <cell r="I37">
            <v>27450081.199999999</v>
          </cell>
        </row>
      </sheetData>
      <sheetData sheetId="12">
        <row r="141">
          <cell r="K141">
            <v>1567490.6200000003</v>
          </cell>
        </row>
      </sheetData>
      <sheetData sheetId="13">
        <row r="38">
          <cell r="K38">
            <v>96777.699999999983</v>
          </cell>
        </row>
      </sheetData>
      <sheetData sheetId="14">
        <row r="9">
          <cell r="K9">
            <v>-2026.15</v>
          </cell>
        </row>
      </sheetData>
      <sheetData sheetId="15">
        <row r="69">
          <cell r="K69">
            <v>138995.80000000008</v>
          </cell>
        </row>
      </sheetData>
      <sheetData sheetId="16">
        <row r="66">
          <cell r="K66">
            <v>414842.13</v>
          </cell>
        </row>
      </sheetData>
      <sheetData sheetId="17">
        <row r="157">
          <cell r="K157">
            <v>11026262.76</v>
          </cell>
        </row>
      </sheetData>
      <sheetData sheetId="18">
        <row r="19">
          <cell r="A19" t="str">
            <v>(8)</v>
          </cell>
        </row>
      </sheetData>
      <sheetData sheetId="19"/>
      <sheetData sheetId="20">
        <row r="1">
          <cell r="B1" t="str">
            <v>run: 4/3/2017</v>
          </cell>
        </row>
        <row r="6">
          <cell r="A6" t="str">
            <v>Statement of Income And Retained Earnings</v>
          </cell>
        </row>
        <row r="8">
          <cell r="B8" t="str">
            <v>Year to Date          
December 31, 2016</v>
          </cell>
        </row>
        <row r="9">
          <cell r="A9" t="str">
            <v/>
          </cell>
          <cell r="B9" t="str">
            <v>Current Year to Date Balance</v>
          </cell>
        </row>
        <row r="10">
          <cell r="A10" t="str">
            <v>INCOME STATEMENT</v>
          </cell>
          <cell r="B10" t="str">
            <v>$</v>
          </cell>
        </row>
        <row r="11">
          <cell r="A11" t="str">
            <v xml:space="preserve">          UTILITY OPERATING INCOME</v>
          </cell>
        </row>
        <row r="12">
          <cell r="A12" t="str">
            <v>Operating Revenues (400)</v>
          </cell>
          <cell r="B12">
            <v>5201080710.5600004</v>
          </cell>
        </row>
        <row r="13">
          <cell r="A13" t="str">
            <v xml:space="preserve">          OPERATING EXPENSES</v>
          </cell>
        </row>
        <row r="14">
          <cell r="A14" t="str">
            <v>Operating Expenses (401)</v>
          </cell>
          <cell r="B14">
            <v>2446363957.2600002</v>
          </cell>
        </row>
        <row r="15">
          <cell r="A15" t="str">
            <v>Maintenance Expense (402)</v>
          </cell>
          <cell r="B15">
            <v>399131517.42000002</v>
          </cell>
        </row>
        <row r="16">
          <cell r="A16" t="str">
            <v>Depreciation Expense (403)</v>
          </cell>
          <cell r="B16">
            <v>709094974.28999996</v>
          </cell>
        </row>
        <row r="17">
          <cell r="A17" t="str">
            <v>Depreciation of Asset Retirement Cost (403.1)</v>
          </cell>
        </row>
        <row r="18">
          <cell r="A18" t="str">
            <v>Depreciation and Depletion of Plant (404 - 405)</v>
          </cell>
          <cell r="B18">
            <v>38576999.939999998</v>
          </cell>
        </row>
        <row r="19">
          <cell r="A19" t="str">
            <v>Amortization of Utility Plant Acq. Adj. (406)</v>
          </cell>
          <cell r="B19">
            <v>5083194.9000000004</v>
          </cell>
        </row>
        <row r="20">
          <cell r="A20" t="str">
            <v>Amort of Property Loss, Unrecovrd Plnt &amp; Reg Stdy Cost (407)</v>
          </cell>
        </row>
        <row r="21">
          <cell r="A21" t="str">
            <v>Amort. of Conversion Expenses (407.2)</v>
          </cell>
        </row>
        <row r="22">
          <cell r="A22" t="str">
            <v>Regulatory Debits (407.3)</v>
          </cell>
          <cell r="B22">
            <v>150506.51999999999</v>
          </cell>
        </row>
        <row r="23">
          <cell r="A23" t="str">
            <v>(Less) Regulatory Credits (407.4)</v>
          </cell>
        </row>
        <row r="24">
          <cell r="A24" t="str">
            <v>Taxes Other than Income Taxes (408.1)</v>
          </cell>
          <cell r="B24">
            <v>189632534.75</v>
          </cell>
        </row>
        <row r="25">
          <cell r="A25" t="str">
            <v>Income Taxes - Federal (409.1)</v>
          </cell>
          <cell r="B25">
            <v>199451072.34999999</v>
          </cell>
        </row>
        <row r="26">
          <cell r="A26" t="str">
            <v>Income Taxes - Other (409.1)</v>
          </cell>
          <cell r="B26">
            <v>36762419.829999998</v>
          </cell>
        </row>
        <row r="27">
          <cell r="A27" t="str">
            <v>Prov. for Def. Income Taxes (410.1)</v>
          </cell>
          <cell r="B27">
            <v>749775938.67999995</v>
          </cell>
        </row>
        <row r="28">
          <cell r="A28" t="str">
            <v>(Less) Def. Income Taxes-Cr. (411.1)</v>
          </cell>
          <cell r="B28">
            <v>645592915.39999998</v>
          </cell>
        </row>
        <row r="29">
          <cell r="A29" t="str">
            <v>Investment Tax Credit Adjustment - Net (411.4)</v>
          </cell>
          <cell r="B29">
            <v>-4341401.0599999996</v>
          </cell>
        </row>
        <row r="30">
          <cell r="A30" t="str">
            <v>(Less) Gains from Disposition of Utility Plant (411.6)</v>
          </cell>
        </row>
        <row r="31">
          <cell r="A31" t="str">
            <v>Losses from Disposition of Utility Plant (411.7)</v>
          </cell>
        </row>
        <row r="32">
          <cell r="A32" t="str">
            <v>(Less) Gains from Disposition of Allowances (411.8)</v>
          </cell>
          <cell r="B32">
            <v>187.82</v>
          </cell>
        </row>
        <row r="33">
          <cell r="A33" t="str">
            <v>Losses from Disposition of Allowances (411.9)</v>
          </cell>
        </row>
        <row r="34">
          <cell r="A34" t="str">
            <v>Accretion Expense (411.10)</v>
          </cell>
        </row>
        <row r="35">
          <cell r="A35" t="str">
            <v>TOTAL Utility Operating Expense</v>
          </cell>
          <cell r="B35">
            <v>4124088611.6599998</v>
          </cell>
        </row>
        <row r="36">
          <cell r="A36" t="str">
            <v>Net Utility Operating Income</v>
          </cell>
          <cell r="B36">
            <v>1076992098.9000001</v>
          </cell>
        </row>
        <row r="37">
          <cell r="A37" t="str">
            <v xml:space="preserve">          OTHER INCOME</v>
          </cell>
        </row>
        <row r="38">
          <cell r="A38" t="str">
            <v>Revenues From Merchandising, Jobbing &amp; Contract Work (415)</v>
          </cell>
          <cell r="B38">
            <v>1554611.36</v>
          </cell>
        </row>
        <row r="39">
          <cell r="A39" t="str">
            <v>(Less) Exp. of Merchandising, Jobbing &amp; Contract Work (416)</v>
          </cell>
          <cell r="B39">
            <v>1617613.75</v>
          </cell>
        </row>
        <row r="40">
          <cell r="A40" t="str">
            <v>Revenues From Nonutility Operations (417)</v>
          </cell>
        </row>
        <row r="41">
          <cell r="A41" t="str">
            <v>(Less) Exp. of Nonutility Operations (417.1)</v>
          </cell>
          <cell r="B41">
            <v>72626.12</v>
          </cell>
        </row>
        <row r="42">
          <cell r="A42" t="str">
            <v>Nonoperating Rental Income (418)</v>
          </cell>
          <cell r="B42">
            <v>198174.98</v>
          </cell>
        </row>
        <row r="43">
          <cell r="A43" t="str">
            <v>Equity in Earnings of Subsidiaries (418.1)</v>
          </cell>
          <cell r="B43">
            <v>17851890.699999999</v>
          </cell>
        </row>
        <row r="44">
          <cell r="A44" t="str">
            <v>Interest and Dividend Income  (419)</v>
          </cell>
          <cell r="B44">
            <v>9486316.7699999996</v>
          </cell>
        </row>
        <row r="45">
          <cell r="A45" t="str">
            <v>AFUDC (419.1)</v>
          </cell>
          <cell r="B45">
            <v>27450081.199999999</v>
          </cell>
        </row>
        <row r="46">
          <cell r="A46" t="str">
            <v>Misc. Nonoperating Income (421)</v>
          </cell>
          <cell r="B46">
            <v>1157759.1200000001</v>
          </cell>
        </row>
        <row r="47">
          <cell r="A47" t="str">
            <v>Gain on Disposition of Property (421.1)</v>
          </cell>
          <cell r="B47">
            <v>1777232.14</v>
          </cell>
        </row>
        <row r="48">
          <cell r="A48" t="str">
            <v>TOTAL OTHER INCOME</v>
          </cell>
          <cell r="B48">
            <v>57785826.399999999</v>
          </cell>
        </row>
        <row r="49">
          <cell r="A49" t="str">
            <v xml:space="preserve">          OTHER INCOME DEDUCTIONS</v>
          </cell>
        </row>
        <row r="50">
          <cell r="A50" t="str">
            <v>Loss on Disposition of Property (421.2)</v>
          </cell>
          <cell r="B50">
            <v>29654.2</v>
          </cell>
        </row>
        <row r="51">
          <cell r="A51" t="str">
            <v>Miscellaneous Amortization (425)</v>
          </cell>
          <cell r="B51">
            <v>1344291.97</v>
          </cell>
        </row>
        <row r="52">
          <cell r="A52" t="str">
            <v>Donations (426.1)</v>
          </cell>
          <cell r="B52">
            <v>2317647.0699999998</v>
          </cell>
        </row>
        <row r="53">
          <cell r="A53" t="str">
            <v>Life Insurance (426.2)</v>
          </cell>
          <cell r="B53">
            <v>-6068477</v>
          </cell>
        </row>
        <row r="54">
          <cell r="A54" t="str">
            <v>Penalties (426.3)</v>
          </cell>
          <cell r="B54">
            <v>25500.22</v>
          </cell>
        </row>
        <row r="55">
          <cell r="A55" t="str">
            <v>Exp. for Certain Civic, Political &amp; Related Act. (426.4)</v>
          </cell>
          <cell r="B55">
            <v>1710496.59</v>
          </cell>
        </row>
        <row r="56">
          <cell r="A56" t="str">
            <v>Other Deductions (426.5)</v>
          </cell>
          <cell r="B56">
            <v>13228391.789999999</v>
          </cell>
        </row>
        <row r="57">
          <cell r="A57" t="str">
            <v>TOTAL OTHER INCOME DEDUCTIONS</v>
          </cell>
          <cell r="B57">
            <v>12587504.84</v>
          </cell>
        </row>
        <row r="58">
          <cell r="A58" t="str">
            <v xml:space="preserve">          TAXES APPLICABLE TO OTHER INCOME AND DEDUCTIONS</v>
          </cell>
        </row>
        <row r="59">
          <cell r="A59" t="str">
            <v>Taxes Other Than Income Taxes (408.2)</v>
          </cell>
          <cell r="B59">
            <v>280899.37</v>
          </cell>
        </row>
        <row r="60">
          <cell r="A60" t="str">
            <v>Income Taxes - Federal (409.2)</v>
          </cell>
          <cell r="B60">
            <v>-41603402.590000004</v>
          </cell>
        </row>
        <row r="61">
          <cell r="A61" t="str">
            <v>Income Taxes - Other (409.2)</v>
          </cell>
          <cell r="B61">
            <v>-5653211.4000000004</v>
          </cell>
        </row>
        <row r="62">
          <cell r="A62" t="str">
            <v>Provision for Deferred Income Taxes (410.2)</v>
          </cell>
          <cell r="B62">
            <v>148815498.47999999</v>
          </cell>
        </row>
        <row r="63">
          <cell r="A63" t="str">
            <v>(Less) Provision for Deferred Income Taxes - Cr (411.2)</v>
          </cell>
          <cell r="B63">
            <v>103275215.56</v>
          </cell>
        </row>
        <row r="64">
          <cell r="A64" t="str">
            <v>Investment Tax Credit Adjustment - Net (411.5)</v>
          </cell>
        </row>
        <row r="65">
          <cell r="A65" t="str">
            <v>(Less) Investment Tax Credits (420)</v>
          </cell>
          <cell r="B65">
            <v>311468.21999999997</v>
          </cell>
        </row>
        <row r="66">
          <cell r="A66" t="str">
            <v>TOTAL TAXES ON OTHER INCOME AND DEDUCTIONS</v>
          </cell>
          <cell r="B66">
            <v>-1746899.92</v>
          </cell>
        </row>
        <row r="67">
          <cell r="A67" t="str">
            <v>NET OTHER INCOME AND DEDUCTIONS</v>
          </cell>
          <cell r="B67">
            <v>46945221.479999997</v>
          </cell>
        </row>
        <row r="68">
          <cell r="A68" t="str">
            <v xml:space="preserve">          INTEREST CHARGES</v>
          </cell>
        </row>
        <row r="69">
          <cell r="A69" t="str">
            <v>Interest on Long-Term Debt (427)</v>
          </cell>
          <cell r="B69">
            <v>359474830.06</v>
          </cell>
        </row>
        <row r="70">
          <cell r="A70" t="str">
            <v>Amortization of Debt Discount and Expenses (428)</v>
          </cell>
          <cell r="B70">
            <v>4142214.63</v>
          </cell>
        </row>
        <row r="71">
          <cell r="A71" t="str">
            <v>Amortization of Loss on Reacquired Debt (428.1)</v>
          </cell>
          <cell r="B71">
            <v>667664.61</v>
          </cell>
        </row>
        <row r="72">
          <cell r="A72" t="str">
            <v>(Less) Amortization of Premium on Debt - Credit (429)</v>
          </cell>
          <cell r="B72">
            <v>11025.9</v>
          </cell>
        </row>
        <row r="73">
          <cell r="A73" t="str">
            <v>(Less) Amortization of Gain on Reacquired Debt (429.1)</v>
          </cell>
        </row>
        <row r="74">
          <cell r="A74" t="str">
            <v>Interest on Debt to Associated Companies (430)</v>
          </cell>
          <cell r="B74">
            <v>9136.5499999999993</v>
          </cell>
        </row>
        <row r="75">
          <cell r="A75" t="str">
            <v>Other Interest Expense (431)</v>
          </cell>
          <cell r="B75">
            <v>12460408.25</v>
          </cell>
        </row>
        <row r="76">
          <cell r="A76" t="str">
            <v>(Less)Allowance for Borrowed Funds Used During Constr. (432)</v>
          </cell>
          <cell r="B76">
            <v>15316302.25</v>
          </cell>
        </row>
        <row r="77">
          <cell r="A77" t="str">
            <v>NET INTEREST CHARGES</v>
          </cell>
          <cell r="B77">
            <v>361426925.94999999</v>
          </cell>
        </row>
        <row r="78">
          <cell r="A78" t="str">
            <v>INCOME BEFORE EXTRAORDINARY ITEMS</v>
          </cell>
          <cell r="B78">
            <v>762510394.42999995</v>
          </cell>
        </row>
        <row r="79">
          <cell r="A79" t="str">
            <v xml:space="preserve">          EXTRAORDINARY ITEMS</v>
          </cell>
        </row>
        <row r="80">
          <cell r="A80" t="str">
            <v>Extraordinary Income (434)</v>
          </cell>
        </row>
        <row r="81">
          <cell r="A81" t="str">
            <v>(Less) Extraordinary Deductions (435)</v>
          </cell>
        </row>
        <row r="82">
          <cell r="A82" t="str">
            <v>Net Extraordinary Items</v>
          </cell>
        </row>
        <row r="83">
          <cell r="A83" t="str">
            <v>Income Taxes - Federal and Other (409.3)</v>
          </cell>
        </row>
        <row r="84">
          <cell r="A84" t="str">
            <v>Extraordinary Items After Tax</v>
          </cell>
        </row>
        <row r="85">
          <cell r="A85" t="str">
            <v>NET INCOME</v>
          </cell>
          <cell r="B85">
            <v>762510394.42999995</v>
          </cell>
        </row>
        <row r="86">
          <cell r="A86" t="str">
            <v>Preferred Dividend (437.1)</v>
          </cell>
          <cell r="B86">
            <v>161901.96</v>
          </cell>
        </row>
        <row r="87">
          <cell r="A87" t="str">
            <v>Preferred Dividend - Future Requirement (437.2)</v>
          </cell>
        </row>
        <row r="88">
          <cell r="A88" t="str">
            <v>Earning Available for Common Stock</v>
          </cell>
          <cell r="B88">
            <v>762348492.47000003</v>
          </cell>
        </row>
      </sheetData>
      <sheetData sheetId="21">
        <row r="1">
          <cell r="D1" t="str">
            <v>run: 4/3/2017</v>
          </cell>
        </row>
        <row r="2">
          <cell r="D2" t="str">
            <v>cc: 1000</v>
          </cell>
        </row>
        <row r="3">
          <cell r="C3" t="str">
            <v>Currency type Company code currency</v>
          </cell>
        </row>
        <row r="4">
          <cell r="C4" t="str">
            <v>Amounts in American Dollar</v>
          </cell>
        </row>
        <row r="5">
          <cell r="C5" t="str">
            <v>Reporting periods</v>
          </cell>
        </row>
        <row r="6">
          <cell r="C6" t="str">
            <v>Comparison periods</v>
          </cell>
        </row>
        <row r="8">
          <cell r="B8" t="str">
            <v>Account Number</v>
          </cell>
          <cell r="C8" t="str">
            <v>Text for B/S P&amp;L item</v>
          </cell>
          <cell r="D8" t="str">
            <v>Total of reporting period</v>
          </cell>
        </row>
        <row r="9">
          <cell r="B9" t="str">
            <v/>
          </cell>
          <cell r="C9" t="str">
            <v>Equity</v>
          </cell>
        </row>
        <row r="10">
          <cell r="B10" t="str">
            <v/>
          </cell>
          <cell r="C10" t="str">
            <v>Stockholders Equity</v>
          </cell>
        </row>
        <row r="11">
          <cell r="B11" t="str">
            <v/>
          </cell>
          <cell r="C11" t="str">
            <v>Common Equity</v>
          </cell>
        </row>
        <row r="12">
          <cell r="B12" t="str">
            <v/>
          </cell>
          <cell r="C12" t="str">
            <v>Retained Earnings</v>
          </cell>
        </row>
        <row r="13">
          <cell r="B13" t="str">
            <v>599750</v>
          </cell>
          <cell r="C13" t="str">
            <v>599750 Appropriations of Retained Earnings</v>
          </cell>
          <cell r="D13">
            <v>8918576.6999999993</v>
          </cell>
        </row>
        <row r="14">
          <cell r="B14" t="str">
            <v/>
          </cell>
          <cell r="C14" t="str">
            <v>Total Unappropriated Retained Earnings</v>
          </cell>
          <cell r="D14">
            <v>8918576.6999999993</v>
          </cell>
        </row>
        <row r="15">
          <cell r="B15" t="str">
            <v>599600</v>
          </cell>
          <cell r="C15" t="str">
            <v>599600 Dividends Declared - Common</v>
          </cell>
          <cell r="D15">
            <v>875000000</v>
          </cell>
        </row>
        <row r="16">
          <cell r="B16" t="str">
            <v/>
          </cell>
          <cell r="C16" t="str">
            <v>Total Dividends Declared</v>
          </cell>
          <cell r="D16">
            <v>875000000</v>
          </cell>
        </row>
        <row r="17">
          <cell r="B17" t="str">
            <v/>
          </cell>
          <cell r="C17" t="str">
            <v>Profit/Loss for Current Year</v>
          </cell>
        </row>
        <row r="18">
          <cell r="B18" t="str">
            <v/>
          </cell>
          <cell r="C18" t="str">
            <v>Net Result: Profit</v>
          </cell>
        </row>
        <row r="19">
          <cell r="B19" t="str">
            <v/>
          </cell>
          <cell r="C19" t="str">
            <v>Total Net Result: Profit</v>
          </cell>
          <cell r="D19">
            <v>-883918576.70000005</v>
          </cell>
        </row>
        <row r="20">
          <cell r="B20" t="str">
            <v/>
          </cell>
          <cell r="C20" t="str">
            <v>Total Profit/Loss for Current Year</v>
          </cell>
          <cell r="D20">
            <v>-883918576.70000005</v>
          </cell>
        </row>
        <row r="21">
          <cell r="B21" t="str">
            <v/>
          </cell>
          <cell r="C21" t="str">
            <v>Total Retained Earnings</v>
          </cell>
          <cell r="D21">
            <v>0</v>
          </cell>
        </row>
        <row r="22">
          <cell r="B22" t="str">
            <v/>
          </cell>
          <cell r="C22" t="str">
            <v>Common Equity</v>
          </cell>
          <cell r="D22">
            <v>0</v>
          </cell>
        </row>
        <row r="23">
          <cell r="B23" t="str">
            <v/>
          </cell>
          <cell r="C23" t="str">
            <v>Total Stockholders Equity</v>
          </cell>
          <cell r="D23">
            <v>0</v>
          </cell>
        </row>
        <row r="24">
          <cell r="B24" t="str">
            <v/>
          </cell>
          <cell r="C24" t="str">
            <v>Total Equity</v>
          </cell>
          <cell r="D24">
            <v>0</v>
          </cell>
        </row>
        <row r="25">
          <cell r="B25" t="str">
            <v/>
          </cell>
          <cell r="C25" t="str">
            <v>Total Liabilities &amp; Equity</v>
          </cell>
          <cell r="D25">
            <v>0</v>
          </cell>
        </row>
        <row r="26">
          <cell r="B26" t="str">
            <v/>
          </cell>
          <cell r="C26" t="str">
            <v>Revenues</v>
          </cell>
        </row>
        <row r="27">
          <cell r="B27" t="str">
            <v/>
          </cell>
          <cell r="C27" t="str">
            <v>Retail Revenues</v>
          </cell>
        </row>
        <row r="28">
          <cell r="B28" t="str">
            <v/>
          </cell>
          <cell r="C28" t="str">
            <v>Residential</v>
          </cell>
        </row>
        <row r="29">
          <cell r="B29" t="str">
            <v>301100</v>
          </cell>
          <cell r="C29" t="str">
            <v>301100 Electricity Income - Residential</v>
          </cell>
          <cell r="D29">
            <v>-1760957801.21</v>
          </cell>
        </row>
        <row r="30">
          <cell r="B30" t="str">
            <v>301107</v>
          </cell>
          <cell r="C30" t="str">
            <v>301107 Residential Revenue Acctg Adjustments</v>
          </cell>
          <cell r="D30">
            <v>15669129</v>
          </cell>
        </row>
        <row r="31">
          <cell r="B31" t="str">
            <v>301108</v>
          </cell>
          <cell r="C31" t="str">
            <v>301108 Residential Revenue Adj-Def NPC Mech</v>
          </cell>
          <cell r="D31">
            <v>-14426359.720000001</v>
          </cell>
        </row>
        <row r="32">
          <cell r="B32" t="str">
            <v>301109</v>
          </cell>
          <cell r="C32" t="str">
            <v>301109 Unbilled Revenue-Residential</v>
          </cell>
          <cell r="D32">
            <v>-32369000</v>
          </cell>
        </row>
        <row r="33">
          <cell r="B33" t="str">
            <v>301119</v>
          </cell>
          <cell r="C33" t="str">
            <v>301119 Unbilled Revenue-Uncollectible</v>
          </cell>
          <cell r="D33">
            <v>-53000</v>
          </cell>
        </row>
        <row r="34">
          <cell r="B34" t="str">
            <v>367570</v>
          </cell>
          <cell r="C34" t="str">
            <v>367570 Revenue Adj OR I&amp;D Reserve Residential</v>
          </cell>
          <cell r="D34">
            <v>1585164.43</v>
          </cell>
        </row>
        <row r="35">
          <cell r="B35" t="str">
            <v>367580</v>
          </cell>
          <cell r="C35" t="str">
            <v>367580 Revenue Adj Prop Insur - Residential</v>
          </cell>
          <cell r="D35">
            <v>-412836.44</v>
          </cell>
        </row>
        <row r="36">
          <cell r="B36" t="str">
            <v/>
          </cell>
          <cell r="C36" t="str">
            <v>Total Residential</v>
          </cell>
          <cell r="D36">
            <v>-1790964703.9400001</v>
          </cell>
        </row>
        <row r="37">
          <cell r="B37" t="str">
            <v/>
          </cell>
          <cell r="C37" t="str">
            <v>Commercial</v>
          </cell>
        </row>
        <row r="38">
          <cell r="B38" t="str">
            <v>301200</v>
          </cell>
          <cell r="C38" t="str">
            <v>301200 Electricity Income - Commercial</v>
          </cell>
          <cell r="D38">
            <v>-1509677706.04</v>
          </cell>
        </row>
        <row r="39">
          <cell r="B39" t="str">
            <v>301207</v>
          </cell>
          <cell r="C39" t="str">
            <v>301207 Commercial Revenue Acctg Adjustments</v>
          </cell>
          <cell r="D39">
            <v>12041660.880000001</v>
          </cell>
        </row>
        <row r="40">
          <cell r="B40" t="str">
            <v>301208</v>
          </cell>
          <cell r="C40" t="str">
            <v>301208 Commercial Revenue Adj-Def NPC Mech</v>
          </cell>
          <cell r="D40">
            <v>-14971798.08</v>
          </cell>
        </row>
        <row r="41">
          <cell r="B41" t="str">
            <v>301209</v>
          </cell>
          <cell r="C41" t="str">
            <v>301209 Unbilled Revenue-Commercial</v>
          </cell>
          <cell r="D41">
            <v>17018000</v>
          </cell>
        </row>
        <row r="42">
          <cell r="B42" t="str">
            <v>367670</v>
          </cell>
          <cell r="C42" t="str">
            <v>367670 Revenue Adj OR I&amp;D Reserve Commercial</v>
          </cell>
          <cell r="D42">
            <v>1205544.71</v>
          </cell>
        </row>
        <row r="43">
          <cell r="B43" t="str">
            <v>367680</v>
          </cell>
          <cell r="C43" t="str">
            <v>367680 Revenue Adj Prop Insur - Commercial</v>
          </cell>
          <cell r="D43">
            <v>-402009.95</v>
          </cell>
        </row>
        <row r="44">
          <cell r="B44" t="str">
            <v/>
          </cell>
          <cell r="C44" t="str">
            <v>Total Commercial</v>
          </cell>
          <cell r="D44">
            <v>-1494786308.48</v>
          </cell>
        </row>
        <row r="45">
          <cell r="B45" t="str">
            <v/>
          </cell>
          <cell r="C45" t="str">
            <v>Industrial</v>
          </cell>
        </row>
        <row r="46">
          <cell r="B46" t="str">
            <v>301300</v>
          </cell>
          <cell r="C46" t="str">
            <v>301300 Electricity Income - Industrial</v>
          </cell>
          <cell r="D46">
            <v>-1030397896.42</v>
          </cell>
        </row>
        <row r="47">
          <cell r="B47" t="str">
            <v>301304</v>
          </cell>
          <cell r="C47" t="str">
            <v>301304 Special Contracts-Situs</v>
          </cell>
          <cell r="D47">
            <v>-211322820.88</v>
          </cell>
        </row>
        <row r="48">
          <cell r="B48" t="str">
            <v>301307</v>
          </cell>
          <cell r="C48" t="str">
            <v>301307 Industrial Revenue Acctg Adjustments</v>
          </cell>
          <cell r="D48">
            <v>7697628.4100000001</v>
          </cell>
        </row>
        <row r="49">
          <cell r="B49" t="str">
            <v>301308</v>
          </cell>
          <cell r="C49" t="str">
            <v>301308 Industrial Revenue Adj-Def NPC Mech</v>
          </cell>
          <cell r="D49">
            <v>-8859524.4100000001</v>
          </cell>
        </row>
        <row r="50">
          <cell r="B50" t="str">
            <v>301309</v>
          </cell>
          <cell r="C50" t="str">
            <v>301309 Unbilled Revenue-Industrial</v>
          </cell>
          <cell r="D50">
            <v>-14429000</v>
          </cell>
        </row>
        <row r="51">
          <cell r="B51" t="str">
            <v>367770</v>
          </cell>
          <cell r="C51" t="str">
            <v>367770 Revenue Adj OR I&amp;D Reserve Industrial</v>
          </cell>
          <cell r="D51">
            <v>394258.01</v>
          </cell>
        </row>
        <row r="52">
          <cell r="B52" t="str">
            <v>367780</v>
          </cell>
          <cell r="C52" t="str">
            <v>367780 Revenue Adj Prop Insur - Industrial</v>
          </cell>
          <cell r="D52">
            <v>-222266.04</v>
          </cell>
        </row>
        <row r="53">
          <cell r="B53" t="str">
            <v/>
          </cell>
          <cell r="C53" t="str">
            <v>Total Industrial</v>
          </cell>
          <cell r="D53">
            <v>-1257139621.3299999</v>
          </cell>
        </row>
        <row r="54">
          <cell r="B54" t="str">
            <v/>
          </cell>
          <cell r="C54" t="str">
            <v>Irrigation</v>
          </cell>
        </row>
        <row r="55">
          <cell r="B55" t="str">
            <v>301450</v>
          </cell>
          <cell r="C55" t="str">
            <v>301450 Electricity Income - Irrigation/Farm</v>
          </cell>
          <cell r="D55">
            <v>-145283680.11000001</v>
          </cell>
        </row>
        <row r="56">
          <cell r="B56" t="str">
            <v>301457</v>
          </cell>
          <cell r="C56" t="str">
            <v>301457 Irrigation Revenue Acctg Adjustments</v>
          </cell>
          <cell r="D56">
            <v>1525545.39</v>
          </cell>
        </row>
        <row r="57">
          <cell r="B57" t="str">
            <v>301458</v>
          </cell>
          <cell r="C57" t="str">
            <v>301458 Irrigation Revenue Adj-Def NPC Mech</v>
          </cell>
          <cell r="D57">
            <v>-99305.19</v>
          </cell>
        </row>
        <row r="58">
          <cell r="B58" t="str">
            <v>301459</v>
          </cell>
          <cell r="C58" t="str">
            <v>301459 Unbilled Revenue-Irrigation/Farm</v>
          </cell>
          <cell r="D58">
            <v>-1288000</v>
          </cell>
        </row>
        <row r="59">
          <cell r="B59" t="str">
            <v>301461</v>
          </cell>
          <cell r="C59" t="str">
            <v>301461 Unbilled Revenue-Irrigation Demand Charge</v>
          </cell>
          <cell r="D59">
            <v>0</v>
          </cell>
        </row>
        <row r="60">
          <cell r="B60" t="str">
            <v>367870</v>
          </cell>
          <cell r="C60" t="str">
            <v>367870 Revenue Adj OR I&amp;D Reserve Irrigation</v>
          </cell>
          <cell r="D60">
            <v>67986.720000000001</v>
          </cell>
        </row>
        <row r="61">
          <cell r="B61" t="str">
            <v>367880</v>
          </cell>
          <cell r="C61" t="str">
            <v>367880 Revenue Adj Prop Insur - Irrigation</v>
          </cell>
          <cell r="D61">
            <v>1762.62</v>
          </cell>
        </row>
        <row r="62">
          <cell r="B62" t="str">
            <v/>
          </cell>
          <cell r="C62" t="str">
            <v>Total Irrigation</v>
          </cell>
          <cell r="D62">
            <v>-145075690.56999999</v>
          </cell>
        </row>
        <row r="63">
          <cell r="B63" t="str">
            <v/>
          </cell>
          <cell r="C63" t="str">
            <v>Public Street &amp; Highway Lighting</v>
          </cell>
        </row>
        <row r="64">
          <cell r="B64" t="str">
            <v>301600</v>
          </cell>
          <cell r="C64" t="str">
            <v>301600 Electricity Income - Public St/Hwy Light</v>
          </cell>
          <cell r="D64">
            <v>-19321460.609999999</v>
          </cell>
        </row>
        <row r="65">
          <cell r="B65" t="str">
            <v>301607</v>
          </cell>
          <cell r="C65" t="str">
            <v>301607 Public St/Hwy Lights Rev Acctg Adjustments</v>
          </cell>
          <cell r="D65">
            <v>158380.99</v>
          </cell>
        </row>
        <row r="66">
          <cell r="B66" t="str">
            <v>301608</v>
          </cell>
          <cell r="C66" t="str">
            <v>301608 Public St/Hwy Lgt Rev Adj-Def NPC Mech</v>
          </cell>
          <cell r="D66">
            <v>-6173.03</v>
          </cell>
        </row>
        <row r="67">
          <cell r="B67" t="str">
            <v>301609</v>
          </cell>
          <cell r="C67" t="str">
            <v>301609 Unbilled Revenue-Public St/Hwy Light</v>
          </cell>
          <cell r="D67">
            <v>-289000</v>
          </cell>
        </row>
        <row r="68">
          <cell r="B68" t="str">
            <v/>
          </cell>
          <cell r="C68" t="str">
            <v>Total Public Street &amp; Highway Lighting</v>
          </cell>
          <cell r="D68">
            <v>-19458252.649999999</v>
          </cell>
        </row>
        <row r="69">
          <cell r="B69" t="str">
            <v/>
          </cell>
          <cell r="C69" t="str">
            <v>Other Sales to Public Authorities</v>
          </cell>
        </row>
        <row r="70">
          <cell r="B70" t="str">
            <v>301700</v>
          </cell>
          <cell r="C70" t="str">
            <v>301700 Electric Income - Othr Sales to Pub Auth</v>
          </cell>
          <cell r="D70">
            <v>-22126414.84</v>
          </cell>
        </row>
        <row r="71">
          <cell r="B71" t="str">
            <v>301707</v>
          </cell>
          <cell r="C71" t="str">
            <v>301707 Oth Sales to Public Authority Acctg Adj</v>
          </cell>
          <cell r="D71">
            <v>169166.71</v>
          </cell>
        </row>
        <row r="72">
          <cell r="B72" t="str">
            <v>301709</v>
          </cell>
          <cell r="C72" t="str">
            <v>301709 Unbilled Rev - Othr Sales to Public Auth</v>
          </cell>
          <cell r="D72">
            <v>889000</v>
          </cell>
        </row>
        <row r="73">
          <cell r="B73" t="str">
            <v/>
          </cell>
          <cell r="C73" t="str">
            <v>Total Other Sales to Public Authorities</v>
          </cell>
          <cell r="D73">
            <v>-21068248.129999999</v>
          </cell>
        </row>
        <row r="74">
          <cell r="B74" t="str">
            <v/>
          </cell>
          <cell r="C74" t="str">
            <v>Total Retail Revenue Before DSM &amp; Other Adjs</v>
          </cell>
          <cell r="D74">
            <v>-4728492825.1000004</v>
          </cell>
        </row>
        <row r="75">
          <cell r="B75" t="str">
            <v/>
          </cell>
          <cell r="C75" t="str">
            <v>Retail Revenue DSM/Blue Sky/Solar/Other</v>
          </cell>
        </row>
        <row r="76">
          <cell r="B76" t="str">
            <v/>
          </cell>
          <cell r="C76" t="str">
            <v>DSM Revenues</v>
          </cell>
        </row>
        <row r="77">
          <cell r="B77" t="str">
            <v>301170</v>
          </cell>
          <cell r="C77" t="str">
            <v>301170 DSM Revenue - Residential</v>
          </cell>
          <cell r="D77">
            <v>-53722296.240000002</v>
          </cell>
        </row>
        <row r="78">
          <cell r="B78" t="str">
            <v>301171</v>
          </cell>
          <cell r="C78" t="str">
            <v>301171 DSM Revenue - Residential Cat 2 Gen Svc</v>
          </cell>
          <cell r="D78">
            <v>-14950.36</v>
          </cell>
        </row>
        <row r="79">
          <cell r="B79" t="str">
            <v>301270</v>
          </cell>
          <cell r="C79" t="str">
            <v>301270 DSM Revenue - Commercial</v>
          </cell>
          <cell r="D79">
            <v>-43565474.219999999</v>
          </cell>
        </row>
        <row r="80">
          <cell r="B80" t="str">
            <v>301271</v>
          </cell>
          <cell r="C80" t="str">
            <v>301271 DSM Revenue - Small Commercial</v>
          </cell>
          <cell r="D80">
            <v>-1216926.52</v>
          </cell>
        </row>
        <row r="81">
          <cell r="B81" t="str">
            <v>301272</v>
          </cell>
          <cell r="C81" t="str">
            <v>301272 DSM Revenue - Large Commercial</v>
          </cell>
          <cell r="D81">
            <v>-49979.67</v>
          </cell>
        </row>
        <row r="82">
          <cell r="B82" t="str">
            <v>301370</v>
          </cell>
          <cell r="C82" t="str">
            <v>301370 DSM Revenue - Industrial</v>
          </cell>
          <cell r="D82">
            <v>-16874631.989999998</v>
          </cell>
        </row>
        <row r="83">
          <cell r="B83" t="str">
            <v>301371</v>
          </cell>
          <cell r="C83" t="str">
            <v>301371 DSM Revenue - Small Industrial</v>
          </cell>
          <cell r="D83">
            <v>-277625.15000000002</v>
          </cell>
        </row>
        <row r="84">
          <cell r="B84" t="str">
            <v>301372</v>
          </cell>
          <cell r="C84" t="str">
            <v>301372 DSM Revenue - Large Industrial</v>
          </cell>
          <cell r="D84">
            <v>-1657128.79</v>
          </cell>
        </row>
        <row r="85">
          <cell r="B85" t="str">
            <v>301470</v>
          </cell>
          <cell r="C85" t="str">
            <v>301470 DSM Revenue - Irrigation</v>
          </cell>
          <cell r="D85">
            <v>-4077841.39</v>
          </cell>
        </row>
        <row r="86">
          <cell r="B86" t="str">
            <v>301670</v>
          </cell>
          <cell r="C86" t="str">
            <v>301670 DSM Revenue - Street/Hwy Lighting</v>
          </cell>
          <cell r="D86">
            <v>-562644.92000000004</v>
          </cell>
        </row>
        <row r="87">
          <cell r="B87" t="str">
            <v>301770</v>
          </cell>
          <cell r="C87" t="str">
            <v>301770 DSM Revenue - Other Public Authorities</v>
          </cell>
          <cell r="D87">
            <v>-862515.14</v>
          </cell>
        </row>
        <row r="88">
          <cell r="B88" t="str">
            <v/>
          </cell>
          <cell r="C88" t="str">
            <v>Total DSM Revenues</v>
          </cell>
          <cell r="D88">
            <v>-122882014.39</v>
          </cell>
        </row>
        <row r="89">
          <cell r="B89" t="str">
            <v/>
          </cell>
          <cell r="C89" t="str">
            <v>Blue Sky Revenues</v>
          </cell>
        </row>
        <row r="90">
          <cell r="B90" t="str">
            <v>301180</v>
          </cell>
          <cell r="C90" t="str">
            <v>301180 Blue Sky Revenue - Residential</v>
          </cell>
          <cell r="D90">
            <v>-1654247.89</v>
          </cell>
        </row>
        <row r="91">
          <cell r="B91" t="str">
            <v>301280</v>
          </cell>
          <cell r="C91" t="str">
            <v>301280 Blue Sky Revenue - Commercial</v>
          </cell>
          <cell r="D91">
            <v>-1084451.83</v>
          </cell>
        </row>
        <row r="92">
          <cell r="B92" t="str">
            <v>301380</v>
          </cell>
          <cell r="C92" t="str">
            <v>301380 Blue Sky Revenue - Industrial</v>
          </cell>
          <cell r="D92">
            <v>-628518.93000000005</v>
          </cell>
        </row>
        <row r="93">
          <cell r="B93" t="str">
            <v>301480</v>
          </cell>
          <cell r="C93" t="str">
            <v>301480 Blue Sky Revenue - Irrigation</v>
          </cell>
          <cell r="D93">
            <v>-727.82</v>
          </cell>
        </row>
        <row r="94">
          <cell r="B94" t="str">
            <v/>
          </cell>
          <cell r="C94" t="str">
            <v>Total Blue Sky Revenues</v>
          </cell>
          <cell r="D94">
            <v>-3367946.47</v>
          </cell>
        </row>
        <row r="95">
          <cell r="B95" t="str">
            <v/>
          </cell>
          <cell r="C95" t="str">
            <v>Solar Feed-In Revenues</v>
          </cell>
        </row>
        <row r="96">
          <cell r="B96" t="str">
            <v>301165</v>
          </cell>
          <cell r="C96" t="str">
            <v>301165 Solar Feed-In Revenue - Residential</v>
          </cell>
          <cell r="D96">
            <v>-3808472.87</v>
          </cell>
        </row>
        <row r="97">
          <cell r="B97" t="str">
            <v>301265</v>
          </cell>
          <cell r="C97" t="str">
            <v>301265 Solar Feed-In Revenue - Commercial</v>
          </cell>
          <cell r="D97">
            <v>-2943727.49</v>
          </cell>
        </row>
        <row r="98">
          <cell r="B98" t="str">
            <v>301365</v>
          </cell>
          <cell r="C98" t="str">
            <v>301365 Solar Feed-In Revenue - Industrial</v>
          </cell>
          <cell r="D98">
            <v>-2664776.09</v>
          </cell>
        </row>
        <row r="99">
          <cell r="B99" t="str">
            <v>301465</v>
          </cell>
          <cell r="C99" t="str">
            <v>301465 Solar Feed-In Revenue - Irrigation</v>
          </cell>
          <cell r="D99">
            <v>-126696</v>
          </cell>
        </row>
        <row r="100">
          <cell r="B100" t="str">
            <v>301665</v>
          </cell>
          <cell r="C100" t="str">
            <v>301665 Solar Feed-In Revenue - St/Hwy Lighting</v>
          </cell>
          <cell r="D100">
            <v>-48008.47</v>
          </cell>
        </row>
        <row r="101">
          <cell r="B101" t="str">
            <v>301765</v>
          </cell>
          <cell r="C101" t="str">
            <v>301765 Solar Feed-In Revenue - Oth Public Auth</v>
          </cell>
          <cell r="D101">
            <v>-54528.98</v>
          </cell>
        </row>
        <row r="102">
          <cell r="B102" t="str">
            <v/>
          </cell>
          <cell r="C102" t="str">
            <v>Total Solar Feed-In Revenues</v>
          </cell>
          <cell r="D102">
            <v>-9646209.9000000004</v>
          </cell>
        </row>
        <row r="103">
          <cell r="B103" t="str">
            <v/>
          </cell>
          <cell r="C103" t="str">
            <v>Total Retail Revenue DSM/Blue Sky/Solar/Other</v>
          </cell>
          <cell r="D103">
            <v>-135896170.75999999</v>
          </cell>
        </row>
        <row r="104">
          <cell r="B104" t="str">
            <v/>
          </cell>
          <cell r="C104" t="str">
            <v>Total Retail Revenues</v>
          </cell>
          <cell r="D104">
            <v>-4864388995.8599997</v>
          </cell>
        </row>
        <row r="105">
          <cell r="B105" t="str">
            <v/>
          </cell>
          <cell r="C105" t="str">
            <v>Wholesale Trading Revenues</v>
          </cell>
        </row>
        <row r="106">
          <cell r="B106" t="str">
            <v/>
          </cell>
          <cell r="C106" t="str">
            <v>External Wholesale Trading Revenue</v>
          </cell>
        </row>
        <row r="107">
          <cell r="B107" t="str">
            <v>301405</v>
          </cell>
          <cell r="C107" t="str">
            <v>301405 Firm Sales</v>
          </cell>
          <cell r="D107">
            <v>-32357603.18</v>
          </cell>
        </row>
        <row r="108">
          <cell r="B108" t="str">
            <v>301406</v>
          </cell>
          <cell r="C108" t="str">
            <v>301406 Short-Term Firm Wholesale</v>
          </cell>
          <cell r="D108">
            <v>-277337022.19</v>
          </cell>
        </row>
        <row r="109">
          <cell r="B109" t="str">
            <v>301419</v>
          </cell>
          <cell r="C109" t="str">
            <v>301419 Sales for Resale Revenue Estimate</v>
          </cell>
          <cell r="D109">
            <v>-4586618.92</v>
          </cell>
        </row>
        <row r="110">
          <cell r="B110" t="str">
            <v>301428</v>
          </cell>
          <cell r="C110" t="str">
            <v>301428 Trans Serv-Utah FERC Customers</v>
          </cell>
          <cell r="D110">
            <v>-78719.960000000006</v>
          </cell>
        </row>
        <row r="111">
          <cell r="B111" t="str">
            <v>301441</v>
          </cell>
          <cell r="C111" t="str">
            <v>301441 On Sys Firm-Portland Gen Electric</v>
          </cell>
          <cell r="D111">
            <v>-713618.08</v>
          </cell>
        </row>
        <row r="112">
          <cell r="B112" t="str">
            <v>301443</v>
          </cell>
          <cell r="C112" t="str">
            <v>301443 On Sys Firm-Utah FERC Customers</v>
          </cell>
          <cell r="D112">
            <v>-580119.91</v>
          </cell>
        </row>
        <row r="113">
          <cell r="B113" t="str">
            <v>303028</v>
          </cell>
          <cell r="C113" t="str">
            <v>303028 Line Loss W/S Trading Revenue(In MW-PBS)</v>
          </cell>
          <cell r="D113">
            <v>-2447326.7799999998</v>
          </cell>
        </row>
        <row r="114">
          <cell r="B114" t="str">
            <v/>
          </cell>
          <cell r="C114" t="str">
            <v>Total External Wholesale Sales</v>
          </cell>
          <cell r="D114">
            <v>-318101029.01999998</v>
          </cell>
        </row>
        <row r="115">
          <cell r="B115" t="str">
            <v>301409</v>
          </cell>
          <cell r="C115" t="str">
            <v>301409 Trading Sales Netted-Estimate</v>
          </cell>
          <cell r="D115">
            <v>-8045.5</v>
          </cell>
        </row>
        <row r="116">
          <cell r="B116" t="str">
            <v>301410</v>
          </cell>
          <cell r="C116" t="str">
            <v>301410 Trading Sales Netted</v>
          </cell>
          <cell r="D116">
            <v>722954.5</v>
          </cell>
        </row>
        <row r="117">
          <cell r="B117" t="str">
            <v/>
          </cell>
          <cell r="C117" t="str">
            <v>Total Trading Sales</v>
          </cell>
          <cell r="D117">
            <v>714909</v>
          </cell>
        </row>
        <row r="118">
          <cell r="B118" t="str">
            <v>301411</v>
          </cell>
          <cell r="C118" t="str">
            <v>301411 Bookout Sales Netted</v>
          </cell>
          <cell r="D118">
            <v>142837086.59999999</v>
          </cell>
        </row>
        <row r="119">
          <cell r="B119" t="str">
            <v>301412</v>
          </cell>
          <cell r="C119" t="str">
            <v>301412 Bookout Sales Netted-Estimate</v>
          </cell>
          <cell r="D119">
            <v>6799979.29</v>
          </cell>
        </row>
        <row r="120">
          <cell r="B120" t="str">
            <v/>
          </cell>
          <cell r="C120" t="str">
            <v>Total Bookout Sales</v>
          </cell>
          <cell r="D120">
            <v>149637065.88999999</v>
          </cell>
        </row>
        <row r="121">
          <cell r="B121" t="str">
            <v>304101</v>
          </cell>
          <cell r="C121" t="str">
            <v>304101 Bookouts Netted-Gains</v>
          </cell>
          <cell r="D121">
            <v>-9737091.7899999991</v>
          </cell>
        </row>
        <row r="122">
          <cell r="B122" t="str">
            <v>304102</v>
          </cell>
          <cell r="C122" t="str">
            <v>304102 Bookouts Netted-Estimated Gain</v>
          </cell>
          <cell r="D122">
            <v>955938.82</v>
          </cell>
        </row>
        <row r="123">
          <cell r="B123" t="str">
            <v>304111</v>
          </cell>
          <cell r="C123" t="str">
            <v>304111 Bookouts Netted-Losses</v>
          </cell>
          <cell r="D123">
            <v>1402578.2</v>
          </cell>
        </row>
        <row r="124">
          <cell r="B124" t="str">
            <v/>
          </cell>
          <cell r="C124" t="str">
            <v>Total Bookout Margins</v>
          </cell>
          <cell r="D124">
            <v>-7378574.7699999996</v>
          </cell>
        </row>
        <row r="125">
          <cell r="B125" t="str">
            <v>304201</v>
          </cell>
          <cell r="C125" t="str">
            <v>304201 Trading Netted-Gains</v>
          </cell>
          <cell r="D125">
            <v>-57470</v>
          </cell>
        </row>
        <row r="126">
          <cell r="B126" t="str">
            <v>304211</v>
          </cell>
          <cell r="C126" t="str">
            <v>304211 Trading Netted-Losses</v>
          </cell>
          <cell r="D126">
            <v>3447.5</v>
          </cell>
        </row>
        <row r="127">
          <cell r="B127" t="str">
            <v>304213</v>
          </cell>
          <cell r="C127" t="str">
            <v>304213 Trading Netted-Estimate</v>
          </cell>
          <cell r="D127">
            <v>-184.5</v>
          </cell>
        </row>
        <row r="128">
          <cell r="B128" t="str">
            <v/>
          </cell>
          <cell r="C128" t="str">
            <v>Total Trading Margins</v>
          </cell>
          <cell r="D128">
            <v>-54207</v>
          </cell>
        </row>
        <row r="129">
          <cell r="B129" t="str">
            <v/>
          </cell>
          <cell r="C129" t="str">
            <v>Total External Wholesale Trading Revenue</v>
          </cell>
          <cell r="D129">
            <v>-175181835.90000001</v>
          </cell>
        </row>
        <row r="130">
          <cell r="B130" t="str">
            <v>302751</v>
          </cell>
          <cell r="C130" t="str">
            <v>302751 I/C S-T Firm Wholesale Sales-Sierra Pac</v>
          </cell>
          <cell r="D130">
            <v>-7953.14</v>
          </cell>
        </row>
        <row r="131">
          <cell r="B131" t="str">
            <v>302752</v>
          </cell>
          <cell r="C131" t="str">
            <v>302752 I/C S-T Firm Wholesale Sales-Nevada Pwr</v>
          </cell>
          <cell r="D131">
            <v>-446186</v>
          </cell>
        </row>
        <row r="132">
          <cell r="B132" t="str">
            <v>302762</v>
          </cell>
          <cell r="C132" t="str">
            <v>302762 I/C Wholesale Sales Estimate-Nevada Pwr</v>
          </cell>
          <cell r="D132">
            <v>-52870</v>
          </cell>
        </row>
        <row r="133">
          <cell r="B133" t="str">
            <v>302772</v>
          </cell>
          <cell r="C133" t="str">
            <v>302772 I/C Line Loss Trading Revenue-Nevada Pwr</v>
          </cell>
          <cell r="D133">
            <v>-3773.78</v>
          </cell>
        </row>
        <row r="134">
          <cell r="B134" t="str">
            <v/>
          </cell>
          <cell r="C134" t="str">
            <v>Total Inter-Company Wholesale Trading Revenue</v>
          </cell>
          <cell r="D134">
            <v>-510782.92</v>
          </cell>
        </row>
        <row r="135">
          <cell r="B135" t="str">
            <v/>
          </cell>
          <cell r="C135" t="str">
            <v>Total Wholesale Trading Revenues</v>
          </cell>
          <cell r="D135">
            <v>-175692618.81999999</v>
          </cell>
        </row>
        <row r="136">
          <cell r="B136" t="str">
            <v/>
          </cell>
          <cell r="C136" t="str">
            <v>Wheeling Revenue</v>
          </cell>
        </row>
        <row r="137">
          <cell r="B137" t="str">
            <v>301912</v>
          </cell>
          <cell r="C137" t="str">
            <v>301912 Firm Wheeling Revenue</v>
          </cell>
          <cell r="D137">
            <v>-7107954.3899999997</v>
          </cell>
        </row>
        <row r="138">
          <cell r="B138" t="str">
            <v>301913</v>
          </cell>
          <cell r="C138" t="str">
            <v>301913 Transmission Tariff True-up</v>
          </cell>
          <cell r="D138">
            <v>-4185603.82</v>
          </cell>
        </row>
        <row r="139">
          <cell r="B139" t="str">
            <v>301916</v>
          </cell>
          <cell r="C139" t="str">
            <v>301916 Pre-Merger Firm Wheeling Revenue - PPD</v>
          </cell>
          <cell r="D139">
            <v>-8251419.4500000002</v>
          </cell>
        </row>
        <row r="140">
          <cell r="B140" t="str">
            <v>301917</v>
          </cell>
          <cell r="C140" t="str">
            <v>301917 Pre-Merger Firm Wheeling Revenue - UPD</v>
          </cell>
          <cell r="D140">
            <v>-20201587.010000002</v>
          </cell>
        </row>
        <row r="141">
          <cell r="B141" t="str">
            <v>301922</v>
          </cell>
          <cell r="C141" t="str">
            <v>301922 Non-Firm Wheeling Revenue</v>
          </cell>
          <cell r="D141">
            <v>-7452591.7199999997</v>
          </cell>
        </row>
        <row r="142">
          <cell r="B142" t="str">
            <v>301926</v>
          </cell>
          <cell r="C142" t="str">
            <v>301926 Short-Term Firm Wheeling</v>
          </cell>
          <cell r="D142">
            <v>-884249.86</v>
          </cell>
        </row>
        <row r="143">
          <cell r="B143" t="str">
            <v>302980</v>
          </cell>
          <cell r="C143" t="str">
            <v>302980 Transmisson Point-to-Point Revenue</v>
          </cell>
          <cell r="D143">
            <v>-25396629.379999999</v>
          </cell>
        </row>
        <row r="144">
          <cell r="B144" t="str">
            <v>302981</v>
          </cell>
          <cell r="C144" t="str">
            <v>302981 Transmission Resales to Other Parties</v>
          </cell>
          <cell r="D144">
            <v>-763211.73</v>
          </cell>
        </row>
        <row r="145">
          <cell r="B145" t="str">
            <v>302982</v>
          </cell>
          <cell r="C145" t="str">
            <v>302982 Transmission Rev-Unreserved Use Charges</v>
          </cell>
          <cell r="D145">
            <v>-99568.35</v>
          </cell>
        </row>
        <row r="146">
          <cell r="B146" t="str">
            <v/>
          </cell>
          <cell r="C146" t="str">
            <v>Total External Wheeling Revenue</v>
          </cell>
          <cell r="D146">
            <v>-74342815.709999993</v>
          </cell>
        </row>
        <row r="147">
          <cell r="B147" t="str">
            <v>302901</v>
          </cell>
          <cell r="C147" t="str">
            <v>302901 Use of Facility - Revenue</v>
          </cell>
          <cell r="D147">
            <v>-16073907.66</v>
          </cell>
        </row>
        <row r="148">
          <cell r="B148" t="str">
            <v>302961</v>
          </cell>
          <cell r="C148" t="str">
            <v>302961 Transm Capacity Re-assignment Revenue</v>
          </cell>
          <cell r="D148">
            <v>824.07</v>
          </cell>
        </row>
        <row r="149">
          <cell r="B149" t="str">
            <v>302962</v>
          </cell>
          <cell r="C149" t="str">
            <v>302962 Transm Capacity Re-assignment Contra Rev</v>
          </cell>
          <cell r="D149">
            <v>-824.07</v>
          </cell>
        </row>
        <row r="150">
          <cell r="B150" t="str">
            <v/>
          </cell>
          <cell r="C150" t="str">
            <v>Total Other Wheeling Charges</v>
          </cell>
          <cell r="D150">
            <v>-16073907.66</v>
          </cell>
        </row>
        <row r="151">
          <cell r="B151" t="str">
            <v>302822</v>
          </cell>
          <cell r="C151" t="str">
            <v>302822 I/C Non-Firm Wheeling Revenue-Nevada Pwr</v>
          </cell>
          <cell r="D151">
            <v>-28474</v>
          </cell>
        </row>
        <row r="152">
          <cell r="B152" t="str">
            <v>302831</v>
          </cell>
          <cell r="C152" t="str">
            <v>302831 I/C Other Wheeling Revenue-Sierra Pac</v>
          </cell>
          <cell r="D152">
            <v>-59520.73</v>
          </cell>
        </row>
        <row r="153">
          <cell r="B153" t="str">
            <v/>
          </cell>
          <cell r="C153" t="str">
            <v>Total Intercompany Wheeling Revenue</v>
          </cell>
          <cell r="D153">
            <v>-87994.73</v>
          </cell>
        </row>
        <row r="154">
          <cell r="B154" t="str">
            <v/>
          </cell>
          <cell r="C154" t="str">
            <v>Total Wheeling Revenue</v>
          </cell>
          <cell r="D154">
            <v>-90504718.099999994</v>
          </cell>
        </row>
        <row r="155">
          <cell r="B155" t="str">
            <v/>
          </cell>
          <cell r="C155" t="str">
            <v>Other Revenues</v>
          </cell>
        </row>
        <row r="156">
          <cell r="B156" t="str">
            <v/>
          </cell>
          <cell r="C156" t="str">
            <v>Other Revenues - External</v>
          </cell>
        </row>
        <row r="157">
          <cell r="B157" t="str">
            <v>301820</v>
          </cell>
          <cell r="C157" t="str">
            <v>301820 Forfeited Discount Revenue-Residential</v>
          </cell>
          <cell r="D157">
            <v>-6831860.0999999996</v>
          </cell>
        </row>
        <row r="158">
          <cell r="B158" t="str">
            <v>301821</v>
          </cell>
          <cell r="C158" t="str">
            <v>301821 Forfeited Discount Revenue-Commercial</v>
          </cell>
          <cell r="D158">
            <v>-1518937.82</v>
          </cell>
        </row>
        <row r="159">
          <cell r="B159" t="str">
            <v>301822</v>
          </cell>
          <cell r="C159" t="str">
            <v>301822 Forfeited Discount Revenue-Industrial</v>
          </cell>
          <cell r="D159">
            <v>-964105.51</v>
          </cell>
        </row>
        <row r="160">
          <cell r="B160" t="str">
            <v>301823</v>
          </cell>
          <cell r="C160" t="str">
            <v>301823 Forfeited Discount Revenue-All Other</v>
          </cell>
          <cell r="D160">
            <v>-56865.09</v>
          </cell>
        </row>
        <row r="161">
          <cell r="B161" t="str">
            <v/>
          </cell>
          <cell r="C161" t="str">
            <v>Total Forfeited Discount Revenue</v>
          </cell>
          <cell r="D161">
            <v>-9371768.5199999996</v>
          </cell>
        </row>
        <row r="162">
          <cell r="B162" t="str">
            <v>301825</v>
          </cell>
          <cell r="C162" t="str">
            <v>301825 Misc Serv Rev-Acct Svc Charge - CSS</v>
          </cell>
          <cell r="D162">
            <v>-3452377.53</v>
          </cell>
        </row>
        <row r="163">
          <cell r="B163" t="str">
            <v>301826</v>
          </cell>
          <cell r="C163" t="str">
            <v>301826 Tampering/Unauthorized Reconnection Chgs</v>
          </cell>
          <cell r="D163">
            <v>-38021.339999999997</v>
          </cell>
        </row>
        <row r="164">
          <cell r="B164" t="str">
            <v>301828</v>
          </cell>
          <cell r="C164" t="str">
            <v>301828 Miscellaneous Service Revenues-Other</v>
          </cell>
          <cell r="D164">
            <v>-1265230.32</v>
          </cell>
        </row>
        <row r="165">
          <cell r="B165" t="str">
            <v>301836</v>
          </cell>
          <cell r="C165" t="str">
            <v>301836 Energy Finanswer (New Commercial)</v>
          </cell>
          <cell r="D165">
            <v>-2643.91</v>
          </cell>
        </row>
        <row r="166">
          <cell r="B166" t="str">
            <v>301839</v>
          </cell>
          <cell r="C166" t="str">
            <v>301839 Home Comfort (Existing Residential)</v>
          </cell>
          <cell r="D166">
            <v>-44.91</v>
          </cell>
        </row>
        <row r="167">
          <cell r="B167" t="str">
            <v>301855</v>
          </cell>
          <cell r="C167" t="str">
            <v>301855 Misc Service Revenue - CSS (Non-FLT)</v>
          </cell>
          <cell r="D167">
            <v>-885300</v>
          </cell>
        </row>
        <row r="168">
          <cell r="B168" t="str">
            <v/>
          </cell>
          <cell r="C168" t="str">
            <v>Total Miscellaneous Service Revenues</v>
          </cell>
          <cell r="D168">
            <v>-5643618.0099999998</v>
          </cell>
        </row>
        <row r="169">
          <cell r="B169" t="str">
            <v>301860</v>
          </cell>
          <cell r="C169" t="str">
            <v>301860 Rent Revenue - CSS</v>
          </cell>
          <cell r="D169">
            <v>-2103901.4500000002</v>
          </cell>
        </row>
        <row r="170">
          <cell r="B170" t="str">
            <v>301862</v>
          </cell>
          <cell r="C170" t="str">
            <v>301862 Rents - Non Common</v>
          </cell>
          <cell r="D170">
            <v>-11928.45</v>
          </cell>
        </row>
        <row r="171">
          <cell r="B171" t="str">
            <v>301870</v>
          </cell>
          <cell r="C171" t="str">
            <v>301870 Rent Revenue - Steam</v>
          </cell>
          <cell r="D171">
            <v>-248216.42</v>
          </cell>
        </row>
        <row r="172">
          <cell r="B172" t="str">
            <v>301871</v>
          </cell>
          <cell r="C172" t="str">
            <v>301871 Rent Revenue - Hydro</v>
          </cell>
          <cell r="D172">
            <v>-653787.6</v>
          </cell>
        </row>
        <row r="173">
          <cell r="B173" t="str">
            <v>301872</v>
          </cell>
          <cell r="C173" t="str">
            <v>301872 Rent Revenue - Transmission</v>
          </cell>
          <cell r="D173">
            <v>-1466457.69</v>
          </cell>
        </row>
        <row r="174">
          <cell r="B174" t="str">
            <v>301873</v>
          </cell>
          <cell r="C174" t="str">
            <v>301873 Rent Revenue - Distribution</v>
          </cell>
          <cell r="D174">
            <v>-737195.58</v>
          </cell>
        </row>
        <row r="175">
          <cell r="B175" t="str">
            <v>301874</v>
          </cell>
          <cell r="C175" t="str">
            <v>301874 Rent Revenue - General</v>
          </cell>
          <cell r="D175">
            <v>-187156.21</v>
          </cell>
        </row>
        <row r="176">
          <cell r="B176" t="str">
            <v>301876</v>
          </cell>
          <cell r="C176" t="str">
            <v>301876 Rent Revenue - Non-Utility - Electric</v>
          </cell>
          <cell r="D176">
            <v>-326996.62</v>
          </cell>
        </row>
        <row r="177">
          <cell r="B177" t="str">
            <v>301885</v>
          </cell>
          <cell r="C177" t="str">
            <v>301885 Rent Revenue - Subleases</v>
          </cell>
          <cell r="D177">
            <v>-2790541.64</v>
          </cell>
        </row>
        <row r="178">
          <cell r="B178" t="str">
            <v/>
          </cell>
          <cell r="C178" t="str">
            <v>Total Rent Revenue</v>
          </cell>
          <cell r="D178">
            <v>-8526181.6600000001</v>
          </cell>
        </row>
        <row r="179">
          <cell r="B179" t="str">
            <v>301863</v>
          </cell>
          <cell r="C179" t="str">
            <v>301863 MCI Fiber Optic Ground Wire Revenues</v>
          </cell>
          <cell r="D179">
            <v>-3343622.5</v>
          </cell>
        </row>
        <row r="180">
          <cell r="B180" t="str">
            <v>301864</v>
          </cell>
          <cell r="C180" t="str">
            <v>301864 Revenue - Joint use of Poles</v>
          </cell>
          <cell r="D180">
            <v>-6191456.0599999996</v>
          </cell>
        </row>
        <row r="181">
          <cell r="B181" t="str">
            <v>301866</v>
          </cell>
          <cell r="C181" t="str">
            <v>301866 Joint Use Sanctions &amp; Fines Revenue</v>
          </cell>
          <cell r="D181">
            <v>-6098.51</v>
          </cell>
        </row>
        <row r="182">
          <cell r="B182" t="str">
            <v>301867</v>
          </cell>
          <cell r="C182" t="str">
            <v>301867 Joint Use Program Reimbursement Revenue</v>
          </cell>
          <cell r="D182">
            <v>-2525345.94</v>
          </cell>
        </row>
        <row r="183">
          <cell r="B183" t="str">
            <v>301869</v>
          </cell>
          <cell r="C183" t="str">
            <v>301869 Uncollectible Revenue Joint Use</v>
          </cell>
          <cell r="D183">
            <v>-12807.08</v>
          </cell>
        </row>
        <row r="184">
          <cell r="B184" t="str">
            <v>301879</v>
          </cell>
          <cell r="C184" t="str">
            <v>301879 Joint Use Contract Prog Reimb Revenue</v>
          </cell>
          <cell r="D184">
            <v>-215672.41</v>
          </cell>
        </row>
        <row r="185">
          <cell r="B185" t="str">
            <v/>
          </cell>
          <cell r="C185" t="str">
            <v>Total Joint Use Revenue</v>
          </cell>
          <cell r="D185">
            <v>-12295002.5</v>
          </cell>
        </row>
        <row r="186">
          <cell r="B186" t="str">
            <v>301940</v>
          </cell>
          <cell r="C186" t="str">
            <v>301940 Flyash &amp; By-Product Sales</v>
          </cell>
          <cell r="D186">
            <v>-4323363.96</v>
          </cell>
        </row>
        <row r="187">
          <cell r="B187" t="str">
            <v>301943</v>
          </cell>
          <cell r="C187" t="str">
            <v>301943 Renewable Energy Credit Sales-Deferral</v>
          </cell>
          <cell r="D187">
            <v>1824872.26</v>
          </cell>
        </row>
        <row r="188">
          <cell r="B188" t="str">
            <v>301944</v>
          </cell>
          <cell r="C188" t="str">
            <v>301944 Renewable Energy Credit Sales-Estimate</v>
          </cell>
          <cell r="D188">
            <v>-466300.89</v>
          </cell>
        </row>
        <row r="189">
          <cell r="B189" t="str">
            <v>301945</v>
          </cell>
          <cell r="C189" t="str">
            <v>301945 Renewable Energy Credit Sales</v>
          </cell>
          <cell r="D189">
            <v>-4930869.88</v>
          </cell>
        </row>
        <row r="190">
          <cell r="B190" t="str">
            <v>301947</v>
          </cell>
          <cell r="C190" t="str">
            <v>301947 Emissions and Allowances Revenue</v>
          </cell>
          <cell r="D190">
            <v>-187.82</v>
          </cell>
        </row>
        <row r="191">
          <cell r="B191" t="str">
            <v>352001</v>
          </cell>
          <cell r="C191" t="str">
            <v>352001 CA GHG Allowance Revenues</v>
          </cell>
          <cell r="D191">
            <v>-9387611.1999999993</v>
          </cell>
        </row>
        <row r="192">
          <cell r="B192" t="str">
            <v>352002</v>
          </cell>
          <cell r="C192" t="str">
            <v>352002 CA GHG Allowance Revenues - Deferral</v>
          </cell>
          <cell r="D192">
            <v>9387610.8100000005</v>
          </cell>
        </row>
        <row r="193">
          <cell r="B193" t="str">
            <v>352003</v>
          </cell>
          <cell r="C193" t="str">
            <v>352003 CA GHG Allowance Revenues-Amortz</v>
          </cell>
          <cell r="D193">
            <v>-11196617.73</v>
          </cell>
        </row>
        <row r="194">
          <cell r="B194" t="str">
            <v>352943</v>
          </cell>
          <cell r="C194" t="str">
            <v>352943 Renewable Energy Credit Sales-Amortz</v>
          </cell>
          <cell r="D194">
            <v>10695338.52</v>
          </cell>
        </row>
        <row r="195">
          <cell r="B195" t="str">
            <v>352950</v>
          </cell>
          <cell r="C195" t="str">
            <v>352950 REC Sales - Wind Wake Loss Indemnity</v>
          </cell>
          <cell r="D195">
            <v>-7036.95</v>
          </cell>
        </row>
        <row r="196">
          <cell r="B196" t="str">
            <v>358900</v>
          </cell>
          <cell r="C196" t="str">
            <v>358900 Sales of Water &amp; Water Power</v>
          </cell>
          <cell r="D196">
            <v>-75033.05</v>
          </cell>
        </row>
        <row r="197">
          <cell r="B197" t="str">
            <v>361000</v>
          </cell>
          <cell r="C197" t="str">
            <v>361000 Steam Sales</v>
          </cell>
          <cell r="D197">
            <v>-468273.77</v>
          </cell>
        </row>
        <row r="198">
          <cell r="B198" t="str">
            <v>362950</v>
          </cell>
          <cell r="C198" t="str">
            <v>362950 M&amp;S Inventory Sales</v>
          </cell>
          <cell r="D198">
            <v>-1450819</v>
          </cell>
        </row>
        <row r="199">
          <cell r="B199" t="str">
            <v/>
          </cell>
          <cell r="C199" t="str">
            <v>Total Inventory &amp; Other Sales Revenue</v>
          </cell>
          <cell r="D199">
            <v>-10398292.66</v>
          </cell>
        </row>
        <row r="200">
          <cell r="B200" t="str">
            <v>301900</v>
          </cell>
          <cell r="C200" t="str">
            <v>301900 Electricity Income - Other</v>
          </cell>
          <cell r="D200">
            <v>-48100.51</v>
          </cell>
        </row>
        <row r="201">
          <cell r="B201" t="str">
            <v>301901</v>
          </cell>
          <cell r="C201" t="str">
            <v>301901 Wash-Colstrip 3</v>
          </cell>
          <cell r="D201">
            <v>52188</v>
          </cell>
        </row>
        <row r="202">
          <cell r="B202" t="str">
            <v>301911</v>
          </cell>
          <cell r="C202" t="str">
            <v>301911 Income From Fish, Wildlife, &amp; Recreation</v>
          </cell>
          <cell r="D202">
            <v>-19930.28</v>
          </cell>
        </row>
        <row r="203">
          <cell r="B203" t="str">
            <v>301915</v>
          </cell>
          <cell r="C203" t="str">
            <v>301915 Other Electric Rev (Excluding Wheeling)</v>
          </cell>
          <cell r="D203">
            <v>-1735192.56</v>
          </cell>
        </row>
        <row r="204">
          <cell r="B204" t="str">
            <v>301938</v>
          </cell>
          <cell r="C204" t="str">
            <v>301938 Services Provided to Others - Revenue</v>
          </cell>
          <cell r="D204">
            <v>-1269454.74</v>
          </cell>
        </row>
        <row r="205">
          <cell r="B205" t="str">
            <v>301939</v>
          </cell>
          <cell r="C205" t="str">
            <v>301939 Other Electric Revenue Estimate</v>
          </cell>
          <cell r="D205">
            <v>792051.97</v>
          </cell>
        </row>
        <row r="206">
          <cell r="B206" t="str">
            <v>301949</v>
          </cell>
          <cell r="C206" t="str">
            <v>301949 3rd Party Transmission O&amp;M - Revenue</v>
          </cell>
          <cell r="D206">
            <v>-524741.28</v>
          </cell>
        </row>
        <row r="207">
          <cell r="B207" t="str">
            <v>301951</v>
          </cell>
          <cell r="C207" t="str">
            <v>301951 Non-Wheeling System Revenue</v>
          </cell>
          <cell r="D207">
            <v>-6159270.8899999997</v>
          </cell>
        </row>
        <row r="208">
          <cell r="B208" t="str">
            <v>301953</v>
          </cell>
          <cell r="C208" t="str">
            <v>301953 Ancillary Rev Sch 6-Supp (C&amp;T)</v>
          </cell>
          <cell r="D208">
            <v>-1243867.71</v>
          </cell>
        </row>
        <row r="209">
          <cell r="B209" t="str">
            <v>301955</v>
          </cell>
          <cell r="C209" t="str">
            <v>301955 Other Rev-Wy Reg Recovery Fee-Kennecott</v>
          </cell>
          <cell r="D209">
            <v>-351446.78</v>
          </cell>
        </row>
        <row r="210">
          <cell r="B210" t="str">
            <v>301958</v>
          </cell>
          <cell r="C210" t="str">
            <v>301958 Wind-based Ancillary Services Estimate</v>
          </cell>
          <cell r="D210">
            <v>119715.58</v>
          </cell>
        </row>
        <row r="211">
          <cell r="B211" t="str">
            <v>301959</v>
          </cell>
          <cell r="C211" t="str">
            <v>301959 Wind-based Ancillary Services/Revenue</v>
          </cell>
          <cell r="D211">
            <v>-10960626.25</v>
          </cell>
        </row>
        <row r="212">
          <cell r="B212" t="str">
            <v>301963</v>
          </cell>
          <cell r="C212" t="str">
            <v>301963 Ancil Revenue Sch 2-Reactive (C&amp;T)</v>
          </cell>
          <cell r="D212">
            <v>-719275.18</v>
          </cell>
        </row>
        <row r="213">
          <cell r="B213" t="str">
            <v>301966</v>
          </cell>
          <cell r="C213" t="str">
            <v>301966 Primary Delivery and Distribution Sub Charges</v>
          </cell>
          <cell r="D213">
            <v>-503656.23</v>
          </cell>
        </row>
        <row r="214">
          <cell r="B214" t="str">
            <v>301967</v>
          </cell>
          <cell r="C214" t="str">
            <v>301967 Ancillary Revenue Sch 1 - Scheduling</v>
          </cell>
          <cell r="D214">
            <v>-1634495.7</v>
          </cell>
        </row>
        <row r="215">
          <cell r="B215" t="str">
            <v>301969</v>
          </cell>
          <cell r="C215" t="str">
            <v>301969 Ancillary Revenue Sch 3 - Reg&amp;Freq (C&amp;T)</v>
          </cell>
          <cell r="D215">
            <v>-3033403.9</v>
          </cell>
        </row>
        <row r="216">
          <cell r="B216" t="str">
            <v>301973</v>
          </cell>
          <cell r="C216" t="str">
            <v>301973 Ancillary Rev Sch 5-Spin (C&amp;T)</v>
          </cell>
          <cell r="D216">
            <v>-2102718.04</v>
          </cell>
        </row>
        <row r="217">
          <cell r="B217" t="str">
            <v>301974</v>
          </cell>
          <cell r="C217" t="str">
            <v>301974 Ancil Revenue Sch 3a-Regulation (C&amp;T)</v>
          </cell>
          <cell r="D217">
            <v>-910176.41</v>
          </cell>
        </row>
        <row r="218">
          <cell r="B218" t="str">
            <v>305990</v>
          </cell>
          <cell r="C218" t="str">
            <v>305990 FERC Transmission Refund-Deferral</v>
          </cell>
          <cell r="D218">
            <v>7093959.8600000003</v>
          </cell>
        </row>
        <row r="219">
          <cell r="B219" t="str">
            <v>308001</v>
          </cell>
          <cell r="C219" t="str">
            <v>308001 EIM Rev-Forecasting Fee: Pac to TC</v>
          </cell>
          <cell r="D219">
            <v>-25900</v>
          </cell>
        </row>
        <row r="220">
          <cell r="B220" t="str">
            <v>374400</v>
          </cell>
          <cell r="C220" t="str">
            <v>374400 Timber Sales - Utility Property</v>
          </cell>
          <cell r="D220">
            <v>-727540.82</v>
          </cell>
        </row>
        <row r="221">
          <cell r="B221" t="str">
            <v/>
          </cell>
          <cell r="C221" t="str">
            <v>Total Other Electric Revenues</v>
          </cell>
          <cell r="D221">
            <v>-23911881.870000001</v>
          </cell>
        </row>
        <row r="222">
          <cell r="B222" t="str">
            <v/>
          </cell>
          <cell r="C222" t="str">
            <v>Total Other Revenues - External</v>
          </cell>
          <cell r="D222">
            <v>-70146745.219999999</v>
          </cell>
        </row>
        <row r="223">
          <cell r="B223" t="str">
            <v/>
          </cell>
          <cell r="C223" t="str">
            <v>Inter-Company Other Revenues</v>
          </cell>
        </row>
        <row r="224">
          <cell r="B224" t="str">
            <v>302082</v>
          </cell>
          <cell r="C224" t="str">
            <v>302082 I/C Anc Rev Sch 1-Scheduling-Nevada Pwr</v>
          </cell>
          <cell r="D224">
            <v>-711.95</v>
          </cell>
        </row>
        <row r="225">
          <cell r="B225" t="str">
            <v>302092</v>
          </cell>
          <cell r="C225" t="str">
            <v>302092 I/C Anc Rev Sch 2-Reactive-Nevada Pwr</v>
          </cell>
          <cell r="D225">
            <v>-530.29</v>
          </cell>
        </row>
        <row r="226">
          <cell r="B226" t="str">
            <v/>
          </cell>
          <cell r="C226" t="str">
            <v>Total Inter-Company Other Revenues</v>
          </cell>
          <cell r="D226">
            <v>-1242.24</v>
          </cell>
        </row>
        <row r="227">
          <cell r="B227" t="str">
            <v/>
          </cell>
          <cell r="C227" t="str">
            <v>Total Other Revenues</v>
          </cell>
          <cell r="D227">
            <v>-70147987.459999993</v>
          </cell>
        </row>
        <row r="228">
          <cell r="B228" t="str">
            <v/>
          </cell>
          <cell r="C228" t="str">
            <v>Total Revenues</v>
          </cell>
          <cell r="D228">
            <v>-5200734320.2399998</v>
          </cell>
        </row>
        <row r="229">
          <cell r="B229" t="str">
            <v/>
          </cell>
          <cell r="C229" t="str">
            <v>Internal Transfers - Revenues and Expenses</v>
          </cell>
        </row>
        <row r="230">
          <cell r="B230" t="str">
            <v>498030</v>
          </cell>
          <cell r="C230" t="str">
            <v>498030 CT-TD Internal Transmission &amp; ROE Adjs</v>
          </cell>
          <cell r="D230">
            <v>5923715.4100000001</v>
          </cell>
        </row>
        <row r="231">
          <cell r="B231" t="str">
            <v>498310</v>
          </cell>
          <cell r="C231" t="str">
            <v>498310 T-C&amp;T Internal Transmission Revenue</v>
          </cell>
          <cell r="D231">
            <v>-284273640.47000003</v>
          </cell>
        </row>
        <row r="232">
          <cell r="B232" t="str">
            <v>498330</v>
          </cell>
          <cell r="C232" t="str">
            <v>498330 T-W Internal Firm Transmission Revenue</v>
          </cell>
          <cell r="D232">
            <v>-79402642.629999995</v>
          </cell>
        </row>
        <row r="233">
          <cell r="B233" t="str">
            <v>498340</v>
          </cell>
          <cell r="C233" t="str">
            <v>498340 T-W Internal Non-Firm Transmission Revenue</v>
          </cell>
          <cell r="D233">
            <v>-70360761.879999995</v>
          </cell>
        </row>
        <row r="234">
          <cell r="B234" t="str">
            <v>498370</v>
          </cell>
          <cell r="C234" t="str">
            <v>498370 T-C&amp;T Short-Term Firm Transm Revenue</v>
          </cell>
          <cell r="D234">
            <v>-24398551.079999998</v>
          </cell>
        </row>
        <row r="235">
          <cell r="B235" t="str">
            <v>498450</v>
          </cell>
          <cell r="C235" t="str">
            <v>498450 T-C&amp;T Sch 1-Transm Scheduling Revenue</v>
          </cell>
          <cell r="D235">
            <v>-10744127.609999999</v>
          </cell>
        </row>
        <row r="236">
          <cell r="B236" t="str">
            <v>498460</v>
          </cell>
          <cell r="C236" t="str">
            <v>498460 T-C&amp;T Sch 2-Transm Reactive Supply</v>
          </cell>
          <cell r="D236">
            <v>30554.26</v>
          </cell>
        </row>
        <row r="237">
          <cell r="B237" t="str">
            <v>499010</v>
          </cell>
          <cell r="C237" t="str">
            <v>499010 TD-CT Network Operations Expense</v>
          </cell>
          <cell r="D237">
            <v>-5923715.4100000001</v>
          </cell>
        </row>
        <row r="238">
          <cell r="B238" t="str">
            <v>499310</v>
          </cell>
          <cell r="C238" t="str">
            <v>499310 C&amp;T-T Internal Transmission Expense</v>
          </cell>
          <cell r="D238">
            <v>284273640.47000003</v>
          </cell>
        </row>
        <row r="239">
          <cell r="B239" t="str">
            <v>499330</v>
          </cell>
          <cell r="C239" t="str">
            <v>499330 W-T Internal Firm Transmission Expense</v>
          </cell>
          <cell r="D239">
            <v>79402642.629999995</v>
          </cell>
        </row>
        <row r="240">
          <cell r="B240" t="str">
            <v>499340</v>
          </cell>
          <cell r="C240" t="str">
            <v>499340 W-T Internal Non-Firm Transmission Expense</v>
          </cell>
          <cell r="D240">
            <v>95362981.739999995</v>
          </cell>
        </row>
        <row r="241">
          <cell r="B241" t="str">
            <v>499370</v>
          </cell>
          <cell r="C241" t="str">
            <v>499370 C&amp;T-T Short-Term Firm Transm Expense</v>
          </cell>
          <cell r="D241">
            <v>-603668.78</v>
          </cell>
        </row>
        <row r="242">
          <cell r="B242" t="str">
            <v>499450</v>
          </cell>
          <cell r="C242" t="str">
            <v>499450 C&amp;T-T Sch 1-Transm Scheduling Charges</v>
          </cell>
          <cell r="D242">
            <v>10744127.609999999</v>
          </cell>
        </row>
        <row r="243">
          <cell r="B243" t="str">
            <v>499460</v>
          </cell>
          <cell r="C243" t="str">
            <v>499460 C&amp;T-T Sch 2-Transm Reactive Supply</v>
          </cell>
          <cell r="D243">
            <v>-30554.26</v>
          </cell>
        </row>
        <row r="244">
          <cell r="B244" t="str">
            <v/>
          </cell>
          <cell r="C244" t="str">
            <v>Total Internal Transfers - Rev and Exp</v>
          </cell>
          <cell r="D244">
            <v>0</v>
          </cell>
        </row>
        <row r="245">
          <cell r="B245" t="str">
            <v/>
          </cell>
          <cell r="C245" t="str">
            <v>BPA Offsets</v>
          </cell>
        </row>
        <row r="246">
          <cell r="B246" t="str">
            <v>301101</v>
          </cell>
          <cell r="C246" t="str">
            <v>301101 BPA Reg Bill Bal Acct - Residential</v>
          </cell>
          <cell r="D246">
            <v>58956870.960000001</v>
          </cell>
        </row>
        <row r="247">
          <cell r="B247" t="str">
            <v>301201</v>
          </cell>
          <cell r="C247" t="str">
            <v>301201 BPA Reg Bill Bal Acct - Commercial</v>
          </cell>
          <cell r="D247">
            <v>2054980.52</v>
          </cell>
        </row>
        <row r="248">
          <cell r="B248" t="str">
            <v>301301</v>
          </cell>
          <cell r="C248" t="str">
            <v>301301 BPA Reg Bill Bal Acct - Industrial</v>
          </cell>
          <cell r="D248">
            <v>66867.92</v>
          </cell>
        </row>
        <row r="249">
          <cell r="B249" t="str">
            <v>301451</v>
          </cell>
          <cell r="C249" t="str">
            <v>301451 BPA Reg Bill Bal Acct - Irrigation</v>
          </cell>
          <cell r="D249">
            <v>3893562.04</v>
          </cell>
        </row>
        <row r="250">
          <cell r="B250" t="str">
            <v>301601</v>
          </cell>
          <cell r="C250" t="str">
            <v>301601 BPA Reg Bill Bal Acct - St/Hwy Lighting</v>
          </cell>
          <cell r="D250">
            <v>23.16</v>
          </cell>
        </row>
        <row r="251">
          <cell r="B251" t="str">
            <v>505201</v>
          </cell>
          <cell r="C251" t="str">
            <v>505201 Regional Bill Intchg Rec/Del-OR (PP)</v>
          </cell>
          <cell r="D251">
            <v>-43450160.530000001</v>
          </cell>
        </row>
        <row r="252">
          <cell r="B252" t="str">
            <v>505202</v>
          </cell>
          <cell r="C252" t="str">
            <v>505202 Regional Bill Intchg Rec/Del-WA (PP)</v>
          </cell>
          <cell r="D252">
            <v>-13777155.890000001</v>
          </cell>
        </row>
        <row r="253">
          <cell r="B253" t="str">
            <v>505204</v>
          </cell>
          <cell r="C253" t="str">
            <v>505204 Regional Bill Intchg Rec/Del-ID (RMP)</v>
          </cell>
          <cell r="D253">
            <v>-7744988.1799999997</v>
          </cell>
        </row>
        <row r="254">
          <cell r="B254" t="str">
            <v/>
          </cell>
          <cell r="C254" t="str">
            <v>Total BPA Offsets</v>
          </cell>
          <cell r="D254">
            <v>0</v>
          </cell>
        </row>
        <row r="255">
          <cell r="B255" t="str">
            <v/>
          </cell>
          <cell r="C255" t="str">
            <v>Cost of Goods Sold</v>
          </cell>
        </row>
        <row r="256">
          <cell r="B256" t="str">
            <v/>
          </cell>
          <cell r="C256" t="str">
            <v>Fuel Expense</v>
          </cell>
        </row>
        <row r="257">
          <cell r="B257" t="str">
            <v>515100</v>
          </cell>
          <cell r="C257" t="str">
            <v>515100 Coal Consumed for Generation</v>
          </cell>
          <cell r="D257">
            <v>751493787.38</v>
          </cell>
        </row>
        <row r="258">
          <cell r="B258" t="str">
            <v>515102</v>
          </cell>
          <cell r="C258" t="str">
            <v>515102 Amortization of Deferred Overburden</v>
          </cell>
          <cell r="D258">
            <v>149780.03</v>
          </cell>
        </row>
        <row r="259">
          <cell r="B259" t="str">
            <v>515108</v>
          </cell>
          <cell r="C259" t="str">
            <v>515108 Coal Consumed - Deer Creek Abandonment</v>
          </cell>
          <cell r="D259">
            <v>795665.48</v>
          </cell>
        </row>
        <row r="260">
          <cell r="B260" t="str">
            <v>515110</v>
          </cell>
          <cell r="C260" t="str">
            <v>515110 Coal Billing Price Adjustment - Hunter</v>
          </cell>
          <cell r="D260">
            <v>-8760621.25</v>
          </cell>
        </row>
        <row r="261">
          <cell r="B261" t="str">
            <v>515115</v>
          </cell>
          <cell r="C261" t="str">
            <v>515115 Fuel Exp-MSHA Penalties &amp; Fines (426.3)</v>
          </cell>
          <cell r="D261">
            <v>10132.879999999999</v>
          </cell>
        </row>
        <row r="262">
          <cell r="B262" t="str">
            <v>515120</v>
          </cell>
          <cell r="C262" t="str">
            <v>515120 Fuel Exp-Coal-Deer Creek Amortz</v>
          </cell>
          <cell r="D262">
            <v>21076353</v>
          </cell>
        </row>
        <row r="263">
          <cell r="B263" t="str">
            <v>515121</v>
          </cell>
          <cell r="C263" t="str">
            <v>515121 Contra Fuel Exp-Coal-Deer Creek Amortz</v>
          </cell>
          <cell r="D263">
            <v>-2745349.77</v>
          </cell>
        </row>
        <row r="264">
          <cell r="B264" t="str">
            <v>515122</v>
          </cell>
          <cell r="C264" t="str">
            <v>515122 Fuel Exp-Coal-DCM Closure Cost Amortz</v>
          </cell>
          <cell r="D264">
            <v>3189660</v>
          </cell>
        </row>
        <row r="265">
          <cell r="B265" t="str">
            <v>515123</v>
          </cell>
          <cell r="C265" t="str">
            <v>515123 Fuel Exp-Coal-DCM Closure Cost to Fuel</v>
          </cell>
          <cell r="D265">
            <v>7957973.2599999998</v>
          </cell>
        </row>
        <row r="266">
          <cell r="B266" t="str">
            <v/>
          </cell>
          <cell r="C266" t="str">
            <v>Total Fuel Expense - Coal - External</v>
          </cell>
          <cell r="D266">
            <v>773167381.00999999</v>
          </cell>
        </row>
        <row r="267">
          <cell r="B267" t="str">
            <v>515180</v>
          </cell>
          <cell r="C267" t="str">
            <v>515180 Fuel Exp-Bridger Coal-Profit (501)</v>
          </cell>
          <cell r="D267">
            <v>21710542.710000001</v>
          </cell>
        </row>
        <row r="268">
          <cell r="B268" t="str">
            <v>515181</v>
          </cell>
          <cell r="C268" t="str">
            <v>515181 Fuel Exp-Bridger Coal-Profit (418.1)</v>
          </cell>
          <cell r="D268">
            <v>-21710542.710000001</v>
          </cell>
        </row>
        <row r="269">
          <cell r="B269" t="str">
            <v>515182</v>
          </cell>
          <cell r="C269" t="str">
            <v>515182 Fuel Exp-Trapper Mining-Profit (501)</v>
          </cell>
          <cell r="D269">
            <v>402201.67</v>
          </cell>
        </row>
        <row r="270">
          <cell r="B270" t="str">
            <v>515183</v>
          </cell>
          <cell r="C270" t="str">
            <v>515183 Fuel Exp-Trapper Mining-Profit (418.1)</v>
          </cell>
          <cell r="D270">
            <v>-402201.67</v>
          </cell>
        </row>
        <row r="271">
          <cell r="B271" t="str">
            <v/>
          </cell>
          <cell r="C271" t="str">
            <v>Total Fuel Expense - Coal - Interco</v>
          </cell>
          <cell r="D271">
            <v>0</v>
          </cell>
        </row>
        <row r="272">
          <cell r="B272" t="str">
            <v/>
          </cell>
          <cell r="C272" t="str">
            <v>Total Fuel Expense - Coal</v>
          </cell>
          <cell r="D272">
            <v>773167381.00999999</v>
          </cell>
        </row>
        <row r="273">
          <cell r="B273" t="str">
            <v>515200</v>
          </cell>
          <cell r="C273" t="str">
            <v>515200 Natural Gas Consumed for Generation</v>
          </cell>
          <cell r="D273">
            <v>196074459.78</v>
          </cell>
        </row>
        <row r="274">
          <cell r="B274" t="str">
            <v>515201</v>
          </cell>
          <cell r="C274" t="str">
            <v>515201 Natural Gas Exp - Under Capital Lease</v>
          </cell>
          <cell r="D274">
            <v>1993452</v>
          </cell>
        </row>
        <row r="275">
          <cell r="B275" t="str">
            <v>515202</v>
          </cell>
          <cell r="C275" t="str">
            <v>515202 Natural Gas Exp Offset - Cap Lease Depr</v>
          </cell>
          <cell r="D275">
            <v>-368282.79</v>
          </cell>
        </row>
        <row r="276">
          <cell r="B276" t="str">
            <v>515203</v>
          </cell>
          <cell r="C276" t="str">
            <v>515203 Natural Gas Exp Offset - Cap Lease Int.</v>
          </cell>
          <cell r="D276">
            <v>-1625168.53</v>
          </cell>
        </row>
        <row r="277">
          <cell r="B277" t="str">
            <v>515220</v>
          </cell>
          <cell r="C277" t="str">
            <v>515220 Natural Gas Swaps - Gains/Losses</v>
          </cell>
          <cell r="D277">
            <v>52859802.890000001</v>
          </cell>
        </row>
        <row r="278">
          <cell r="B278" t="str">
            <v>515250</v>
          </cell>
          <cell r="C278" t="str">
            <v>515250 Natural Gas Expense - Accrual</v>
          </cell>
          <cell r="D278">
            <v>6672062.5099999998</v>
          </cell>
        </row>
        <row r="279">
          <cell r="B279" t="str">
            <v>515270</v>
          </cell>
          <cell r="C279" t="str">
            <v>515270 Natural Gas Swaps-Gain/Loss-Accrual</v>
          </cell>
          <cell r="D279">
            <v>-3479215.26</v>
          </cell>
        </row>
        <row r="280">
          <cell r="B280" t="str">
            <v/>
          </cell>
          <cell r="C280" t="str">
            <v>Total Fuel Expense - Natural Gas - External</v>
          </cell>
          <cell r="D280">
            <v>252127110.59999999</v>
          </cell>
        </row>
        <row r="281">
          <cell r="B281" t="str">
            <v>505917</v>
          </cell>
          <cell r="C281" t="str">
            <v>505917 InterCo Natural Gas Consumed- Kern River</v>
          </cell>
          <cell r="D281">
            <v>3084724.29</v>
          </cell>
        </row>
        <row r="282">
          <cell r="B282" t="str">
            <v>505918</v>
          </cell>
          <cell r="C282" t="str">
            <v>505918 InterCo Natural Gas Accrual-Kern River</v>
          </cell>
          <cell r="D282">
            <v>-107.56</v>
          </cell>
        </row>
        <row r="283">
          <cell r="B283" t="str">
            <v/>
          </cell>
          <cell r="C283" t="str">
            <v>Total Fuel Expense - Natural Gas - Interco</v>
          </cell>
          <cell r="D283">
            <v>3084616.73</v>
          </cell>
        </row>
        <row r="284">
          <cell r="B284" t="str">
            <v/>
          </cell>
          <cell r="C284" t="str">
            <v>Total Fuel Expense - Natural Gas</v>
          </cell>
          <cell r="D284">
            <v>255211727.33000001</v>
          </cell>
        </row>
        <row r="285">
          <cell r="B285" t="str">
            <v>515900</v>
          </cell>
          <cell r="C285" t="str">
            <v>515900 Steam from Other Sources-Geothermal</v>
          </cell>
          <cell r="D285">
            <v>3932817.47</v>
          </cell>
        </row>
        <row r="286">
          <cell r="B286" t="str">
            <v/>
          </cell>
          <cell r="C286" t="str">
            <v>Total Fuel Expense - Steam - External</v>
          </cell>
          <cell r="D286">
            <v>3932817.47</v>
          </cell>
        </row>
        <row r="287">
          <cell r="B287" t="str">
            <v/>
          </cell>
          <cell r="C287" t="str">
            <v>Total Fuel Expense - Steam</v>
          </cell>
          <cell r="D287">
            <v>3932817.47</v>
          </cell>
        </row>
        <row r="288">
          <cell r="B288" t="str">
            <v/>
          </cell>
          <cell r="C288" t="str">
            <v>Total Fuel Expense</v>
          </cell>
          <cell r="D288">
            <v>1032311925.8099999</v>
          </cell>
        </row>
        <row r="289">
          <cell r="B289" t="str">
            <v/>
          </cell>
          <cell r="C289" t="str">
            <v>Purchased Power</v>
          </cell>
        </row>
        <row r="290">
          <cell r="B290" t="str">
            <v/>
          </cell>
          <cell r="C290" t="str">
            <v>Purchased Power External</v>
          </cell>
        </row>
        <row r="291">
          <cell r="B291" t="str">
            <v/>
          </cell>
          <cell r="C291" t="str">
            <v>Purchased Power - EIM</v>
          </cell>
        </row>
        <row r="292">
          <cell r="B292" t="str">
            <v>508001</v>
          </cell>
          <cell r="C292" t="str">
            <v>508001 EIM Exp - FMM IIE: CAISO to Pac</v>
          </cell>
          <cell r="D292">
            <v>-31935350.390000001</v>
          </cell>
        </row>
        <row r="293">
          <cell r="B293" t="str">
            <v>508003</v>
          </cell>
          <cell r="C293" t="str">
            <v>508003 EIM Exp - FMM Assess: Pac Trans to C&amp;T</v>
          </cell>
          <cell r="D293">
            <v>835366.41</v>
          </cell>
        </row>
        <row r="294">
          <cell r="B294" t="str">
            <v>508011</v>
          </cell>
          <cell r="C294" t="str">
            <v>508011 EIM Exp - RTD IIE: CAISO to Pac</v>
          </cell>
          <cell r="D294">
            <v>14670881.640000001</v>
          </cell>
        </row>
        <row r="295">
          <cell r="B295" t="str">
            <v>508013</v>
          </cell>
          <cell r="C295" t="str">
            <v>508013 EIM Exp - RTD Assess: Pac Trans to C&amp;T</v>
          </cell>
          <cell r="D295">
            <v>506147.19</v>
          </cell>
        </row>
        <row r="296">
          <cell r="B296" t="str">
            <v>508015</v>
          </cell>
          <cell r="C296" t="str">
            <v>508015 EIM Exp - GHG Em Cost Rev: CAISO to Pac</v>
          </cell>
          <cell r="D296">
            <v>-7783391.9199999999</v>
          </cell>
        </row>
        <row r="297">
          <cell r="B297" t="str">
            <v>508021</v>
          </cell>
          <cell r="C297" t="str">
            <v>508021 EIM Exp - UIE (Load): CAISO to Pac</v>
          </cell>
          <cell r="D297">
            <v>-7452880.1299999999</v>
          </cell>
        </row>
        <row r="298">
          <cell r="B298" t="str">
            <v>508023</v>
          </cell>
          <cell r="C298" t="str">
            <v>508023 EIM Exp - UIE (Load): Pac Trans to C&amp;T</v>
          </cell>
          <cell r="D298">
            <v>5493383.0199999996</v>
          </cell>
        </row>
        <row r="299">
          <cell r="B299" t="str">
            <v>508031</v>
          </cell>
          <cell r="C299" t="str">
            <v>508031 EIM Exp - UIE (Gen): CAISO to Pac</v>
          </cell>
          <cell r="D299">
            <v>-24207094.969999999</v>
          </cell>
        </row>
        <row r="300">
          <cell r="B300" t="str">
            <v>508033</v>
          </cell>
          <cell r="C300" t="str">
            <v>508033 EIM Exp - UIE (Gen): Pac Trans to C&amp;T</v>
          </cell>
          <cell r="D300">
            <v>324924.64</v>
          </cell>
        </row>
        <row r="301">
          <cell r="B301" t="str">
            <v>508041</v>
          </cell>
          <cell r="C301" t="str">
            <v>508041 EIM Exp - Daily Rounding Adj: w/CAISO</v>
          </cell>
          <cell r="D301">
            <v>-3831.38</v>
          </cell>
        </row>
        <row r="302">
          <cell r="B302" t="str">
            <v>508051</v>
          </cell>
          <cell r="C302" t="str">
            <v>508051 EIM Exp - O/U Sched Charge: w/CAISO</v>
          </cell>
          <cell r="D302">
            <v>-614215.97</v>
          </cell>
        </row>
        <row r="303">
          <cell r="B303" t="str">
            <v>508052</v>
          </cell>
          <cell r="C303" t="str">
            <v>508052 EIM Exp-O/U Sched Chrg: Pac to TC</v>
          </cell>
          <cell r="D303">
            <v>-73688.2</v>
          </cell>
        </row>
        <row r="304">
          <cell r="B304" t="str">
            <v>508053</v>
          </cell>
          <cell r="C304" t="str">
            <v>508053 EIM Exp - O/U Sched Alloc: w/CAISO</v>
          </cell>
          <cell r="D304">
            <v>-107901.74</v>
          </cell>
        </row>
        <row r="305">
          <cell r="B305" t="str">
            <v>508054</v>
          </cell>
          <cell r="C305" t="str">
            <v>508054 EIM Exp-O/U Sched Alloc: PAC to TC</v>
          </cell>
          <cell r="D305">
            <v>8298.91</v>
          </cell>
        </row>
        <row r="306">
          <cell r="B306" t="str">
            <v>508061</v>
          </cell>
          <cell r="C306" t="str">
            <v>508061 EIM Exp-Ancil Svc Upw Neutral: w/CAISO</v>
          </cell>
          <cell r="D306">
            <v>468.7</v>
          </cell>
        </row>
        <row r="307">
          <cell r="B307" t="str">
            <v>508062</v>
          </cell>
          <cell r="C307" t="str">
            <v>508062 EIM Exp-Spinning Reserve Oblig: w/CAISO</v>
          </cell>
          <cell r="D307">
            <v>-54202.84</v>
          </cell>
        </row>
        <row r="308">
          <cell r="B308" t="str">
            <v>508063</v>
          </cell>
          <cell r="C308" t="str">
            <v>508063 EIM Exp-Spin Reserve Neutral: w/CAISO</v>
          </cell>
          <cell r="D308">
            <v>1107.73</v>
          </cell>
        </row>
        <row r="309">
          <cell r="B309" t="str">
            <v>508064</v>
          </cell>
          <cell r="C309" t="str">
            <v>508064 EIM Exp-Non-Spin Reserve Oblig: w/CAISO</v>
          </cell>
          <cell r="D309">
            <v>-581549.24</v>
          </cell>
        </row>
        <row r="310">
          <cell r="B310" t="str">
            <v>508065</v>
          </cell>
          <cell r="C310" t="str">
            <v>508065 EIM Exp-Non-Spin Reserve Neut: w/CAISO</v>
          </cell>
          <cell r="D310">
            <v>-599.05999999999995</v>
          </cell>
        </row>
        <row r="311">
          <cell r="B311" t="str">
            <v>508066</v>
          </cell>
          <cell r="C311" t="str">
            <v>508066 EIM Exp - Excess Cost Neutral: w/CAISO</v>
          </cell>
          <cell r="D311">
            <v>940613.94</v>
          </cell>
        </row>
        <row r="312">
          <cell r="B312" t="str">
            <v>508071</v>
          </cell>
          <cell r="C312" t="str">
            <v>508071 EIM Exp - RT Bid Cost Recovery: w/CAISO</v>
          </cell>
          <cell r="D312">
            <v>-5595.6</v>
          </cell>
        </row>
        <row r="313">
          <cell r="B313" t="str">
            <v>508081</v>
          </cell>
          <cell r="C313" t="str">
            <v>508081 EIM Exp-IFM Loss Surplus Credit w/CAISO</v>
          </cell>
          <cell r="D313">
            <v>-87705.18</v>
          </cell>
        </row>
        <row r="314">
          <cell r="B314" t="str">
            <v>508091</v>
          </cell>
          <cell r="C314" t="str">
            <v>508091 EIM Exp - Flexible Ramp Cost: w/CAISO</v>
          </cell>
          <cell r="D314">
            <v>1742622.14</v>
          </cell>
        </row>
        <row r="315">
          <cell r="B315" t="str">
            <v>508092</v>
          </cell>
          <cell r="C315" t="str">
            <v>508092 EIM Exp - Flexible Ramp Cost: PAC to TC</v>
          </cell>
          <cell r="D315">
            <v>-170024.83</v>
          </cell>
        </row>
        <row r="316">
          <cell r="B316" t="str">
            <v>508095</v>
          </cell>
          <cell r="C316" t="str">
            <v>508095 EIM Exp-Flex RampUp Cap Pay: w/CAISO</v>
          </cell>
          <cell r="D316">
            <v>-1724759.55</v>
          </cell>
        </row>
        <row r="317">
          <cell r="B317" t="str">
            <v>508096</v>
          </cell>
          <cell r="C317" t="str">
            <v>508096 EIM Exp-Flex RampUp Cap No Pay: w/CAISO</v>
          </cell>
          <cell r="D317">
            <v>392622.19</v>
          </cell>
        </row>
        <row r="318">
          <cell r="B318" t="str">
            <v>508101</v>
          </cell>
          <cell r="C318" t="str">
            <v>508101 EIM Exp-RT Unaccounted Energy: w/CAISO</v>
          </cell>
          <cell r="D318">
            <v>31350505.629999999</v>
          </cell>
        </row>
        <row r="319">
          <cell r="B319" t="str">
            <v>508111</v>
          </cell>
          <cell r="C319" t="str">
            <v>508111 EIM Exp-RT Imb Energy Offset: w/CAISO</v>
          </cell>
          <cell r="D319">
            <v>832460.87</v>
          </cell>
        </row>
        <row r="320">
          <cell r="B320" t="str">
            <v>508112</v>
          </cell>
          <cell r="C320" t="str">
            <v>508112 EIM Exp-RT Imb Energy Offset: Pac to TC</v>
          </cell>
          <cell r="D320">
            <v>-201276.82</v>
          </cell>
        </row>
        <row r="321">
          <cell r="B321" t="str">
            <v>508121</v>
          </cell>
          <cell r="C321" t="str">
            <v>508121 EIM Exp-RT BCR EIM Alloc: CAISO to Pac</v>
          </cell>
          <cell r="D321">
            <v>1591135.66</v>
          </cell>
        </row>
        <row r="322">
          <cell r="B322" t="str">
            <v>508122</v>
          </cell>
          <cell r="C322" t="str">
            <v>508122 EIM Exp-RT BCR EIM Alloc: Pac to TC</v>
          </cell>
          <cell r="D322">
            <v>-246283.16</v>
          </cell>
        </row>
        <row r="323">
          <cell r="B323" t="str">
            <v>508125</v>
          </cell>
          <cell r="C323" t="str">
            <v>508125 EIM Exp-RTM BCR EIM Set: CAISO to Pac</v>
          </cell>
          <cell r="D323">
            <v>-1260586.6000000001</v>
          </cell>
        </row>
        <row r="324">
          <cell r="B324" t="str">
            <v>508131</v>
          </cell>
          <cell r="C324" t="str">
            <v>508131 EIM Exp-RT Congestion OS: CAISO to Pac</v>
          </cell>
          <cell r="D324">
            <v>-6904806.3300000001</v>
          </cell>
        </row>
        <row r="325">
          <cell r="B325" t="str">
            <v>508132</v>
          </cell>
          <cell r="C325" t="str">
            <v>508132 EIM Exp-RT Congestion OS: Pac to TC</v>
          </cell>
          <cell r="D325">
            <v>234111.93</v>
          </cell>
        </row>
        <row r="326">
          <cell r="B326" t="str">
            <v>508141</v>
          </cell>
          <cell r="C326" t="str">
            <v>508141 EIM Exp-RT Marginal Loss: CAISO to Pac</v>
          </cell>
          <cell r="D326">
            <v>-4262166.7699999996</v>
          </cell>
        </row>
        <row r="327">
          <cell r="B327" t="str">
            <v>508142</v>
          </cell>
          <cell r="C327" t="str">
            <v>508142 EIM Exp-Neutrality Adjust CAISO to Pac</v>
          </cell>
          <cell r="D327">
            <v>139112.14000000001</v>
          </cell>
        </row>
        <row r="328">
          <cell r="B328" t="str">
            <v>508151</v>
          </cell>
          <cell r="C328" t="str">
            <v>508151 EIM Exp-7070 FRP Forecast Mvmt</v>
          </cell>
          <cell r="D328">
            <v>500.7</v>
          </cell>
        </row>
        <row r="329">
          <cell r="B329" t="str">
            <v>508152</v>
          </cell>
          <cell r="C329" t="str">
            <v>508152 EIM Exp-7076 FRP Forecast Mvmt Alloc</v>
          </cell>
          <cell r="D329">
            <v>-319485.28000000003</v>
          </cell>
        </row>
        <row r="330">
          <cell r="B330" t="str">
            <v>508153</v>
          </cell>
          <cell r="C330" t="str">
            <v>508153 EIM Exp-7071 FRP Daily Up Uncert</v>
          </cell>
          <cell r="D330">
            <v>76.430000000000007</v>
          </cell>
        </row>
        <row r="331">
          <cell r="B331" t="str">
            <v>508154</v>
          </cell>
          <cell r="C331" t="str">
            <v>508154 EIM Exp-7081 FRP Daily Down Uncert</v>
          </cell>
          <cell r="D331">
            <v>86653.57</v>
          </cell>
        </row>
        <row r="332">
          <cell r="B332" t="str">
            <v>508155</v>
          </cell>
          <cell r="C332" t="str">
            <v>508155 EIM Exp-7077 FRP Daily Up Uncert Alloc</v>
          </cell>
          <cell r="D332">
            <v>275153.76</v>
          </cell>
        </row>
        <row r="333">
          <cell r="B333" t="str">
            <v>508156</v>
          </cell>
          <cell r="C333" t="str">
            <v>508156 EIM Exp-7078 FRP Month Up Uncert Alloc</v>
          </cell>
          <cell r="D333">
            <v>-48898.239999999998</v>
          </cell>
        </row>
        <row r="334">
          <cell r="B334" t="str">
            <v>508157</v>
          </cell>
          <cell r="C334" t="str">
            <v>508157 EIM Exp-7087 FRP Daily Down Uncert Allo</v>
          </cell>
          <cell r="D334">
            <v>15432.65</v>
          </cell>
        </row>
        <row r="335">
          <cell r="B335" t="str">
            <v>508158</v>
          </cell>
          <cell r="C335" t="str">
            <v>508158 EIM Exp-7088 FRP Month Down Uncert Allo</v>
          </cell>
          <cell r="D335">
            <v>3413.81</v>
          </cell>
        </row>
        <row r="336">
          <cell r="B336" t="str">
            <v/>
          </cell>
          <cell r="C336" t="str">
            <v>Total Purchased Power - EIM</v>
          </cell>
          <cell r="D336">
            <v>-28601300.539999999</v>
          </cell>
        </row>
        <row r="337">
          <cell r="B337" t="str">
            <v/>
          </cell>
          <cell r="C337" t="str">
            <v>Purchased Power - NPC Deferrals</v>
          </cell>
        </row>
        <row r="338">
          <cell r="B338" t="str">
            <v>546500</v>
          </cell>
          <cell r="C338" t="str">
            <v>546500 Excess Net Power Costs-Deferral</v>
          </cell>
          <cell r="D338">
            <v>8782551.3499999996</v>
          </cell>
        </row>
        <row r="339">
          <cell r="B339" t="str">
            <v>546501</v>
          </cell>
          <cell r="C339" t="str">
            <v>546501 Excess Net Power Costs-Amortz</v>
          </cell>
          <cell r="D339">
            <v>61240318.859999999</v>
          </cell>
        </row>
        <row r="340">
          <cell r="B340" t="str">
            <v>546517</v>
          </cell>
          <cell r="C340" t="str">
            <v>546517 Production Tax Credit - NPC Deferral</v>
          </cell>
          <cell r="D340">
            <v>-463730</v>
          </cell>
        </row>
        <row r="341">
          <cell r="B341" t="str">
            <v>546521</v>
          </cell>
          <cell r="C341" t="str">
            <v>546521 REC Sales - NPC Deferral</v>
          </cell>
          <cell r="D341">
            <v>14943.93</v>
          </cell>
        </row>
        <row r="342">
          <cell r="B342" t="str">
            <v>546522</v>
          </cell>
          <cell r="C342" t="str">
            <v>546522 RPS Compliance Purchases - Deferral</v>
          </cell>
          <cell r="D342">
            <v>-400938.02</v>
          </cell>
        </row>
        <row r="343">
          <cell r="B343" t="str">
            <v>546524</v>
          </cell>
          <cell r="C343" t="str">
            <v>546524 Wheeling Revenues - NPC Deferral</v>
          </cell>
          <cell r="D343">
            <v>1967870</v>
          </cell>
        </row>
        <row r="344">
          <cell r="B344" t="str">
            <v>546527</v>
          </cell>
          <cell r="C344" t="str">
            <v>546527 CA GHG Retail Obligation - Deferral</v>
          </cell>
          <cell r="D344">
            <v>-6883303.2199999997</v>
          </cell>
        </row>
        <row r="345">
          <cell r="B345" t="str">
            <v>546528</v>
          </cell>
          <cell r="C345" t="str">
            <v>546528 CA GHG Retail Obligation - Amortz</v>
          </cell>
          <cell r="D345">
            <v>9274034.6099999994</v>
          </cell>
        </row>
        <row r="346">
          <cell r="B346" t="str">
            <v/>
          </cell>
          <cell r="C346" t="str">
            <v>Total Purchased Power - NPC Deferrals</v>
          </cell>
          <cell r="D346">
            <v>73531747.510000005</v>
          </cell>
        </row>
        <row r="347">
          <cell r="B347" t="str">
            <v/>
          </cell>
          <cell r="C347" t="str">
            <v>Purchased Power - Other</v>
          </cell>
        </row>
        <row r="348">
          <cell r="B348" t="str">
            <v>505190</v>
          </cell>
          <cell r="C348" t="str">
            <v>505190 OR Solar Incentive Purchases</v>
          </cell>
          <cell r="D348">
            <v>380005.73</v>
          </cell>
        </row>
        <row r="349">
          <cell r="B349" t="str">
            <v>505206</v>
          </cell>
          <cell r="C349" t="str">
            <v>505206 Other Energy Purchases, Intchg Rec/Del</v>
          </cell>
          <cell r="D349">
            <v>4897342.9000000004</v>
          </cell>
        </row>
        <row r="350">
          <cell r="B350" t="str">
            <v>505207</v>
          </cell>
          <cell r="C350" t="str">
            <v>505207 IPP Energy Purchase</v>
          </cell>
          <cell r="D350">
            <v>5624650</v>
          </cell>
        </row>
        <row r="351">
          <cell r="B351" t="str">
            <v>505214</v>
          </cell>
          <cell r="C351" t="str">
            <v>505214 Firm Energy Purchases</v>
          </cell>
          <cell r="D351">
            <v>313981340.72000003</v>
          </cell>
        </row>
        <row r="352">
          <cell r="B352" t="str">
            <v>505215</v>
          </cell>
          <cell r="C352" t="str">
            <v>505215 Post-Merger Imbalance Charges(In MV-PBS)</v>
          </cell>
          <cell r="D352">
            <v>-508178.49</v>
          </cell>
        </row>
        <row r="353">
          <cell r="B353" t="str">
            <v>505216</v>
          </cell>
          <cell r="C353" t="str">
            <v>505216 Exchange Value Purchases</v>
          </cell>
          <cell r="D353">
            <v>585232.02</v>
          </cell>
        </row>
        <row r="354">
          <cell r="B354" t="str">
            <v>505217</v>
          </cell>
          <cell r="C354" t="str">
            <v>505217 Exchange Value Purchases Estimate</v>
          </cell>
          <cell r="D354">
            <v>-592118.04</v>
          </cell>
        </row>
        <row r="355">
          <cell r="B355" t="str">
            <v>505218</v>
          </cell>
          <cell r="C355" t="str">
            <v>505218 Firm Demand Purchases</v>
          </cell>
          <cell r="D355">
            <v>60520626.119999997</v>
          </cell>
        </row>
        <row r="356">
          <cell r="B356" t="str">
            <v>505219</v>
          </cell>
          <cell r="C356" t="str">
            <v>505219 Purchased Power Expense Estimate</v>
          </cell>
          <cell r="D356">
            <v>6023928.0300000003</v>
          </cell>
        </row>
        <row r="357">
          <cell r="B357" t="str">
            <v>505224</v>
          </cell>
          <cell r="C357" t="str">
            <v>505224 Short-Term Firm Wholesale Purchases</v>
          </cell>
          <cell r="D357">
            <v>239484403.84999999</v>
          </cell>
        </row>
        <row r="358">
          <cell r="B358" t="str">
            <v>505228</v>
          </cell>
          <cell r="C358" t="str">
            <v>505228 Purch Power Exp Offset - Cap Lease Depr</v>
          </cell>
          <cell r="D358">
            <v>636419.11</v>
          </cell>
        </row>
        <row r="359">
          <cell r="B359" t="str">
            <v>505229</v>
          </cell>
          <cell r="C359" t="str">
            <v>505229 Purch Power Exp Offset - Cap Lease Int</v>
          </cell>
          <cell r="D359">
            <v>-636419.11</v>
          </cell>
        </row>
        <row r="360">
          <cell r="B360" t="str">
            <v>514000</v>
          </cell>
          <cell r="C360" t="str">
            <v>514000 Broker Fees</v>
          </cell>
          <cell r="D360">
            <v>237307.29</v>
          </cell>
        </row>
        <row r="361">
          <cell r="B361" t="str">
            <v>514100</v>
          </cell>
          <cell r="C361" t="str">
            <v>514100 Purchase Broker Fees</v>
          </cell>
          <cell r="D361">
            <v>50133.8</v>
          </cell>
        </row>
        <row r="362">
          <cell r="B362" t="str">
            <v>514511</v>
          </cell>
          <cell r="C362" t="str">
            <v>514511 DSM - Prog 20/20, 10/10, Irrigation, etc</v>
          </cell>
          <cell r="D362">
            <v>4237757.42</v>
          </cell>
        </row>
        <row r="363">
          <cell r="B363" t="str">
            <v>514700</v>
          </cell>
          <cell r="C363" t="str">
            <v>514700 SB1149 Transition Adjustment Expense</v>
          </cell>
          <cell r="D363">
            <v>236696.42</v>
          </cell>
        </row>
        <row r="364">
          <cell r="B364" t="str">
            <v>546516</v>
          </cell>
          <cell r="C364" t="str">
            <v>546516 CA GHG Wholesale Obligation</v>
          </cell>
          <cell r="D364">
            <v>5099215</v>
          </cell>
        </row>
        <row r="365">
          <cell r="B365" t="str">
            <v>546520</v>
          </cell>
          <cell r="C365" t="str">
            <v>546520 Operating Reserves Expense</v>
          </cell>
          <cell r="D365">
            <v>33538698.940000001</v>
          </cell>
        </row>
        <row r="366">
          <cell r="B366" t="str">
            <v>546526</v>
          </cell>
          <cell r="C366" t="str">
            <v>546526 CA GHG Retail Obligation</v>
          </cell>
          <cell r="D366">
            <v>6883303.2199999997</v>
          </cell>
        </row>
        <row r="367">
          <cell r="B367" t="str">
            <v>546537</v>
          </cell>
          <cell r="C367" t="str">
            <v>546537 WA REC Compliance Purchases</v>
          </cell>
          <cell r="D367">
            <v>111361.5</v>
          </cell>
        </row>
        <row r="368">
          <cell r="B368" t="str">
            <v>546539</v>
          </cell>
          <cell r="C368" t="str">
            <v>546539 OR REC Compliance Purchases</v>
          </cell>
          <cell r="D368">
            <v>11950.1</v>
          </cell>
        </row>
        <row r="369">
          <cell r="B369" t="str">
            <v>546541</v>
          </cell>
          <cell r="C369" t="str">
            <v>546541 CA RPS Compliance Purchase</v>
          </cell>
          <cell r="D369">
            <v>49313.25</v>
          </cell>
        </row>
        <row r="370">
          <cell r="B370" t="str">
            <v>546545</v>
          </cell>
          <cell r="C370" t="str">
            <v>546545 RPS Compliance Purchases</v>
          </cell>
          <cell r="D370">
            <v>333650.08</v>
          </cell>
        </row>
        <row r="371">
          <cell r="B371" t="str">
            <v/>
          </cell>
          <cell r="C371" t="str">
            <v>Total Purchased Power - Other</v>
          </cell>
          <cell r="D371">
            <v>681186619.86000001</v>
          </cell>
        </row>
        <row r="372">
          <cell r="B372" t="str">
            <v/>
          </cell>
          <cell r="C372" t="str">
            <v>Total Purchased Power External</v>
          </cell>
          <cell r="D372">
            <v>726117066.83000004</v>
          </cell>
        </row>
        <row r="373">
          <cell r="B373" t="str">
            <v>505220</v>
          </cell>
          <cell r="C373" t="str">
            <v>505220 Trading Purchases Netted</v>
          </cell>
          <cell r="D373">
            <v>-668932</v>
          </cell>
        </row>
        <row r="374">
          <cell r="B374" t="str">
            <v>505223</v>
          </cell>
          <cell r="C374" t="str">
            <v>505223 Trading Purchases Netted-Estimate</v>
          </cell>
          <cell r="D374">
            <v>8230</v>
          </cell>
        </row>
        <row r="375">
          <cell r="B375" t="str">
            <v/>
          </cell>
          <cell r="C375" t="str">
            <v>Total Purchased Power Trading Purchases</v>
          </cell>
          <cell r="D375">
            <v>-660702</v>
          </cell>
        </row>
        <row r="376">
          <cell r="B376" t="str">
            <v>505221</v>
          </cell>
          <cell r="C376" t="str">
            <v>505221 Bookout Purchases Netted</v>
          </cell>
          <cell r="D376">
            <v>-134502573.00999999</v>
          </cell>
        </row>
        <row r="377">
          <cell r="B377" t="str">
            <v>505222</v>
          </cell>
          <cell r="C377" t="str">
            <v>505222 Bookout Purchases Netted-Estimate</v>
          </cell>
          <cell r="D377">
            <v>-7755918.1100000003</v>
          </cell>
        </row>
        <row r="378">
          <cell r="B378" t="str">
            <v/>
          </cell>
          <cell r="C378" t="str">
            <v>Total Purchased Power Bookout Purchases</v>
          </cell>
          <cell r="D378">
            <v>-142258491.12</v>
          </cell>
        </row>
        <row r="379">
          <cell r="B379" t="str">
            <v/>
          </cell>
          <cell r="C379" t="str">
            <v>Inter-Company Purchased Power</v>
          </cell>
        </row>
        <row r="380">
          <cell r="B380" t="str">
            <v>505931</v>
          </cell>
          <cell r="C380" t="str">
            <v>505931 I/C S-T Firm Purch Power Exp-Sierra Pac</v>
          </cell>
          <cell r="D380">
            <v>10425.33</v>
          </cell>
        </row>
        <row r="381">
          <cell r="B381" t="str">
            <v>505932</v>
          </cell>
          <cell r="C381" t="str">
            <v>505932 I/C S-T Firm Purch Power Exp-Nevada Pwr</v>
          </cell>
          <cell r="D381">
            <v>439412.56</v>
          </cell>
        </row>
        <row r="382">
          <cell r="B382" t="str">
            <v>505942</v>
          </cell>
          <cell r="C382" t="str">
            <v>505942 I/C Purchased Power Exp Est-Nevada Pwr</v>
          </cell>
          <cell r="D382">
            <v>47300</v>
          </cell>
        </row>
        <row r="383">
          <cell r="B383" t="str">
            <v/>
          </cell>
          <cell r="C383" t="str">
            <v>Total Inter-Company Purchased Power</v>
          </cell>
          <cell r="D383">
            <v>497137.89</v>
          </cell>
        </row>
        <row r="384">
          <cell r="B384" t="str">
            <v/>
          </cell>
          <cell r="C384" t="str">
            <v>Total Purchased Power</v>
          </cell>
          <cell r="D384">
            <v>583695011.60000002</v>
          </cell>
        </row>
        <row r="385">
          <cell r="B385" t="str">
            <v/>
          </cell>
          <cell r="C385" t="str">
            <v>Wheeling Expense</v>
          </cell>
        </row>
        <row r="386">
          <cell r="B386" t="str">
            <v/>
          </cell>
          <cell r="C386" t="str">
            <v>External Wheeling Expense</v>
          </cell>
        </row>
        <row r="387">
          <cell r="B387" t="str">
            <v>506010</v>
          </cell>
          <cell r="C387" t="str">
            <v>506010 Short-Term Firm Wheeling</v>
          </cell>
          <cell r="D387">
            <v>3034355.08</v>
          </cell>
        </row>
        <row r="388">
          <cell r="B388" t="str">
            <v>506020</v>
          </cell>
          <cell r="C388" t="str">
            <v>506020 Non-Firm Wheeling Expense</v>
          </cell>
          <cell r="D388">
            <v>1683934.5</v>
          </cell>
        </row>
        <row r="389">
          <cell r="B389" t="str">
            <v>506050</v>
          </cell>
          <cell r="C389" t="str">
            <v>506050 Firm Wheeling Expense</v>
          </cell>
          <cell r="D389">
            <v>127460802.15000001</v>
          </cell>
        </row>
        <row r="390">
          <cell r="B390" t="str">
            <v>506059</v>
          </cell>
          <cell r="C390" t="str">
            <v>506059 Wheeling Expense Estimate</v>
          </cell>
          <cell r="D390">
            <v>-4720529.5999999996</v>
          </cell>
        </row>
        <row r="391">
          <cell r="B391" t="str">
            <v>506801</v>
          </cell>
          <cell r="C391" t="str">
            <v>506801 EIM Wheeling Exp-GMC Transaction Charge</v>
          </cell>
          <cell r="D391">
            <v>1376904.35</v>
          </cell>
        </row>
        <row r="392">
          <cell r="B392" t="str">
            <v>506802</v>
          </cell>
          <cell r="C392" t="str">
            <v>506802 EIM Wheeling Exp - GMC Bid Segment Fee</v>
          </cell>
          <cell r="D392">
            <v>10963.06</v>
          </cell>
        </row>
        <row r="393">
          <cell r="B393" t="str">
            <v>546530</v>
          </cell>
          <cell r="C393" t="str">
            <v>546530 ISO/PX Charges</v>
          </cell>
          <cell r="D393">
            <v>741864.37</v>
          </cell>
        </row>
        <row r="394">
          <cell r="B394" t="str">
            <v/>
          </cell>
          <cell r="C394" t="str">
            <v>Total External Wheeling Expense</v>
          </cell>
          <cell r="D394">
            <v>129588293.91</v>
          </cell>
        </row>
        <row r="395">
          <cell r="B395" t="str">
            <v/>
          </cell>
          <cell r="C395" t="str">
            <v>Inter-Company Wheeling Expense</v>
          </cell>
        </row>
        <row r="396">
          <cell r="B396" t="str">
            <v>506912</v>
          </cell>
          <cell r="C396" t="str">
            <v>506912 I/C S-T Firm Wheeling Exp-Nevada Pwr</v>
          </cell>
          <cell r="D396">
            <v>913350</v>
          </cell>
        </row>
        <row r="397">
          <cell r="B397" t="str">
            <v>506921</v>
          </cell>
          <cell r="C397" t="str">
            <v>506921 I/C Non-Firm Wheeling Exp-Sierra Pac</v>
          </cell>
          <cell r="D397">
            <v>50126.3</v>
          </cell>
        </row>
        <row r="398">
          <cell r="B398" t="str">
            <v>506922</v>
          </cell>
          <cell r="C398" t="str">
            <v>506922 I/C Non-Firm Wheeling Exp-Nevada Pwr</v>
          </cell>
          <cell r="D398">
            <v>131686.51999999999</v>
          </cell>
        </row>
        <row r="399">
          <cell r="B399" t="str">
            <v>506952</v>
          </cell>
          <cell r="C399" t="str">
            <v>506952 I/C Wheeling Exp Estimate-Nevada Pwr</v>
          </cell>
          <cell r="D399">
            <v>105450</v>
          </cell>
        </row>
        <row r="400">
          <cell r="B400" t="str">
            <v/>
          </cell>
          <cell r="C400" t="str">
            <v>Total Inter-Company Wheeling Expense</v>
          </cell>
          <cell r="D400">
            <v>1200612.82</v>
          </cell>
        </row>
        <row r="401">
          <cell r="B401" t="str">
            <v/>
          </cell>
          <cell r="C401" t="str">
            <v>Total Wheeling Expense</v>
          </cell>
          <cell r="D401">
            <v>130788906.73</v>
          </cell>
        </row>
        <row r="402">
          <cell r="B402" t="str">
            <v/>
          </cell>
          <cell r="C402" t="str">
            <v>Other Transmission Activities</v>
          </cell>
        </row>
        <row r="403">
          <cell r="B403" t="str">
            <v>505961</v>
          </cell>
          <cell r="C403" t="str">
            <v>505961 Transm Imbalance Penalty Revenue-Load</v>
          </cell>
          <cell r="D403">
            <v>2.27</v>
          </cell>
        </row>
        <row r="404">
          <cell r="B404" t="str">
            <v>505967</v>
          </cell>
          <cell r="C404" t="str">
            <v>505967 Transm Unreserved Use Penalty Expense</v>
          </cell>
          <cell r="D404">
            <v>16114.43</v>
          </cell>
        </row>
        <row r="405">
          <cell r="B405" t="str">
            <v>505980</v>
          </cell>
          <cell r="C405" t="str">
            <v>505980 Transm Costs to Other TP for JO/Intercon</v>
          </cell>
          <cell r="D405">
            <v>2006178.61</v>
          </cell>
        </row>
        <row r="406">
          <cell r="B406" t="str">
            <v>505990</v>
          </cell>
          <cell r="C406" t="str">
            <v>505990 EIM T Exp-Forecasting Fee: CAISO to Pac</v>
          </cell>
          <cell r="D406">
            <v>33000</v>
          </cell>
        </row>
        <row r="407">
          <cell r="B407" t="str">
            <v/>
          </cell>
          <cell r="C407" t="str">
            <v>Total Other Transmission Activities</v>
          </cell>
          <cell r="D407">
            <v>2055295.31</v>
          </cell>
        </row>
        <row r="408">
          <cell r="B408" t="str">
            <v/>
          </cell>
          <cell r="C408" t="str">
            <v>Other Cost of Goods Sold</v>
          </cell>
        </row>
        <row r="409">
          <cell r="B409" t="str">
            <v>514950</v>
          </cell>
          <cell r="C409" t="str">
            <v>514950 M&amp;S Inventory Cost of Sales</v>
          </cell>
          <cell r="D409">
            <v>1680413.49</v>
          </cell>
        </row>
        <row r="410">
          <cell r="B410" t="str">
            <v/>
          </cell>
          <cell r="C410" t="str">
            <v>Total Other Cost of Goods Sold</v>
          </cell>
          <cell r="D410">
            <v>1680413.49</v>
          </cell>
        </row>
        <row r="411">
          <cell r="B411" t="str">
            <v/>
          </cell>
          <cell r="C411" t="str">
            <v>Total Cost of Goods Sold</v>
          </cell>
          <cell r="D411">
            <v>1750531552.9400001</v>
          </cell>
        </row>
        <row r="412">
          <cell r="B412" t="str">
            <v/>
          </cell>
          <cell r="C412" t="str">
            <v>Operations, Maintenance, Admin &amp; General</v>
          </cell>
        </row>
        <row r="413">
          <cell r="B413" t="str">
            <v/>
          </cell>
          <cell r="C413" t="str">
            <v>Salary Expense</v>
          </cell>
        </row>
        <row r="414">
          <cell r="B414" t="str">
            <v>500100</v>
          </cell>
          <cell r="C414" t="str">
            <v>500100 Regular/Ordinary Time</v>
          </cell>
          <cell r="D414">
            <v>-73637.67</v>
          </cell>
        </row>
        <row r="415">
          <cell r="B415" t="str">
            <v>500102</v>
          </cell>
          <cell r="C415" t="str">
            <v>500102 Non Union Regular/Ordinary Time</v>
          </cell>
          <cell r="D415">
            <v>183544476.59999999</v>
          </cell>
        </row>
        <row r="416">
          <cell r="B416" t="str">
            <v>500103</v>
          </cell>
          <cell r="C416" t="str">
            <v>500103 IBEW 125 Regular/Ordinary Time</v>
          </cell>
          <cell r="D416">
            <v>25642677.149999999</v>
          </cell>
        </row>
        <row r="417">
          <cell r="B417" t="str">
            <v>500104</v>
          </cell>
          <cell r="C417" t="str">
            <v>500104 IBEW 659 Regular/Ordinary Time</v>
          </cell>
          <cell r="D417">
            <v>31718172.809999999</v>
          </cell>
        </row>
        <row r="418">
          <cell r="B418" t="str">
            <v>500105</v>
          </cell>
          <cell r="C418" t="str">
            <v>500105 UWUA 197 Regular/Ordinary Time</v>
          </cell>
          <cell r="D418">
            <v>1448135.73</v>
          </cell>
        </row>
        <row r="419">
          <cell r="B419" t="str">
            <v>500108</v>
          </cell>
          <cell r="C419" t="str">
            <v>500108 UWUA 127 Regular/Ordinary Time</v>
          </cell>
          <cell r="D419">
            <v>38029223.020000003</v>
          </cell>
        </row>
        <row r="420">
          <cell r="B420" t="str">
            <v>500109</v>
          </cell>
          <cell r="C420" t="str">
            <v>500109 IBEW 57 Laramie Regular/Ordinary Time</v>
          </cell>
          <cell r="D420">
            <v>500871.96</v>
          </cell>
        </row>
        <row r="421">
          <cell r="B421" t="str">
            <v>500111</v>
          </cell>
          <cell r="C421" t="str">
            <v>500111 IBEW 57 PD Regular/Ordinary Time</v>
          </cell>
          <cell r="D421">
            <v>78888662.680000007</v>
          </cell>
        </row>
        <row r="422">
          <cell r="B422" t="str">
            <v>500112</v>
          </cell>
          <cell r="C422" t="str">
            <v>500112 IBEW 57 PS Regular/Ordinary Time</v>
          </cell>
          <cell r="D422">
            <v>34975891.149999999</v>
          </cell>
        </row>
        <row r="423">
          <cell r="B423" t="str">
            <v>500113</v>
          </cell>
          <cell r="C423" t="str">
            <v>500113 CCCP Non Exempt Regular/Ordinary Time</v>
          </cell>
          <cell r="D423">
            <v>7116257.6299999999</v>
          </cell>
        </row>
        <row r="424">
          <cell r="B424" t="str">
            <v>500115</v>
          </cell>
          <cell r="C424" t="str">
            <v>500115 IBEW 57 Combustion Turbine Reg/Ord Time</v>
          </cell>
          <cell r="D424">
            <v>3000688.76</v>
          </cell>
        </row>
        <row r="425">
          <cell r="B425" t="str">
            <v>500118</v>
          </cell>
          <cell r="C425" t="str">
            <v>500118 Non Exempt Regular/Ordinary Time</v>
          </cell>
          <cell r="D425">
            <v>11467785.43</v>
          </cell>
        </row>
        <row r="426">
          <cell r="B426" t="str">
            <v/>
          </cell>
          <cell r="C426" t="str">
            <v>Subtotal Regular/Ordinary Time</v>
          </cell>
          <cell r="D426">
            <v>416259205.25</v>
          </cell>
        </row>
        <row r="427">
          <cell r="B427" t="str">
            <v>500202</v>
          </cell>
          <cell r="C427" t="str">
            <v>500202 Non Union Overtime Pay</v>
          </cell>
          <cell r="D427">
            <v>1403177.7</v>
          </cell>
        </row>
        <row r="428">
          <cell r="B428" t="str">
            <v>500203</v>
          </cell>
          <cell r="C428" t="str">
            <v>500203 IBEW 125 Overtime Pay</v>
          </cell>
          <cell r="D428">
            <v>8833108.5299999993</v>
          </cell>
        </row>
        <row r="429">
          <cell r="B429" t="str">
            <v>500204</v>
          </cell>
          <cell r="C429" t="str">
            <v>500204 IBEW 659 Overtime Pay</v>
          </cell>
          <cell r="D429">
            <v>9256580.5199999996</v>
          </cell>
        </row>
        <row r="430">
          <cell r="B430" t="str">
            <v>500205</v>
          </cell>
          <cell r="C430" t="str">
            <v>500205 UWUA 197 Overtime Pay</v>
          </cell>
          <cell r="D430">
            <v>469645.33</v>
          </cell>
        </row>
        <row r="431">
          <cell r="B431" t="str">
            <v>500208</v>
          </cell>
          <cell r="C431" t="str">
            <v>500208 UWUA 127 Overtime Pay</v>
          </cell>
          <cell r="D431">
            <v>9798033.4600000009</v>
          </cell>
        </row>
        <row r="432">
          <cell r="B432" t="str">
            <v>500209</v>
          </cell>
          <cell r="C432" t="str">
            <v>500209 IBEW 57 Laramie Overtime Pay</v>
          </cell>
          <cell r="D432">
            <v>102376.32000000001</v>
          </cell>
        </row>
        <row r="433">
          <cell r="B433" t="str">
            <v>500211</v>
          </cell>
          <cell r="C433" t="str">
            <v>500211 IBEW 57 PD Overtime Pay</v>
          </cell>
          <cell r="D433">
            <v>14091141.49</v>
          </cell>
        </row>
        <row r="434">
          <cell r="B434" t="str">
            <v>500212</v>
          </cell>
          <cell r="C434" t="str">
            <v>500212 IBEW 57 PS Overtime Pay</v>
          </cell>
          <cell r="D434">
            <v>6156214.5099999998</v>
          </cell>
        </row>
        <row r="435">
          <cell r="B435" t="str">
            <v>500213</v>
          </cell>
          <cell r="C435" t="str">
            <v>500213 CCCP Non Exempt Overtime Pay</v>
          </cell>
          <cell r="D435">
            <v>654089.13</v>
          </cell>
        </row>
        <row r="436">
          <cell r="B436" t="str">
            <v>500215</v>
          </cell>
          <cell r="C436" t="str">
            <v>500215 IBEW 57 Combustion Turbine Overtime Pay</v>
          </cell>
          <cell r="D436">
            <v>1066044.3799999999</v>
          </cell>
        </row>
        <row r="437">
          <cell r="B437" t="str">
            <v>500218</v>
          </cell>
          <cell r="C437" t="str">
            <v>500218 Non Exempt Overtime Pay</v>
          </cell>
          <cell r="D437">
            <v>552063.85</v>
          </cell>
        </row>
        <row r="438">
          <cell r="B438" t="str">
            <v>500250</v>
          </cell>
          <cell r="C438" t="str">
            <v>500250 Overtime Meals</v>
          </cell>
          <cell r="D438">
            <v>1066683.2</v>
          </cell>
        </row>
        <row r="439">
          <cell r="B439" t="str">
            <v/>
          </cell>
          <cell r="C439" t="str">
            <v>Subtotal Overtime Pay</v>
          </cell>
          <cell r="D439">
            <v>53449158.420000002</v>
          </cell>
        </row>
        <row r="440">
          <cell r="B440" t="str">
            <v>500302</v>
          </cell>
          <cell r="C440" t="str">
            <v>500302 Non Union Premium Pay</v>
          </cell>
          <cell r="D440">
            <v>2174.08</v>
          </cell>
        </row>
        <row r="441">
          <cell r="B441" t="str">
            <v>500303</v>
          </cell>
          <cell r="C441" t="str">
            <v>500303 IBEW 125 Premium Pay</v>
          </cell>
          <cell r="D441">
            <v>127954.65</v>
          </cell>
        </row>
        <row r="442">
          <cell r="B442" t="str">
            <v>500304</v>
          </cell>
          <cell r="C442" t="str">
            <v>500304 IBEW 659 Premium Pay</v>
          </cell>
          <cell r="D442">
            <v>631844.86</v>
          </cell>
        </row>
        <row r="443">
          <cell r="B443" t="str">
            <v>500305</v>
          </cell>
          <cell r="C443" t="str">
            <v>500305 UWUA 197 Premium Pay</v>
          </cell>
          <cell r="D443">
            <v>36298.93</v>
          </cell>
        </row>
        <row r="444">
          <cell r="B444" t="str">
            <v>500308</v>
          </cell>
          <cell r="C444" t="str">
            <v>500308 UWUA 127 Wyo Premium Pay</v>
          </cell>
          <cell r="D444">
            <v>187131.34</v>
          </cell>
        </row>
        <row r="445">
          <cell r="B445" t="str">
            <v>500309</v>
          </cell>
          <cell r="C445" t="str">
            <v>500309 IBEW 57 Laramie Premium Pay</v>
          </cell>
          <cell r="D445">
            <v>31754.32</v>
          </cell>
        </row>
        <row r="446">
          <cell r="B446" t="str">
            <v>500311</v>
          </cell>
          <cell r="C446" t="str">
            <v>500311 IBEW 57 PD Premium Pay</v>
          </cell>
          <cell r="D446">
            <v>4397767.24</v>
          </cell>
        </row>
        <row r="447">
          <cell r="B447" t="str">
            <v>500312</v>
          </cell>
          <cell r="C447" t="str">
            <v>500312 IBEW 57 PS Premium Pay</v>
          </cell>
          <cell r="D447">
            <v>1727314.55</v>
          </cell>
        </row>
        <row r="448">
          <cell r="B448" t="str">
            <v>500313</v>
          </cell>
          <cell r="C448" t="str">
            <v>500313 CCCP Non Exempt Premium Pay</v>
          </cell>
          <cell r="D448">
            <v>38789.79</v>
          </cell>
        </row>
        <row r="449">
          <cell r="B449" t="str">
            <v>500315</v>
          </cell>
          <cell r="C449" t="str">
            <v>500315 IBEW 57 Combustion Turbine  Premium Pay</v>
          </cell>
          <cell r="D449">
            <v>81809.100000000006</v>
          </cell>
        </row>
        <row r="450">
          <cell r="B450" t="str">
            <v>500318</v>
          </cell>
          <cell r="C450" t="str">
            <v>500318 Non Exempt Premium Pay</v>
          </cell>
          <cell r="D450">
            <v>20544.36</v>
          </cell>
        </row>
        <row r="451">
          <cell r="B451" t="str">
            <v/>
          </cell>
          <cell r="C451" t="str">
            <v>Subtotal Premium Pay</v>
          </cell>
          <cell r="D451">
            <v>7283383.2199999997</v>
          </cell>
        </row>
        <row r="452">
          <cell r="B452" t="str">
            <v>500400</v>
          </cell>
          <cell r="C452" t="str">
            <v>500400 Bonuses and Awards</v>
          </cell>
          <cell r="D452">
            <v>4092565.45</v>
          </cell>
        </row>
        <row r="453">
          <cell r="B453" t="str">
            <v/>
          </cell>
          <cell r="C453" t="str">
            <v>Subtotal Bonus and Awards</v>
          </cell>
          <cell r="D453">
            <v>4092565.45</v>
          </cell>
        </row>
        <row r="454">
          <cell r="B454" t="str">
            <v>500410</v>
          </cell>
          <cell r="C454" t="str">
            <v>500410 Annual Incentive Plan</v>
          </cell>
          <cell r="D454">
            <v>27820841.09</v>
          </cell>
        </row>
        <row r="455">
          <cell r="B455" t="str">
            <v/>
          </cell>
          <cell r="C455" t="str">
            <v>Subtotal Annual Incentive Plan</v>
          </cell>
          <cell r="D455">
            <v>27820841.09</v>
          </cell>
        </row>
        <row r="456">
          <cell r="B456" t="str">
            <v>500110</v>
          </cell>
          <cell r="C456" t="str">
            <v>500110 Secondary Labor Adjustment</v>
          </cell>
          <cell r="D456">
            <v>600424.31999999995</v>
          </cell>
        </row>
        <row r="457">
          <cell r="B457" t="str">
            <v>500600</v>
          </cell>
          <cell r="C457" t="str">
            <v>500600 Temporary/Contract Labor</v>
          </cell>
          <cell r="D457">
            <v>-1421</v>
          </cell>
        </row>
        <row r="458">
          <cell r="B458" t="str">
            <v>500700</v>
          </cell>
          <cell r="C458" t="str">
            <v>500700 Severance Pay</v>
          </cell>
          <cell r="D458">
            <v>1080172.1100000001</v>
          </cell>
        </row>
        <row r="459">
          <cell r="B459" t="str">
            <v>500850</v>
          </cell>
          <cell r="C459" t="str">
            <v>500850 Other Salary/Labor Costs</v>
          </cell>
          <cell r="D459">
            <v>3733135.29</v>
          </cell>
        </row>
        <row r="460">
          <cell r="B460" t="str">
            <v>500851</v>
          </cell>
          <cell r="C460" t="str">
            <v>500851 LTIP Expense</v>
          </cell>
          <cell r="D460">
            <v>2814213.32</v>
          </cell>
        </row>
        <row r="461">
          <cell r="B461" t="str">
            <v>500855</v>
          </cell>
          <cell r="C461" t="str">
            <v>500855 Unused Leave Payout</v>
          </cell>
          <cell r="D461">
            <v>2585478.6800000002</v>
          </cell>
        </row>
        <row r="462">
          <cell r="B462" t="str">
            <v>500950</v>
          </cell>
          <cell r="C462" t="str">
            <v>500950 Labor Cap Surcharge - Reclass to Ovrhds</v>
          </cell>
          <cell r="D462">
            <v>-11387722.92</v>
          </cell>
        </row>
        <row r="463">
          <cell r="B463" t="str">
            <v>501096</v>
          </cell>
          <cell r="C463" t="str">
            <v>501096 Thermal Staff JO Cutback</v>
          </cell>
          <cell r="D463">
            <v>-1364591.1</v>
          </cell>
        </row>
        <row r="464">
          <cell r="B464" t="str">
            <v>501097</v>
          </cell>
          <cell r="C464" t="str">
            <v>501097 Assessments JO Cutback</v>
          </cell>
          <cell r="D464">
            <v>-44041.62</v>
          </cell>
        </row>
        <row r="465">
          <cell r="B465" t="str">
            <v>545170</v>
          </cell>
          <cell r="C465" t="str">
            <v>545170 Capital Surcharge Manual Adjustments</v>
          </cell>
          <cell r="D465">
            <v>-7046299.54</v>
          </cell>
        </row>
        <row r="466">
          <cell r="B466" t="str">
            <v>554805</v>
          </cell>
          <cell r="C466" t="str">
            <v>554805 PP Labor Pool Clearing - Debit</v>
          </cell>
          <cell r="D466">
            <v>-12520.93</v>
          </cell>
        </row>
        <row r="467">
          <cell r="B467" t="str">
            <v>554807</v>
          </cell>
          <cell r="C467" t="str">
            <v>554807 RMP Labor Pool Clearing - Debit</v>
          </cell>
          <cell r="D467">
            <v>2454006.88</v>
          </cell>
        </row>
        <row r="468">
          <cell r="B468" t="str">
            <v>554815</v>
          </cell>
          <cell r="C468" t="str">
            <v>554815 Stores Expense Distributed - RMP</v>
          </cell>
          <cell r="D468">
            <v>-6608506.6900000004</v>
          </cell>
        </row>
        <row r="469">
          <cell r="B469" t="str">
            <v>554816</v>
          </cell>
          <cell r="C469" t="str">
            <v>554816 Stores Expense Distributed - PP</v>
          </cell>
          <cell r="D469">
            <v>-3618994.18</v>
          </cell>
        </row>
        <row r="470">
          <cell r="B470" t="str">
            <v>554821</v>
          </cell>
          <cell r="C470" t="str">
            <v>554821 Contractor Support Distributed - RMP</v>
          </cell>
          <cell r="D470">
            <v>-1621023.51</v>
          </cell>
        </row>
        <row r="471">
          <cell r="B471" t="str">
            <v>554829</v>
          </cell>
          <cell r="C471" t="str">
            <v>554829 Mining - Salary Expense - Credit</v>
          </cell>
          <cell r="D471">
            <v>-1783992.03</v>
          </cell>
        </row>
        <row r="472">
          <cell r="B472" t="str">
            <v>699000</v>
          </cell>
          <cell r="C472" t="str">
            <v>699000 Labor FI/CO Recon</v>
          </cell>
          <cell r="D472">
            <v>-240404.9</v>
          </cell>
        </row>
        <row r="473">
          <cell r="B473" t="str">
            <v>701010</v>
          </cell>
          <cell r="C473" t="str">
            <v>701010 Labor Costs Settled to Capital</v>
          </cell>
          <cell r="D473">
            <v>-185837165.09</v>
          </cell>
        </row>
        <row r="474">
          <cell r="B474" t="str">
            <v>701075</v>
          </cell>
          <cell r="C474" t="str">
            <v>701075 Settled to Capital -  Surcharges</v>
          </cell>
          <cell r="D474">
            <v>-66410224.909999996</v>
          </cell>
        </row>
        <row r="475">
          <cell r="B475" t="str">
            <v/>
          </cell>
          <cell r="C475" t="str">
            <v>Subtotal Other Salary Expense</v>
          </cell>
          <cell r="D475">
            <v>-272709477.81999999</v>
          </cell>
        </row>
        <row r="476">
          <cell r="B476" t="str">
            <v/>
          </cell>
          <cell r="C476" t="str">
            <v>Total Salary Expense</v>
          </cell>
          <cell r="D476">
            <v>236195675.61000001</v>
          </cell>
        </row>
        <row r="477">
          <cell r="B477" t="str">
            <v/>
          </cell>
          <cell r="C477" t="str">
            <v>Salary Overhead/Benefits</v>
          </cell>
        </row>
        <row r="478">
          <cell r="B478" t="str">
            <v>501125</v>
          </cell>
          <cell r="C478" t="str">
            <v>501125 Medical</v>
          </cell>
          <cell r="D478">
            <v>26287174.710000001</v>
          </cell>
        </row>
        <row r="479">
          <cell r="B479" t="str">
            <v>501126</v>
          </cell>
          <cell r="C479" t="str">
            <v>501126 IBEW Medical</v>
          </cell>
          <cell r="D479">
            <v>24079167.059999999</v>
          </cell>
        </row>
        <row r="480">
          <cell r="B480" t="str">
            <v>501175</v>
          </cell>
          <cell r="C480" t="str">
            <v>501175 Dental</v>
          </cell>
          <cell r="D480">
            <v>3501276.23</v>
          </cell>
        </row>
        <row r="481">
          <cell r="B481" t="str">
            <v>501176</v>
          </cell>
          <cell r="C481" t="str">
            <v>501176 IBEW Dental</v>
          </cell>
          <cell r="D481">
            <v>14533.11</v>
          </cell>
        </row>
        <row r="482">
          <cell r="B482" t="str">
            <v>501200</v>
          </cell>
          <cell r="C482" t="str">
            <v>501200 Vision</v>
          </cell>
          <cell r="D482">
            <v>370174.36</v>
          </cell>
        </row>
        <row r="483">
          <cell r="B483" t="str">
            <v>501206</v>
          </cell>
          <cell r="C483" t="str">
            <v>501206 IBEW Vision</v>
          </cell>
          <cell r="D483">
            <v>-7723.43</v>
          </cell>
        </row>
        <row r="484">
          <cell r="B484" t="str">
            <v>501225</v>
          </cell>
          <cell r="C484" t="str">
            <v>501225 Life</v>
          </cell>
          <cell r="D484">
            <v>579708.51</v>
          </cell>
        </row>
        <row r="485">
          <cell r="B485" t="str">
            <v>501226</v>
          </cell>
          <cell r="C485" t="str">
            <v>501226 IBEW Life</v>
          </cell>
          <cell r="D485">
            <v>209728.01</v>
          </cell>
        </row>
        <row r="486">
          <cell r="B486" t="str">
            <v/>
          </cell>
          <cell r="C486" t="str">
            <v>Subtotal Medical/Dental/Vision/Life</v>
          </cell>
          <cell r="D486">
            <v>55034038.560000002</v>
          </cell>
        </row>
        <row r="487">
          <cell r="B487" t="str">
            <v>501250</v>
          </cell>
          <cell r="C487" t="str">
            <v>501250 401(k) Expense</v>
          </cell>
          <cell r="D487">
            <v>26150917.129999999</v>
          </cell>
        </row>
        <row r="488">
          <cell r="B488" t="str">
            <v>501251</v>
          </cell>
          <cell r="C488" t="str">
            <v>501251 401(k) Administration</v>
          </cell>
          <cell r="D488">
            <v>6805.71</v>
          </cell>
        </row>
        <row r="489">
          <cell r="B489" t="str">
            <v>501252</v>
          </cell>
          <cell r="C489" t="str">
            <v>501252 401(k) - Enhanced Fixed</v>
          </cell>
          <cell r="D489">
            <v>6210905.21</v>
          </cell>
        </row>
        <row r="490">
          <cell r="B490" t="str">
            <v/>
          </cell>
          <cell r="C490" t="str">
            <v>Subtotal 401(k) Expense</v>
          </cell>
          <cell r="D490">
            <v>32368628.050000001</v>
          </cell>
        </row>
        <row r="491">
          <cell r="B491" t="str">
            <v>501100</v>
          </cell>
          <cell r="C491" t="str">
            <v>501100 Pension Expense</v>
          </cell>
          <cell r="D491">
            <v>-1116428.1299999999</v>
          </cell>
        </row>
        <row r="492">
          <cell r="B492" t="str">
            <v>501102</v>
          </cell>
          <cell r="C492" t="str">
            <v>501102 Pension Administration</v>
          </cell>
          <cell r="D492">
            <v>540602.93999999994</v>
          </cell>
        </row>
        <row r="493">
          <cell r="B493" t="str">
            <v>501104</v>
          </cell>
          <cell r="C493" t="str">
            <v>501104 Pension Expense - Non Union</v>
          </cell>
          <cell r="D493">
            <v>11127875.779999999</v>
          </cell>
        </row>
        <row r="494">
          <cell r="B494" t="str">
            <v>501105</v>
          </cell>
          <cell r="C494" t="str">
            <v>501105 Pension Expense - IBEW 57</v>
          </cell>
          <cell r="D494">
            <v>7626331.96</v>
          </cell>
        </row>
        <row r="495">
          <cell r="B495" t="str">
            <v>501107</v>
          </cell>
          <cell r="C495" t="str">
            <v>501107 Pension Expense - Local 125</v>
          </cell>
          <cell r="D495">
            <v>457630.21</v>
          </cell>
        </row>
        <row r="496">
          <cell r="B496" t="str">
            <v>501108</v>
          </cell>
          <cell r="C496" t="str">
            <v>501108 Pension Expense - Local 127</v>
          </cell>
          <cell r="D496">
            <v>870915.65</v>
          </cell>
        </row>
        <row r="497">
          <cell r="B497" t="str">
            <v>501109</v>
          </cell>
          <cell r="C497" t="str">
            <v>501109 Pension Expense - Local 197</v>
          </cell>
          <cell r="D497">
            <v>-2570.04</v>
          </cell>
        </row>
        <row r="498">
          <cell r="B498" t="str">
            <v>501111</v>
          </cell>
          <cell r="C498" t="str">
            <v>501111 Pension Expense - Local 659</v>
          </cell>
          <cell r="D498">
            <v>1087748.01</v>
          </cell>
        </row>
        <row r="499">
          <cell r="B499" t="str">
            <v/>
          </cell>
          <cell r="C499" t="str">
            <v>Subtotal Pension Expense</v>
          </cell>
          <cell r="D499">
            <v>20592106.379999999</v>
          </cell>
        </row>
        <row r="500">
          <cell r="B500" t="str">
            <v>501149</v>
          </cell>
          <cell r="C500" t="str">
            <v>501149 PostRetire Expense - Wstrn Coal Carriers</v>
          </cell>
          <cell r="D500">
            <v>-179415.1</v>
          </cell>
        </row>
        <row r="501">
          <cell r="B501" t="str">
            <v>501150</v>
          </cell>
          <cell r="C501" t="str">
            <v>501150 Post Retirement</v>
          </cell>
          <cell r="D501">
            <v>886736.01</v>
          </cell>
        </row>
        <row r="502">
          <cell r="B502" t="str">
            <v>501153</v>
          </cell>
          <cell r="C502" t="str">
            <v>501153 PostRetire Expense - Non Union</v>
          </cell>
          <cell r="D502">
            <v>-5665317.4900000002</v>
          </cell>
        </row>
        <row r="503">
          <cell r="B503" t="str">
            <v>501154</v>
          </cell>
          <cell r="C503" t="str">
            <v>501154 PostRetire Expense - Local 57</v>
          </cell>
          <cell r="D503">
            <v>-2232489.5099999998</v>
          </cell>
        </row>
        <row r="504">
          <cell r="B504" t="str">
            <v>501155</v>
          </cell>
          <cell r="C504" t="str">
            <v>501155 PostRetire Expense - Local 125</v>
          </cell>
          <cell r="D504">
            <v>-463396.24</v>
          </cell>
        </row>
        <row r="505">
          <cell r="B505" t="str">
            <v>501156</v>
          </cell>
          <cell r="C505" t="str">
            <v>501156 PostRetire Expense - Local 127</v>
          </cell>
          <cell r="D505">
            <v>-526679.06999999995</v>
          </cell>
        </row>
        <row r="506">
          <cell r="B506" t="str">
            <v>501157</v>
          </cell>
          <cell r="C506" t="str">
            <v>501157 PostRetire Expense - Local 197</v>
          </cell>
          <cell r="D506">
            <v>-13524</v>
          </cell>
        </row>
        <row r="507">
          <cell r="B507" t="str">
            <v>501158</v>
          </cell>
          <cell r="C507" t="str">
            <v>501158 PostRetire Expense - Local 659</v>
          </cell>
          <cell r="D507">
            <v>-592533.94999999995</v>
          </cell>
        </row>
        <row r="508">
          <cell r="B508" t="str">
            <v/>
          </cell>
          <cell r="C508" t="str">
            <v>Subtotal Post Retirement Expense</v>
          </cell>
          <cell r="D508">
            <v>-8786619.3499999996</v>
          </cell>
        </row>
        <row r="509">
          <cell r="B509" t="str">
            <v>501115</v>
          </cell>
          <cell r="C509" t="str">
            <v>501115 SERP Plan</v>
          </cell>
          <cell r="D509">
            <v>3337888.14</v>
          </cell>
        </row>
        <row r="510">
          <cell r="B510" t="str">
            <v/>
          </cell>
          <cell r="C510" t="str">
            <v>Subtotal SERP Expense</v>
          </cell>
          <cell r="D510">
            <v>3337888.14</v>
          </cell>
        </row>
        <row r="511">
          <cell r="B511" t="str">
            <v>501160</v>
          </cell>
          <cell r="C511" t="str">
            <v>501160 Post Employment Benefits (FAS 112)</v>
          </cell>
          <cell r="D511">
            <v>5957249.9699999997</v>
          </cell>
        </row>
        <row r="512">
          <cell r="B512" t="str">
            <v/>
          </cell>
          <cell r="C512" t="str">
            <v>Subtotal Post Employment Expense</v>
          </cell>
          <cell r="D512">
            <v>5957249.9699999997</v>
          </cell>
        </row>
        <row r="513">
          <cell r="B513" t="str">
            <v>501275</v>
          </cell>
          <cell r="C513" t="str">
            <v>501275 Accidental Death &amp; Dismemberment</v>
          </cell>
          <cell r="D513">
            <v>30930.51</v>
          </cell>
        </row>
        <row r="514">
          <cell r="B514" t="str">
            <v>501300</v>
          </cell>
          <cell r="C514" t="str">
            <v>501300 Long-Term Disability</v>
          </cell>
          <cell r="D514">
            <v>2780480.55</v>
          </cell>
        </row>
        <row r="515">
          <cell r="B515" t="str">
            <v>501650</v>
          </cell>
          <cell r="C515" t="str">
            <v>501650 Worker's Compensation</v>
          </cell>
          <cell r="D515">
            <v>1727522.25</v>
          </cell>
        </row>
        <row r="516">
          <cell r="B516" t="str">
            <v>501670</v>
          </cell>
          <cell r="C516" t="str">
            <v>501670 Black Lung Benefit</v>
          </cell>
          <cell r="D516">
            <v>2114.67</v>
          </cell>
        </row>
        <row r="517">
          <cell r="B517" t="str">
            <v/>
          </cell>
          <cell r="C517" t="str">
            <v>Subtotal WC &amp; Disability Expense</v>
          </cell>
          <cell r="D517">
            <v>4541047.9800000004</v>
          </cell>
        </row>
        <row r="518">
          <cell r="B518" t="str">
            <v>580500</v>
          </cell>
          <cell r="C518" t="str">
            <v>580500 Payroll Tax Expense</v>
          </cell>
          <cell r="D518">
            <v>35723111.789999999</v>
          </cell>
        </row>
        <row r="519">
          <cell r="B519" t="str">
            <v>580700</v>
          </cell>
          <cell r="C519" t="str">
            <v>580700 Payroll Tax Expense-Unemployment</v>
          </cell>
          <cell r="D519">
            <v>3016869.26</v>
          </cell>
        </row>
        <row r="520">
          <cell r="B520" t="str">
            <v/>
          </cell>
          <cell r="C520" t="str">
            <v>Subtotal Payroll Tax Expense</v>
          </cell>
          <cell r="D520">
            <v>38739981.049999997</v>
          </cell>
        </row>
        <row r="521">
          <cell r="B521" t="str">
            <v>500515</v>
          </cell>
          <cell r="C521" t="str">
            <v>500515 Unused Leave Accrual - IBEW 57</v>
          </cell>
          <cell r="D521">
            <v>-144409.59</v>
          </cell>
        </row>
        <row r="522">
          <cell r="B522" t="str">
            <v>500516</v>
          </cell>
          <cell r="C522" t="str">
            <v>500516 Unused Leave Accrual - Non Union</v>
          </cell>
          <cell r="D522">
            <v>-236864.97</v>
          </cell>
        </row>
        <row r="523">
          <cell r="B523" t="str">
            <v>500517</v>
          </cell>
          <cell r="C523" t="str">
            <v>500517 Unused Leave Accrual - Local 125</v>
          </cell>
          <cell r="D523">
            <v>61756.01</v>
          </cell>
        </row>
        <row r="524">
          <cell r="B524" t="str">
            <v>500518</v>
          </cell>
          <cell r="C524" t="str">
            <v>500518 Unused Leave Accrual - Local 127</v>
          </cell>
          <cell r="D524">
            <v>-43817.74</v>
          </cell>
        </row>
        <row r="525">
          <cell r="B525" t="str">
            <v>500519</v>
          </cell>
          <cell r="C525" t="str">
            <v>500519 Unused Leave Accrual - Local 197</v>
          </cell>
          <cell r="D525">
            <v>-500</v>
          </cell>
        </row>
        <row r="526">
          <cell r="B526" t="str">
            <v>500520</v>
          </cell>
          <cell r="C526" t="str">
            <v>500520 Unused Leave Accrual - Local 659</v>
          </cell>
          <cell r="D526">
            <v>10176.07</v>
          </cell>
        </row>
        <row r="527">
          <cell r="B527" t="str">
            <v/>
          </cell>
          <cell r="C527" t="str">
            <v>Subtotal Unused Leave Expense</v>
          </cell>
          <cell r="D527">
            <v>-353660.22</v>
          </cell>
        </row>
        <row r="528">
          <cell r="B528" t="str">
            <v>501093</v>
          </cell>
          <cell r="C528" t="str">
            <v>501093 Hunter Common JO Cutback</v>
          </cell>
          <cell r="D528">
            <v>232.87</v>
          </cell>
        </row>
        <row r="529">
          <cell r="B529" t="str">
            <v>501325</v>
          </cell>
          <cell r="C529" t="str">
            <v>501325 Physical Exams</v>
          </cell>
          <cell r="D529">
            <v>58791.26</v>
          </cell>
        </row>
        <row r="530">
          <cell r="B530" t="str">
            <v>502300</v>
          </cell>
          <cell r="C530" t="str">
            <v>502300 Education Assist</v>
          </cell>
          <cell r="D530">
            <v>105791.38</v>
          </cell>
        </row>
        <row r="531">
          <cell r="B531" t="str">
            <v>502900</v>
          </cell>
          <cell r="C531" t="str">
            <v>502900 Other Salary Overhead Costs</v>
          </cell>
          <cell r="D531">
            <v>1343471.27</v>
          </cell>
        </row>
        <row r="532">
          <cell r="B532" t="str">
            <v>580899</v>
          </cell>
          <cell r="C532" t="str">
            <v>580899 Mining - Salary OH/Benefits - Credit</v>
          </cell>
          <cell r="D532">
            <v>-375506.85</v>
          </cell>
        </row>
        <row r="533">
          <cell r="B533" t="str">
            <v>699005</v>
          </cell>
          <cell r="C533" t="str">
            <v>699005 Benefits FI/CO Recon</v>
          </cell>
          <cell r="D533">
            <v>-14554.75</v>
          </cell>
        </row>
        <row r="534">
          <cell r="B534" t="str">
            <v/>
          </cell>
          <cell r="C534" t="str">
            <v>Subtotal Other Benefits Expense</v>
          </cell>
          <cell r="D534">
            <v>1118225.18</v>
          </cell>
        </row>
        <row r="535">
          <cell r="B535" t="str">
            <v/>
          </cell>
          <cell r="C535" t="str">
            <v>Total Salary Overhead/Benefits</v>
          </cell>
          <cell r="D535">
            <v>152548885.74000001</v>
          </cell>
        </row>
        <row r="536">
          <cell r="B536" t="str">
            <v/>
          </cell>
          <cell r="C536" t="str">
            <v>Employee Expenses</v>
          </cell>
        </row>
        <row r="537">
          <cell r="B537" t="str">
            <v>503100</v>
          </cell>
          <cell r="C537" t="str">
            <v>503100 Airfare</v>
          </cell>
          <cell r="D537">
            <v>1331529.3700000001</v>
          </cell>
        </row>
        <row r="538">
          <cell r="B538" t="str">
            <v>503105</v>
          </cell>
          <cell r="C538" t="str">
            <v>503105 Corporate Aircraft Costs</v>
          </cell>
          <cell r="D538">
            <v>168332.69</v>
          </cell>
        </row>
        <row r="539">
          <cell r="B539" t="str">
            <v>503108</v>
          </cell>
          <cell r="C539" t="str">
            <v>503108 Corporate Aircraft Costs - (426.5)</v>
          </cell>
          <cell r="D539">
            <v>15344.15</v>
          </cell>
        </row>
        <row r="540">
          <cell r="B540" t="str">
            <v>503109</v>
          </cell>
          <cell r="C540" t="str">
            <v>503109 Corporate Aircraft Expense Allocation</v>
          </cell>
          <cell r="D540">
            <v>-28740.22</v>
          </cell>
        </row>
        <row r="541">
          <cell r="B541" t="str">
            <v>503110</v>
          </cell>
          <cell r="C541" t="str">
            <v>503110 Lodging</v>
          </cell>
          <cell r="D541">
            <v>2687634.02</v>
          </cell>
        </row>
        <row r="542">
          <cell r="B542" t="str">
            <v>503111</v>
          </cell>
          <cell r="C542" t="str">
            <v>503111 Off-Site Facility Rentals</v>
          </cell>
          <cell r="D542">
            <v>34084.25</v>
          </cell>
        </row>
        <row r="543">
          <cell r="B543" t="str">
            <v>503115</v>
          </cell>
          <cell r="C543" t="str">
            <v>503115 On-Site Meals &amp; Refreshments</v>
          </cell>
          <cell r="D543">
            <v>447069.62</v>
          </cell>
        </row>
        <row r="544">
          <cell r="B544" t="str">
            <v>503120</v>
          </cell>
          <cell r="C544" t="str">
            <v>503120 Meals &amp; Entertainment</v>
          </cell>
          <cell r="D544">
            <v>786425.61</v>
          </cell>
        </row>
        <row r="545">
          <cell r="B545" t="str">
            <v>503125</v>
          </cell>
          <cell r="C545" t="str">
            <v>503125 Vehicle Rental and Expense</v>
          </cell>
          <cell r="D545">
            <v>259546.92</v>
          </cell>
        </row>
        <row r="546">
          <cell r="B546" t="str">
            <v>503130</v>
          </cell>
          <cell r="C546" t="str">
            <v>503130 Other Ground Transportation - Commercial</v>
          </cell>
          <cell r="D546">
            <v>58978.57</v>
          </cell>
        </row>
        <row r="547">
          <cell r="B547" t="str">
            <v>503135</v>
          </cell>
          <cell r="C547" t="str">
            <v>503135 Auto Expense/Parking/Mileage</v>
          </cell>
          <cell r="D547">
            <v>879358.31</v>
          </cell>
        </row>
        <row r="548">
          <cell r="B548" t="str">
            <v>503140</v>
          </cell>
          <cell r="C548" t="str">
            <v>503140 Cellular Telephone Expense</v>
          </cell>
          <cell r="D548">
            <v>1307737.29</v>
          </cell>
        </row>
        <row r="549">
          <cell r="B549" t="str">
            <v>503150</v>
          </cell>
          <cell r="C549" t="str">
            <v>503150 Training</v>
          </cell>
          <cell r="D549">
            <v>468753.93</v>
          </cell>
        </row>
        <row r="550">
          <cell r="B550" t="str">
            <v>503160</v>
          </cell>
          <cell r="C550" t="str">
            <v>503160 Registration Fees</v>
          </cell>
          <cell r="D550">
            <v>230687.74</v>
          </cell>
        </row>
        <row r="551">
          <cell r="B551" t="str">
            <v>503170</v>
          </cell>
          <cell r="C551" t="str">
            <v>503170 Dues &amp; Licenses</v>
          </cell>
          <cell r="D551">
            <v>351444.43</v>
          </cell>
        </row>
        <row r="552">
          <cell r="B552" t="str">
            <v>503185</v>
          </cell>
          <cell r="C552" t="str">
            <v>503185 Travel Per Diem</v>
          </cell>
          <cell r="D552">
            <v>461883.32</v>
          </cell>
        </row>
        <row r="553">
          <cell r="B553" t="str">
            <v>503370</v>
          </cell>
          <cell r="C553" t="str">
            <v>503370 Books &amp; Subscriptions</v>
          </cell>
          <cell r="D553">
            <v>189294.06</v>
          </cell>
        </row>
        <row r="554">
          <cell r="B554" t="str">
            <v>503400</v>
          </cell>
          <cell r="C554" t="str">
            <v>503400 Other Employee Related Expenses</v>
          </cell>
          <cell r="D554">
            <v>1057022.03</v>
          </cell>
        </row>
        <row r="555">
          <cell r="B555" t="str">
            <v>503420</v>
          </cell>
          <cell r="C555" t="str">
            <v>503420 Related Party Employee Expense Reimb</v>
          </cell>
          <cell r="D555">
            <v>-4464.97</v>
          </cell>
        </row>
        <row r="556">
          <cell r="B556" t="str">
            <v>503950</v>
          </cell>
          <cell r="C556" t="str">
            <v>503950 Emp Exp Cap Srchrg - Reclass to Ovrhds</v>
          </cell>
          <cell r="D556">
            <v>-180431.69</v>
          </cell>
        </row>
        <row r="557">
          <cell r="B557" t="str">
            <v>503999</v>
          </cell>
          <cell r="C557" t="str">
            <v>503999 Mining - Employee Expenses - Credit</v>
          </cell>
          <cell r="D557">
            <v>-12278.53</v>
          </cell>
        </row>
        <row r="558">
          <cell r="B558" t="str">
            <v/>
          </cell>
          <cell r="C558" t="str">
            <v>Total Employee Expenses</v>
          </cell>
          <cell r="D558">
            <v>10509210.9</v>
          </cell>
        </row>
        <row r="559">
          <cell r="B559" t="str">
            <v/>
          </cell>
          <cell r="C559" t="str">
            <v>Materials &amp; Supplies</v>
          </cell>
        </row>
        <row r="560">
          <cell r="B560" t="str">
            <v>515600</v>
          </cell>
          <cell r="C560" t="str">
            <v>515600 Start-up Fuel - Diesel</v>
          </cell>
          <cell r="D560">
            <v>3662041.79</v>
          </cell>
        </row>
        <row r="561">
          <cell r="B561" t="str">
            <v>515650</v>
          </cell>
          <cell r="C561" t="str">
            <v>515650 Start-up Fuel - Gas</v>
          </cell>
          <cell r="D561">
            <v>249677.63</v>
          </cell>
        </row>
        <row r="562">
          <cell r="B562" t="str">
            <v>515651</v>
          </cell>
          <cell r="C562" t="str">
            <v>515651 Start-Up Fuel - Gas - Accrual</v>
          </cell>
          <cell r="D562">
            <v>-3368.2</v>
          </cell>
        </row>
        <row r="563">
          <cell r="B563" t="str">
            <v>515700</v>
          </cell>
          <cell r="C563" t="str">
            <v>515700 Flyash Sales (Reduction of Expense)</v>
          </cell>
          <cell r="D563">
            <v>0.03</v>
          </cell>
        </row>
        <row r="564">
          <cell r="B564" t="str">
            <v>516010</v>
          </cell>
          <cell r="C564" t="str">
            <v>516010 Metal &amp; Steel</v>
          </cell>
          <cell r="D564">
            <v>370591.41</v>
          </cell>
        </row>
        <row r="565">
          <cell r="B565" t="str">
            <v>516012</v>
          </cell>
          <cell r="C565" t="str">
            <v>516012 Absorbent Materials (Litter, Pads, etc.)</v>
          </cell>
          <cell r="D565">
            <v>1893.53</v>
          </cell>
        </row>
        <row r="566">
          <cell r="B566" t="str">
            <v>516020</v>
          </cell>
          <cell r="C566" t="str">
            <v>516020 Breakers and Switches</v>
          </cell>
          <cell r="D566">
            <v>1634170.66</v>
          </cell>
        </row>
        <row r="567">
          <cell r="B567" t="str">
            <v>516030</v>
          </cell>
          <cell r="C567" t="str">
            <v>516030 Cranes, Hoists &amp; Cables</v>
          </cell>
          <cell r="D567">
            <v>64814.04</v>
          </cell>
        </row>
        <row r="568">
          <cell r="B568" t="str">
            <v>516035</v>
          </cell>
          <cell r="C568" t="str">
            <v>516035 Laboratory Supplies</v>
          </cell>
          <cell r="D568">
            <v>249841.75</v>
          </cell>
        </row>
        <row r="569">
          <cell r="B569" t="str">
            <v>516036</v>
          </cell>
          <cell r="C569" t="str">
            <v>516036 Safety Supplies</v>
          </cell>
          <cell r="D569">
            <v>1269872.33</v>
          </cell>
        </row>
        <row r="570">
          <cell r="B570" t="str">
            <v>516037</v>
          </cell>
          <cell r="C570" t="str">
            <v>516037 Chemicals - Mercury</v>
          </cell>
          <cell r="D570">
            <v>5203626.41</v>
          </cell>
        </row>
        <row r="571">
          <cell r="B571" t="str">
            <v>516039</v>
          </cell>
          <cell r="C571" t="str">
            <v>516039 Chemicals - Scrubber Reagent</v>
          </cell>
          <cell r="D571">
            <v>18266049.129999999</v>
          </cell>
        </row>
        <row r="572">
          <cell r="B572" t="str">
            <v>516040</v>
          </cell>
          <cell r="C572" t="str">
            <v>516040 Cement &amp; Concrete Products</v>
          </cell>
          <cell r="D572">
            <v>12681.93</v>
          </cell>
        </row>
        <row r="573">
          <cell r="B573" t="str">
            <v>516041</v>
          </cell>
          <cell r="C573" t="str">
            <v>516041 Shop Cloths, Towels &amp; Rags</v>
          </cell>
          <cell r="D573">
            <v>359.41</v>
          </cell>
        </row>
        <row r="574">
          <cell r="B574" t="str">
            <v>516050</v>
          </cell>
          <cell r="C574" t="str">
            <v>516050 Chemicals</v>
          </cell>
          <cell r="D574">
            <v>8698764.0199999996</v>
          </cell>
        </row>
        <row r="575">
          <cell r="B575" t="str">
            <v>516053</v>
          </cell>
          <cell r="C575" t="str">
            <v>516053 Chemicals - SCR / SNCR</v>
          </cell>
          <cell r="D575">
            <v>1523683.59</v>
          </cell>
        </row>
        <row r="576">
          <cell r="B576" t="str">
            <v>516055</v>
          </cell>
          <cell r="C576" t="str">
            <v>516055 Coal Fines (Syn fuel)</v>
          </cell>
          <cell r="D576">
            <v>4206.49</v>
          </cell>
        </row>
        <row r="577">
          <cell r="B577" t="str">
            <v>516060</v>
          </cell>
          <cell r="C577" t="str">
            <v>516060 Communication Equipment &amp; Supplies</v>
          </cell>
          <cell r="D577">
            <v>382424.56</v>
          </cell>
        </row>
        <row r="578">
          <cell r="B578" t="str">
            <v>516070</v>
          </cell>
          <cell r="C578" t="str">
            <v>516070 Computer Hardware</v>
          </cell>
          <cell r="D578">
            <v>286375.14</v>
          </cell>
        </row>
        <row r="579">
          <cell r="B579" t="str">
            <v>516080</v>
          </cell>
          <cell r="C579" t="str">
            <v>516080 Computer Software, Licenses</v>
          </cell>
          <cell r="D579">
            <v>375071.27</v>
          </cell>
        </row>
        <row r="580">
          <cell r="B580" t="str">
            <v>516090</v>
          </cell>
          <cell r="C580" t="str">
            <v>516090 Insulators</v>
          </cell>
          <cell r="D580">
            <v>462927.74</v>
          </cell>
        </row>
        <row r="581">
          <cell r="B581" t="str">
            <v>516100</v>
          </cell>
          <cell r="C581" t="str">
            <v>516100 Conductor</v>
          </cell>
          <cell r="D581">
            <v>933926.13</v>
          </cell>
        </row>
        <row r="582">
          <cell r="B582" t="str">
            <v>516110</v>
          </cell>
          <cell r="C582" t="str">
            <v>516110 Conveyor Supplies</v>
          </cell>
          <cell r="D582">
            <v>667681.42000000004</v>
          </cell>
        </row>
        <row r="583">
          <cell r="B583" t="str">
            <v>516115</v>
          </cell>
          <cell r="C583" t="str">
            <v>516115 Coal Mills</v>
          </cell>
          <cell r="D583">
            <v>1768470.3</v>
          </cell>
        </row>
        <row r="584">
          <cell r="B584" t="str">
            <v>516120</v>
          </cell>
          <cell r="C584" t="str">
            <v>516120 Gases</v>
          </cell>
          <cell r="D584">
            <v>875056.11</v>
          </cell>
        </row>
        <row r="585">
          <cell r="B585" t="str">
            <v>516125</v>
          </cell>
          <cell r="C585" t="str">
            <v>516125 Gases - Propane</v>
          </cell>
          <cell r="D585">
            <v>-22.42</v>
          </cell>
        </row>
        <row r="586">
          <cell r="B586" t="str">
            <v>516130</v>
          </cell>
          <cell r="C586" t="str">
            <v>516130 Dragline</v>
          </cell>
          <cell r="D586">
            <v>23490.39</v>
          </cell>
        </row>
        <row r="587">
          <cell r="B587" t="str">
            <v>516140</v>
          </cell>
          <cell r="C587" t="str">
            <v>516140 Drills, Bits and Augers</v>
          </cell>
          <cell r="D587">
            <v>11968.84</v>
          </cell>
        </row>
        <row r="588">
          <cell r="B588" t="str">
            <v>516150</v>
          </cell>
          <cell r="C588" t="str">
            <v>516150 Electric Motors and Generators</v>
          </cell>
          <cell r="D588">
            <v>517773.41</v>
          </cell>
        </row>
        <row r="589">
          <cell r="B589" t="str">
            <v>516170</v>
          </cell>
          <cell r="C589" t="str">
            <v>516170 Fluids</v>
          </cell>
          <cell r="D589">
            <v>6328.31</v>
          </cell>
        </row>
        <row r="590">
          <cell r="B590" t="str">
            <v>516175</v>
          </cell>
          <cell r="C590" t="str">
            <v>516175 Water - Production</v>
          </cell>
          <cell r="D590">
            <v>2294431.14</v>
          </cell>
        </row>
        <row r="591">
          <cell r="B591" t="str">
            <v>516180</v>
          </cell>
          <cell r="C591" t="str">
            <v>516180 Explosives</v>
          </cell>
          <cell r="D591">
            <v>1403.46</v>
          </cell>
        </row>
        <row r="592">
          <cell r="B592" t="str">
            <v>516190</v>
          </cell>
          <cell r="C592" t="str">
            <v>516190 Gravel &amp; Rock</v>
          </cell>
          <cell r="D592">
            <v>255822.02</v>
          </cell>
        </row>
        <row r="593">
          <cell r="B593" t="str">
            <v>516200</v>
          </cell>
          <cell r="C593" t="str">
            <v>516200 Uniform / Safety Equipment</v>
          </cell>
          <cell r="D593">
            <v>2670373.0299999998</v>
          </cell>
        </row>
        <row r="594">
          <cell r="B594" t="str">
            <v>516210</v>
          </cell>
          <cell r="C594" t="str">
            <v>516210 Inventory Adjustments</v>
          </cell>
          <cell r="D594">
            <v>312354.5</v>
          </cell>
        </row>
        <row r="595">
          <cell r="B595" t="str">
            <v>516220</v>
          </cell>
          <cell r="C595" t="str">
            <v>516220 Roof Control</v>
          </cell>
          <cell r="D595">
            <v>78.239999999999995</v>
          </cell>
        </row>
        <row r="596">
          <cell r="B596" t="str">
            <v>516230</v>
          </cell>
          <cell r="C596" t="str">
            <v>516230 Lubricants, Oil, Grease</v>
          </cell>
          <cell r="D596">
            <v>1935167.41</v>
          </cell>
        </row>
        <row r="597">
          <cell r="B597" t="str">
            <v>516240</v>
          </cell>
          <cell r="C597" t="str">
            <v>516240 Poleline Hardware</v>
          </cell>
          <cell r="D597">
            <v>1362083.58</v>
          </cell>
        </row>
        <row r="598">
          <cell r="B598" t="str">
            <v>516250</v>
          </cell>
          <cell r="C598" t="str">
            <v>516250 Meters,Relays,Instruments,Control Parts</v>
          </cell>
          <cell r="D598">
            <v>1512132.19</v>
          </cell>
        </row>
        <row r="599">
          <cell r="B599" t="str">
            <v>516260</v>
          </cell>
          <cell r="C599" t="str">
            <v>516260 Electronic Supplies</v>
          </cell>
          <cell r="D599">
            <v>2544577.91</v>
          </cell>
        </row>
        <row r="600">
          <cell r="B600" t="str">
            <v>516270</v>
          </cell>
          <cell r="C600" t="str">
            <v>516270 Gaskets, packing and O rings</v>
          </cell>
          <cell r="D600">
            <v>425241.75</v>
          </cell>
        </row>
        <row r="601">
          <cell r="B601" t="str">
            <v>516280</v>
          </cell>
          <cell r="C601" t="str">
            <v>516280 Alarm System</v>
          </cell>
          <cell r="D601">
            <v>2645.77</v>
          </cell>
        </row>
        <row r="602">
          <cell r="B602" t="str">
            <v>516290</v>
          </cell>
          <cell r="C602" t="str">
            <v>516290 Office Furniture &amp; Equipment</v>
          </cell>
          <cell r="D602">
            <v>150311.63</v>
          </cell>
        </row>
        <row r="603">
          <cell r="B603" t="str">
            <v>516300</v>
          </cell>
          <cell r="C603" t="str">
            <v>516300 Office Supplies</v>
          </cell>
          <cell r="D603">
            <v>1459222.73</v>
          </cell>
        </row>
        <row r="604">
          <cell r="B604" t="str">
            <v>516301</v>
          </cell>
          <cell r="C604" t="str">
            <v>516301 Maps, Charts &amp; Logs</v>
          </cell>
          <cell r="D604">
            <v>15949.87</v>
          </cell>
        </row>
        <row r="605">
          <cell r="B605" t="str">
            <v>516310</v>
          </cell>
          <cell r="C605" t="str">
            <v>516310 Other Electrical Equipment/Supplies</v>
          </cell>
          <cell r="D605">
            <v>4374489.8899999997</v>
          </cell>
        </row>
        <row r="606">
          <cell r="B606" t="str">
            <v>516320</v>
          </cell>
          <cell r="C606" t="str">
            <v>516320 Pipe, Valves and Fittings</v>
          </cell>
          <cell r="D606">
            <v>2868221.57</v>
          </cell>
        </row>
        <row r="607">
          <cell r="B607" t="str">
            <v>516328</v>
          </cell>
          <cell r="C607" t="str">
            <v>516328 Painting Supplies</v>
          </cell>
          <cell r="D607">
            <v>33894.69</v>
          </cell>
        </row>
        <row r="608">
          <cell r="B608" t="str">
            <v>516330</v>
          </cell>
          <cell r="C608" t="str">
            <v>516330 Wood Products</v>
          </cell>
          <cell r="D608">
            <v>518591.19</v>
          </cell>
        </row>
        <row r="609">
          <cell r="B609" t="str">
            <v>516340</v>
          </cell>
          <cell r="C609" t="str">
            <v>516340 Fasteners</v>
          </cell>
          <cell r="D609">
            <v>647663.15</v>
          </cell>
        </row>
        <row r="610">
          <cell r="B610" t="str">
            <v>516350</v>
          </cell>
          <cell r="C610" t="str">
            <v>516350 Hoses, Hose Fittings (Non-Hydraulic)</v>
          </cell>
          <cell r="D610">
            <v>262752.81</v>
          </cell>
        </row>
        <row r="611">
          <cell r="B611" t="str">
            <v>516360</v>
          </cell>
          <cell r="C611" t="str">
            <v>516360 Tires, Tubes, and Wheels</v>
          </cell>
          <cell r="D611">
            <v>1691621.6</v>
          </cell>
        </row>
        <row r="612">
          <cell r="B612" t="str">
            <v>516370</v>
          </cell>
          <cell r="C612" t="str">
            <v>516370 Underground Material-Electric</v>
          </cell>
          <cell r="D612">
            <v>360839.3</v>
          </cell>
        </row>
        <row r="613">
          <cell r="B613" t="str">
            <v>516380</v>
          </cell>
          <cell r="C613" t="str">
            <v>516380 HVAC</v>
          </cell>
          <cell r="D613">
            <v>148778.82</v>
          </cell>
        </row>
        <row r="614">
          <cell r="B614" t="str">
            <v>516390</v>
          </cell>
          <cell r="C614" t="str">
            <v>516390 Salvage &amp; Scrap</v>
          </cell>
          <cell r="D614">
            <v>-1958541.71</v>
          </cell>
        </row>
        <row r="615">
          <cell r="B615" t="str">
            <v>516395</v>
          </cell>
          <cell r="C615" t="str">
            <v>516395 Removal Costs</v>
          </cell>
          <cell r="D615">
            <v>-231482.81</v>
          </cell>
        </row>
        <row r="616">
          <cell r="B616" t="str">
            <v>516400</v>
          </cell>
          <cell r="C616" t="str">
            <v>516400 Obsolete M&amp;S Recovery</v>
          </cell>
          <cell r="D616">
            <v>2521801.66</v>
          </cell>
        </row>
        <row r="617">
          <cell r="B617" t="str">
            <v>516410</v>
          </cell>
          <cell r="C617" t="str">
            <v>516410 Tools</v>
          </cell>
          <cell r="D617">
            <v>3063705.1</v>
          </cell>
        </row>
        <row r="618">
          <cell r="B618" t="str">
            <v>516420</v>
          </cell>
          <cell r="C618" t="str">
            <v>516420 Transformers</v>
          </cell>
          <cell r="D618">
            <v>492223.92</v>
          </cell>
        </row>
        <row r="619">
          <cell r="B619" t="str">
            <v>516425</v>
          </cell>
          <cell r="C619" t="str">
            <v>516425 Turbines</v>
          </cell>
          <cell r="D619">
            <v>531184.82999999996</v>
          </cell>
        </row>
        <row r="620">
          <cell r="B620" t="str">
            <v>516430</v>
          </cell>
          <cell r="C620" t="str">
            <v>516430 Hydraulic Components</v>
          </cell>
          <cell r="D620">
            <v>147902.18</v>
          </cell>
        </row>
        <row r="621">
          <cell r="B621" t="str">
            <v>516435</v>
          </cell>
          <cell r="C621" t="str">
            <v>516435 Vehicles</v>
          </cell>
          <cell r="D621">
            <v>389592.16</v>
          </cell>
        </row>
        <row r="622">
          <cell r="B622" t="str">
            <v>516440</v>
          </cell>
          <cell r="C622" t="str">
            <v>516440 Fuel-Veh/Mobile Equip</v>
          </cell>
          <cell r="D622">
            <v>7724633.0599999996</v>
          </cell>
        </row>
        <row r="623">
          <cell r="B623" t="str">
            <v>516441</v>
          </cell>
          <cell r="C623" t="str">
            <v>516441 Vehicle-Accessories &amp; Elect Accessories</v>
          </cell>
          <cell r="D623">
            <v>105232.42</v>
          </cell>
        </row>
        <row r="624">
          <cell r="B624" t="str">
            <v>516442</v>
          </cell>
          <cell r="C624" t="str">
            <v>516442 Vehicle-Air Intake/Cooling Systems</v>
          </cell>
          <cell r="D624">
            <v>206386.1</v>
          </cell>
        </row>
        <row r="625">
          <cell r="B625" t="str">
            <v>516444</v>
          </cell>
          <cell r="C625" t="str">
            <v>516444 Vehicle-Axles/Braking Systems</v>
          </cell>
          <cell r="D625">
            <v>495245.74</v>
          </cell>
        </row>
        <row r="626">
          <cell r="B626" t="str">
            <v>516445</v>
          </cell>
          <cell r="C626" t="str">
            <v>516445 Fuel-Aircraft</v>
          </cell>
          <cell r="D626">
            <v>115789.58</v>
          </cell>
        </row>
        <row r="627">
          <cell r="B627" t="str">
            <v>516446</v>
          </cell>
          <cell r="C627" t="str">
            <v>516446 Vehicle-Charging/Cranking/Lighting Sys.</v>
          </cell>
          <cell r="D627">
            <v>448989.2</v>
          </cell>
        </row>
        <row r="628">
          <cell r="B628" t="str">
            <v>516447</v>
          </cell>
          <cell r="C628" t="str">
            <v>516447 Vehicle-Emission/Computer/Ignition Sys.</v>
          </cell>
          <cell r="D628">
            <v>218878.87</v>
          </cell>
        </row>
        <row r="629">
          <cell r="B629" t="str">
            <v>516448</v>
          </cell>
          <cell r="C629" t="str">
            <v>516448 Vehicle-Engine Parts</v>
          </cell>
          <cell r="D629">
            <v>971175.52</v>
          </cell>
        </row>
        <row r="630">
          <cell r="B630" t="str">
            <v>516449</v>
          </cell>
          <cell r="C630" t="str">
            <v>516449 Vehicle-Equipment Devices/Systems</v>
          </cell>
          <cell r="D630">
            <v>336364.52</v>
          </cell>
        </row>
        <row r="631">
          <cell r="B631" t="str">
            <v>516450</v>
          </cell>
          <cell r="C631" t="str">
            <v>516450 Vehicle-Fuel Systems</v>
          </cell>
          <cell r="D631">
            <v>257651.36</v>
          </cell>
        </row>
        <row r="632">
          <cell r="B632" t="str">
            <v>516451</v>
          </cell>
          <cell r="C632" t="str">
            <v>516451 Vehicle-Heat/Ventilation &amp; A/C Systems</v>
          </cell>
          <cell r="D632">
            <v>91758.46</v>
          </cell>
        </row>
        <row r="633">
          <cell r="B633" t="str">
            <v>516452</v>
          </cell>
          <cell r="C633" t="str">
            <v>516452 Vehicle-Hydraulic Devices/Systems</v>
          </cell>
          <cell r="D633">
            <v>786107.49</v>
          </cell>
        </row>
        <row r="634">
          <cell r="B634" t="str">
            <v>516453</v>
          </cell>
          <cell r="C634" t="str">
            <v>516453 Vehicle-Steering, Suspension/Frame</v>
          </cell>
          <cell r="D634">
            <v>309057.57</v>
          </cell>
        </row>
        <row r="635">
          <cell r="B635" t="str">
            <v>516454</v>
          </cell>
          <cell r="C635" t="str">
            <v>516454 Vehicle-Transmission</v>
          </cell>
          <cell r="D635">
            <v>279259.09999999998</v>
          </cell>
        </row>
        <row r="636">
          <cell r="B636" t="str">
            <v>516455</v>
          </cell>
          <cell r="C636" t="str">
            <v>516455 Vehicle - Truck/Trailer Body</v>
          </cell>
          <cell r="D636">
            <v>245192.05</v>
          </cell>
        </row>
        <row r="637">
          <cell r="B637" t="str">
            <v>516456</v>
          </cell>
          <cell r="C637" t="str">
            <v>516456 Vehicle-Cab Interior/Exterior</v>
          </cell>
          <cell r="D637">
            <v>458473.73</v>
          </cell>
        </row>
        <row r="638">
          <cell r="B638" t="str">
            <v>516457</v>
          </cell>
          <cell r="C638" t="str">
            <v>516457 Vehicle-Exhaust Systems</v>
          </cell>
          <cell r="D638">
            <v>93597.87</v>
          </cell>
        </row>
        <row r="639">
          <cell r="B639" t="str">
            <v>516460</v>
          </cell>
          <cell r="C639" t="str">
            <v>516460 Heavy Equipment Mat'l &amp; Supplies</v>
          </cell>
          <cell r="D639">
            <v>417799.74</v>
          </cell>
        </row>
        <row r="640">
          <cell r="B640" t="str">
            <v>516470</v>
          </cell>
          <cell r="C640" t="str">
            <v>516470 Insulation Material, Non-Electric</v>
          </cell>
          <cell r="D640">
            <v>122326.17</v>
          </cell>
        </row>
        <row r="641">
          <cell r="B641" t="str">
            <v>516480</v>
          </cell>
          <cell r="C641" t="str">
            <v>516480 Power Transmission, Mechanical</v>
          </cell>
          <cell r="D641">
            <v>765679.47</v>
          </cell>
        </row>
        <row r="642">
          <cell r="B642" t="str">
            <v>516490</v>
          </cell>
          <cell r="C642" t="str">
            <v>516490 Pumps</v>
          </cell>
          <cell r="D642">
            <v>1478446.61</v>
          </cell>
        </row>
        <row r="643">
          <cell r="B643" t="str">
            <v>516900</v>
          </cell>
          <cell r="C643" t="str">
            <v>516900 Miscellaneous Materials &amp; Supplies</v>
          </cell>
          <cell r="D643">
            <v>11000525.27</v>
          </cell>
        </row>
        <row r="644">
          <cell r="B644" t="str">
            <v>516910</v>
          </cell>
          <cell r="C644" t="str">
            <v>516910 Material Price Variance Account</v>
          </cell>
          <cell r="D644">
            <v>233035.71</v>
          </cell>
        </row>
        <row r="645">
          <cell r="B645" t="str">
            <v>516920</v>
          </cell>
          <cell r="C645" t="str">
            <v>516920 Material Revaluation Account</v>
          </cell>
          <cell r="D645">
            <v>88647.58</v>
          </cell>
        </row>
        <row r="646">
          <cell r="B646" t="str">
            <v>516930</v>
          </cell>
          <cell r="C646" t="str">
            <v>516930 Diesel Fuel Hedge</v>
          </cell>
          <cell r="D646">
            <v>442049.62</v>
          </cell>
        </row>
        <row r="647">
          <cell r="B647" t="str">
            <v>516950</v>
          </cell>
          <cell r="C647" t="str">
            <v>516950 Material Cap Srchrg  - Reclass to Ovrhds</v>
          </cell>
          <cell r="D647">
            <v>-18646.27</v>
          </cell>
        </row>
        <row r="648">
          <cell r="B648" t="str">
            <v>516999</v>
          </cell>
          <cell r="C648" t="str">
            <v>516999 Mining - Materials &amp; Supplies - Credit</v>
          </cell>
          <cell r="D648">
            <v>-495191.6</v>
          </cell>
        </row>
        <row r="649">
          <cell r="B649" t="str">
            <v>701030</v>
          </cell>
          <cell r="C649" t="str">
            <v>701030 Materials &amp; Supplies-Settled to Capital</v>
          </cell>
          <cell r="D649">
            <v>1085548.28</v>
          </cell>
        </row>
        <row r="650">
          <cell r="B650" t="str">
            <v>701040</v>
          </cell>
          <cell r="C650" t="str">
            <v>701040 Mobile Equip Costs-Settled to Capital</v>
          </cell>
          <cell r="D650">
            <v>-357.08</v>
          </cell>
        </row>
        <row r="651">
          <cell r="B651" t="str">
            <v/>
          </cell>
          <cell r="C651" t="str">
            <v>Total Materials &amp; Supplies - Regular</v>
          </cell>
          <cell r="D651">
            <v>106589066.87</v>
          </cell>
        </row>
        <row r="652">
          <cell r="B652" t="str">
            <v/>
          </cell>
          <cell r="C652" t="str">
            <v>Total Materials &amp; Supplies</v>
          </cell>
          <cell r="D652">
            <v>106589066.87</v>
          </cell>
        </row>
        <row r="653">
          <cell r="B653" t="str">
            <v/>
          </cell>
          <cell r="C653" t="str">
            <v>Contracts &amp; Services</v>
          </cell>
        </row>
        <row r="654">
          <cell r="B654" t="str">
            <v>530007</v>
          </cell>
          <cell r="C654" t="str">
            <v>530007 Acctg/Audit/Tax Consulting Services</v>
          </cell>
          <cell r="D654">
            <v>62939</v>
          </cell>
        </row>
        <row r="655">
          <cell r="B655" t="str">
            <v>530009</v>
          </cell>
          <cell r="C655" t="str">
            <v>530009 External Reporting Audit Services</v>
          </cell>
          <cell r="D655">
            <v>1558791.84</v>
          </cell>
        </row>
        <row r="656">
          <cell r="B656" t="str">
            <v>530011</v>
          </cell>
          <cell r="C656" t="str">
            <v>530011 Financial Data Subscription Services</v>
          </cell>
          <cell r="D656">
            <v>264681.8</v>
          </cell>
        </row>
        <row r="657">
          <cell r="B657" t="str">
            <v>530015</v>
          </cell>
          <cell r="C657" t="str">
            <v>530015 Administrative Services</v>
          </cell>
          <cell r="D657">
            <v>286061.87</v>
          </cell>
        </row>
        <row r="658">
          <cell r="B658" t="str">
            <v>530019</v>
          </cell>
          <cell r="C658" t="str">
            <v>530019 Legally Mandated Advertising Services</v>
          </cell>
          <cell r="D658">
            <v>414311.37</v>
          </cell>
        </row>
        <row r="659">
          <cell r="B659" t="str">
            <v>530020</v>
          </cell>
          <cell r="C659" t="str">
            <v>530020 Advertising Services</v>
          </cell>
          <cell r="D659">
            <v>1817.63</v>
          </cell>
        </row>
        <row r="660">
          <cell r="B660" t="str">
            <v>530022</v>
          </cell>
          <cell r="C660" t="str">
            <v>530022 Informational Advertising Services</v>
          </cell>
          <cell r="D660">
            <v>1812016.33</v>
          </cell>
        </row>
        <row r="661">
          <cell r="B661" t="str">
            <v>530023</v>
          </cell>
          <cell r="C661" t="str">
            <v>530023 Analytical Services</v>
          </cell>
          <cell r="D661">
            <v>391693.78</v>
          </cell>
        </row>
        <row r="662">
          <cell r="B662" t="str">
            <v>530024</v>
          </cell>
          <cell r="C662" t="str">
            <v>530024 Advertising - Non Recoverable</v>
          </cell>
          <cell r="D662">
            <v>63640.66</v>
          </cell>
        </row>
        <row r="663">
          <cell r="B663" t="str">
            <v>530026</v>
          </cell>
          <cell r="C663" t="str">
            <v>530026 Rating Agency &amp; Trustee Services</v>
          </cell>
          <cell r="D663">
            <v>550945.74</v>
          </cell>
        </row>
        <row r="664">
          <cell r="B664" t="str">
            <v>530030</v>
          </cell>
          <cell r="C664" t="str">
            <v>530030 Building/Facility Services</v>
          </cell>
          <cell r="D664">
            <v>1990772.92</v>
          </cell>
        </row>
        <row r="665">
          <cell r="B665" t="str">
            <v>530031</v>
          </cell>
          <cell r="C665" t="str">
            <v>530031 Printing/Imaging/Mail Services</v>
          </cell>
          <cell r="D665">
            <v>839836.23</v>
          </cell>
        </row>
        <row r="666">
          <cell r="B666" t="str">
            <v>530032</v>
          </cell>
          <cell r="C666" t="str">
            <v>530032 Customer Bill Printing/Processing Serv.</v>
          </cell>
          <cell r="D666">
            <v>1905246.48</v>
          </cell>
        </row>
        <row r="667">
          <cell r="B667" t="str">
            <v>530035</v>
          </cell>
          <cell r="C667" t="str">
            <v>530035 Catering Services-Non Employees</v>
          </cell>
          <cell r="D667">
            <v>6377.1</v>
          </cell>
        </row>
        <row r="668">
          <cell r="B668" t="str">
            <v>530040</v>
          </cell>
          <cell r="C668" t="str">
            <v>530040 Collection Services</v>
          </cell>
          <cell r="D668">
            <v>408498.46</v>
          </cell>
        </row>
        <row r="669">
          <cell r="B669" t="str">
            <v>530042</v>
          </cell>
          <cell r="C669" t="str">
            <v>530042 Flagging Services</v>
          </cell>
          <cell r="D669">
            <v>536371.43999999994</v>
          </cell>
        </row>
        <row r="670">
          <cell r="B670" t="str">
            <v>530045</v>
          </cell>
          <cell r="C670" t="str">
            <v>530045 Constr &amp; Maint Contracts-Labor</v>
          </cell>
          <cell r="D670">
            <v>17688006.609999999</v>
          </cell>
        </row>
        <row r="671">
          <cell r="B671" t="str">
            <v>530046</v>
          </cell>
          <cell r="C671" t="str">
            <v>530046 Contracts &amp; Services - Resources</v>
          </cell>
          <cell r="D671">
            <v>7654.61</v>
          </cell>
        </row>
        <row r="672">
          <cell r="B672" t="str">
            <v>530047</v>
          </cell>
          <cell r="C672" t="str">
            <v>530047 Contracts &amp; Services - Specialized Skill</v>
          </cell>
          <cell r="D672">
            <v>295900.40999999997</v>
          </cell>
        </row>
        <row r="673">
          <cell r="B673" t="str">
            <v>530048</v>
          </cell>
          <cell r="C673" t="str">
            <v>530048 I.T. Hardware &amp; Software Maint Contracts</v>
          </cell>
          <cell r="D673">
            <v>19068.95</v>
          </cell>
        </row>
        <row r="674">
          <cell r="B674" t="str">
            <v>530049</v>
          </cell>
          <cell r="C674" t="str">
            <v>530049 Building/Facility Maintenance &amp; Repairs</v>
          </cell>
          <cell r="D674">
            <v>4740082.26</v>
          </cell>
        </row>
        <row r="675">
          <cell r="B675" t="str">
            <v>530050</v>
          </cell>
          <cell r="C675" t="str">
            <v>530050 Constr &amp; Maint Contracts-Other</v>
          </cell>
          <cell r="D675">
            <v>49849042.329999998</v>
          </cell>
        </row>
        <row r="676">
          <cell r="B676" t="str">
            <v>530055</v>
          </cell>
          <cell r="C676" t="str">
            <v>530055 Consulting/Technical Services</v>
          </cell>
          <cell r="D676">
            <v>8756149.7899999991</v>
          </cell>
        </row>
        <row r="677">
          <cell r="B677" t="str">
            <v>530060</v>
          </cell>
          <cell r="C677" t="str">
            <v>530060 Employee Related Matters</v>
          </cell>
          <cell r="D677">
            <v>6257.82</v>
          </cell>
        </row>
        <row r="678">
          <cell r="B678" t="str">
            <v>530065</v>
          </cell>
          <cell r="C678" t="str">
            <v>530065 Engineering Services</v>
          </cell>
          <cell r="D678">
            <v>2659583.71</v>
          </cell>
        </row>
        <row r="679">
          <cell r="B679" t="str">
            <v>530070</v>
          </cell>
          <cell r="C679" t="str">
            <v>530070 Environmental Services</v>
          </cell>
          <cell r="D679">
            <v>3907428.87</v>
          </cell>
        </row>
        <row r="680">
          <cell r="B680" t="str">
            <v>530072</v>
          </cell>
          <cell r="C680" t="str">
            <v>530072 Environmental Expense (NonReg)</v>
          </cell>
          <cell r="D680">
            <v>-78094.009999999995</v>
          </cell>
        </row>
        <row r="681">
          <cell r="B681" t="str">
            <v>530073</v>
          </cell>
          <cell r="C681" t="str">
            <v>530073 Freight/Hauling Services</v>
          </cell>
          <cell r="D681">
            <v>10970995.439999999</v>
          </cell>
        </row>
        <row r="682">
          <cell r="B682" t="str">
            <v>530074</v>
          </cell>
          <cell r="C682" t="str">
            <v>530074 Information Technology Services</v>
          </cell>
          <cell r="D682">
            <v>422841.17</v>
          </cell>
        </row>
        <row r="683">
          <cell r="B683" t="str">
            <v>530075</v>
          </cell>
          <cell r="C683" t="str">
            <v>530075 IT - Contract Programmers</v>
          </cell>
          <cell r="D683">
            <v>250745.26</v>
          </cell>
        </row>
        <row r="684">
          <cell r="B684" t="str">
            <v>530077</v>
          </cell>
          <cell r="C684" t="str">
            <v>530077 I.T. Hardware Maint. Services</v>
          </cell>
          <cell r="D684">
            <v>992394.32</v>
          </cell>
        </row>
        <row r="685">
          <cell r="B685" t="str">
            <v>530078</v>
          </cell>
          <cell r="C685" t="str">
            <v>530078 I.T. Software Maint. Services</v>
          </cell>
          <cell r="D685">
            <v>21677840.77</v>
          </cell>
        </row>
        <row r="686">
          <cell r="B686" t="str">
            <v>530086</v>
          </cell>
          <cell r="C686" t="str">
            <v>530086 Secondary Contractor Labor Adjustments</v>
          </cell>
          <cell r="D686">
            <v>10724435.529999999</v>
          </cell>
        </row>
        <row r="687">
          <cell r="B687" t="str">
            <v>530090</v>
          </cell>
          <cell r="C687" t="str">
            <v>530090 Janitorial Services</v>
          </cell>
          <cell r="D687">
            <v>3429542.76</v>
          </cell>
        </row>
        <row r="688">
          <cell r="B688" t="str">
            <v>530094</v>
          </cell>
          <cell r="C688" t="str">
            <v>530094 Legal Consulting Svc-Expert Witness Fees</v>
          </cell>
          <cell r="D688">
            <v>609587.34</v>
          </cell>
        </row>
        <row r="689">
          <cell r="B689" t="str">
            <v>530095</v>
          </cell>
          <cell r="C689" t="str">
            <v>530095 Legal Consulting Services - Legal Fees</v>
          </cell>
          <cell r="D689">
            <v>14272019.83</v>
          </cell>
        </row>
        <row r="690">
          <cell r="B690" t="str">
            <v>530096</v>
          </cell>
          <cell r="C690" t="str">
            <v>530096 Legal Consulting Services - Legal Costs</v>
          </cell>
          <cell r="D690">
            <v>976502.13</v>
          </cell>
        </row>
        <row r="691">
          <cell r="B691" t="str">
            <v>530100</v>
          </cell>
          <cell r="C691" t="str">
            <v>530100 Line Inspection Services</v>
          </cell>
          <cell r="D691">
            <v>1077606.92</v>
          </cell>
        </row>
        <row r="692">
          <cell r="B692" t="str">
            <v>530110</v>
          </cell>
          <cell r="C692" t="str">
            <v>530110 Moving/Relocation Services-Employees</v>
          </cell>
          <cell r="D692">
            <v>584634.82999999996</v>
          </cell>
        </row>
        <row r="693">
          <cell r="B693" t="str">
            <v>530111</v>
          </cell>
          <cell r="C693" t="str">
            <v>530111 Moving/Relocation Services-Facilities</v>
          </cell>
          <cell r="D693">
            <v>45494.65</v>
          </cell>
        </row>
        <row r="694">
          <cell r="B694" t="str">
            <v>530112</v>
          </cell>
          <cell r="C694" t="str">
            <v>530112 Office/Clerical Services</v>
          </cell>
          <cell r="D694">
            <v>230498.11</v>
          </cell>
        </row>
        <row r="695">
          <cell r="B695" t="str">
            <v>530114</v>
          </cell>
          <cell r="C695" t="str">
            <v>530114 Pay Station Services</v>
          </cell>
          <cell r="D695">
            <v>58813.63</v>
          </cell>
        </row>
        <row r="696">
          <cell r="B696" t="str">
            <v>530115</v>
          </cell>
          <cell r="C696" t="str">
            <v>530115 Planned Outage Contracts</v>
          </cell>
          <cell r="D696">
            <v>4749643.53</v>
          </cell>
        </row>
        <row r="697">
          <cell r="B697" t="str">
            <v>530120</v>
          </cell>
          <cell r="C697" t="str">
            <v>530120 Postal/Delivery/Courier Services</v>
          </cell>
          <cell r="D697">
            <v>146838.35</v>
          </cell>
        </row>
        <row r="698">
          <cell r="B698" t="str">
            <v>530125</v>
          </cell>
          <cell r="C698" t="str">
            <v>530125 Security Services</v>
          </cell>
          <cell r="D698">
            <v>2789981.1</v>
          </cell>
        </row>
        <row r="699">
          <cell r="B699" t="str">
            <v>530130</v>
          </cell>
          <cell r="C699" t="str">
            <v>530130 Storage Services</v>
          </cell>
          <cell r="D699">
            <v>275951.57</v>
          </cell>
        </row>
        <row r="700">
          <cell r="B700" t="str">
            <v>530131</v>
          </cell>
          <cell r="C700" t="str">
            <v>530131 Surveying Services</v>
          </cell>
          <cell r="D700">
            <v>3192.41</v>
          </cell>
        </row>
        <row r="701">
          <cell r="B701" t="str">
            <v>530132</v>
          </cell>
          <cell r="C701" t="str">
            <v>530132 Telecommunication Services</v>
          </cell>
          <cell r="D701">
            <v>663578.67000000004</v>
          </cell>
        </row>
        <row r="702">
          <cell r="B702" t="str">
            <v>530135</v>
          </cell>
          <cell r="C702" t="str">
            <v>530135 Temporary Services-Other</v>
          </cell>
          <cell r="D702">
            <v>2444778.9300000002</v>
          </cell>
        </row>
        <row r="703">
          <cell r="B703" t="str">
            <v>530140</v>
          </cell>
          <cell r="C703" t="str">
            <v>530140 Training/Education Services</v>
          </cell>
          <cell r="D703">
            <v>475514.47</v>
          </cell>
        </row>
        <row r="704">
          <cell r="B704" t="str">
            <v>530142</v>
          </cell>
          <cell r="C704" t="str">
            <v>530142 Vehicles - External Services</v>
          </cell>
          <cell r="D704">
            <v>2383118.11</v>
          </cell>
        </row>
        <row r="705">
          <cell r="B705" t="str">
            <v>530143</v>
          </cell>
          <cell r="C705" t="str">
            <v>530143 Helicopter Charter Expense</v>
          </cell>
          <cell r="D705">
            <v>1187324.53</v>
          </cell>
        </row>
        <row r="706">
          <cell r="B706" t="str">
            <v>530150</v>
          </cell>
          <cell r="C706" t="str">
            <v>530150 Vegetation Mgmt - Program (Tree Trim)</v>
          </cell>
          <cell r="D706">
            <v>46341964.829999998</v>
          </cell>
        </row>
        <row r="707">
          <cell r="B707" t="str">
            <v>530151</v>
          </cell>
          <cell r="C707" t="str">
            <v>530151 Pole Test &amp; Treat Contracts</v>
          </cell>
          <cell r="D707">
            <v>4125686.63</v>
          </cell>
        </row>
        <row r="708">
          <cell r="B708" t="str">
            <v>530152</v>
          </cell>
          <cell r="C708" t="str">
            <v>530152 Contract Line Construction/Maintenance</v>
          </cell>
          <cell r="D708">
            <v>11708309.18</v>
          </cell>
        </row>
        <row r="709">
          <cell r="B709" t="str">
            <v>530153</v>
          </cell>
          <cell r="C709" t="str">
            <v>530153 Underground Line Locating Services</v>
          </cell>
          <cell r="D709">
            <v>4146895.71</v>
          </cell>
        </row>
        <row r="710">
          <cell r="B710" t="str">
            <v>530154</v>
          </cell>
          <cell r="C710" t="str">
            <v>530154 Contract Line Construction-Extd Shift</v>
          </cell>
          <cell r="D710">
            <v>1748748.91</v>
          </cell>
        </row>
        <row r="711">
          <cell r="B711" t="str">
            <v>530160</v>
          </cell>
          <cell r="C711" t="str">
            <v>530160 Vegetation Mgmt - Non Program</v>
          </cell>
          <cell r="D711">
            <v>2824141.1</v>
          </cell>
        </row>
        <row r="712">
          <cell r="B712" t="str">
            <v>530190</v>
          </cell>
          <cell r="C712" t="str">
            <v>530190 Miscellaneous Contracts &amp; Services</v>
          </cell>
          <cell r="D712">
            <v>22032633.219999999</v>
          </cell>
        </row>
        <row r="713">
          <cell r="B713" t="str">
            <v>530191</v>
          </cell>
          <cell r="C713" t="str">
            <v>530191 Contracts &amp; Services-Minority-Owned Plants</v>
          </cell>
          <cell r="D713">
            <v>64412368.25</v>
          </cell>
        </row>
        <row r="714">
          <cell r="B714" t="str">
            <v>530195</v>
          </cell>
          <cell r="C714" t="str">
            <v>530195 Misc. Contracts &amp; Services - Dependent</v>
          </cell>
          <cell r="D714">
            <v>849.06</v>
          </cell>
        </row>
        <row r="715">
          <cell r="B715" t="str">
            <v>530265</v>
          </cell>
          <cell r="C715" t="str">
            <v>530265 EIM Admin Exp - GMC Sys Oper Charge</v>
          </cell>
          <cell r="D715">
            <v>-3391.54</v>
          </cell>
        </row>
        <row r="716">
          <cell r="B716" t="str">
            <v>530266</v>
          </cell>
          <cell r="C716" t="str">
            <v>530266 EIM Admin Exp - GMC Transaction Charge</v>
          </cell>
          <cell r="D716">
            <v>1544737.04</v>
          </cell>
        </row>
        <row r="717">
          <cell r="B717" t="str">
            <v>530382</v>
          </cell>
          <cell r="C717" t="str">
            <v>530382 IT Managed Services - Core</v>
          </cell>
          <cell r="D717">
            <v>309598</v>
          </cell>
        </row>
        <row r="718">
          <cell r="B718" t="str">
            <v>530383</v>
          </cell>
          <cell r="C718" t="str">
            <v>530383 IT Managed Services - Non Core</v>
          </cell>
          <cell r="D718">
            <v>73890</v>
          </cell>
        </row>
        <row r="719">
          <cell r="B719" t="str">
            <v>530384</v>
          </cell>
          <cell r="C719" t="str">
            <v>530384 IT Managed Services - Projects</v>
          </cell>
          <cell r="D719">
            <v>532688.19999999995</v>
          </cell>
        </row>
        <row r="720">
          <cell r="B720" t="str">
            <v>530501</v>
          </cell>
          <cell r="C720" t="str">
            <v>530501 Contractor - Airfare</v>
          </cell>
          <cell r="D720">
            <v>10035.77</v>
          </cell>
        </row>
        <row r="721">
          <cell r="B721" t="str">
            <v>530502</v>
          </cell>
          <cell r="C721" t="str">
            <v>530502 Contractor - Meals</v>
          </cell>
          <cell r="D721">
            <v>2513.91</v>
          </cell>
        </row>
        <row r="722">
          <cell r="B722" t="str">
            <v>530503</v>
          </cell>
          <cell r="C722" t="str">
            <v>530503 Contractor - Lodging</v>
          </cell>
          <cell r="D722">
            <v>12052.15</v>
          </cell>
        </row>
        <row r="723">
          <cell r="B723" t="str">
            <v>530504</v>
          </cell>
          <cell r="C723" t="str">
            <v>530504 Contractor - Vehicles/Exp</v>
          </cell>
          <cell r="D723">
            <v>9964.56</v>
          </cell>
        </row>
        <row r="724">
          <cell r="B724" t="str">
            <v>530505</v>
          </cell>
          <cell r="C724" t="str">
            <v>530505 Contractor - Misc Travel</v>
          </cell>
          <cell r="D724">
            <v>61353.62</v>
          </cell>
        </row>
        <row r="725">
          <cell r="B725" t="str">
            <v>530950</v>
          </cell>
          <cell r="C725" t="str">
            <v>530950 Contracts Cap Srchg - Reclass to Ovrhds</v>
          </cell>
          <cell r="D725">
            <v>-1166755.53</v>
          </cell>
        </row>
        <row r="726">
          <cell r="B726" t="str">
            <v>530999</v>
          </cell>
          <cell r="C726" t="str">
            <v>530999 Mining - Contracts &amp; Services - Credit</v>
          </cell>
          <cell r="D726">
            <v>-7165585.0700000003</v>
          </cell>
        </row>
        <row r="727">
          <cell r="B727" t="str">
            <v>701050</v>
          </cell>
          <cell r="C727" t="str">
            <v>701050 Contracts &amp; Services-Settled to Capital</v>
          </cell>
          <cell r="D727">
            <v>-14970439.939999999</v>
          </cell>
        </row>
        <row r="728">
          <cell r="B728" t="str">
            <v/>
          </cell>
          <cell r="C728" t="str">
            <v>Total Contracts &amp; Services</v>
          </cell>
          <cell r="D728">
            <v>316981216.42000002</v>
          </cell>
        </row>
        <row r="729">
          <cell r="B729" t="str">
            <v/>
          </cell>
          <cell r="C729" t="str">
            <v>OMAG Expenses - MidAmerican</v>
          </cell>
        </row>
        <row r="730">
          <cell r="B730" t="str">
            <v>545264</v>
          </cell>
          <cell r="C730" t="str">
            <v>545264 BHE Affiliated Svcs - (426.4)</v>
          </cell>
          <cell r="D730">
            <v>161949.97</v>
          </cell>
        </row>
        <row r="731">
          <cell r="B731" t="str">
            <v>545266</v>
          </cell>
          <cell r="C731" t="str">
            <v>545266 BHE Affiliated Svcs - (426.5)</v>
          </cell>
          <cell r="D731">
            <v>21871</v>
          </cell>
        </row>
        <row r="732">
          <cell r="B732" t="str">
            <v>545267</v>
          </cell>
          <cell r="C732" t="str">
            <v>545267 BHE Affiliated Svcs - LTIP (426.5)</v>
          </cell>
          <cell r="D732">
            <v>892316.57</v>
          </cell>
        </row>
        <row r="733">
          <cell r="B733" t="str">
            <v>545268</v>
          </cell>
          <cell r="C733" t="str">
            <v>545268 BHE Affiliated Svcs - Aircraft (426.5)</v>
          </cell>
          <cell r="D733">
            <v>716302.1</v>
          </cell>
        </row>
        <row r="734">
          <cell r="B734" t="str">
            <v>545270</v>
          </cell>
          <cell r="C734" t="str">
            <v>545270 BHE Affiliated Svcs - Labor/Overhead</v>
          </cell>
          <cell r="D734">
            <v>3717712.91</v>
          </cell>
        </row>
        <row r="735">
          <cell r="B735" t="str">
            <v>545271</v>
          </cell>
          <cell r="C735" t="str">
            <v>545271 BHE Affiliated Svcs - Employee Exp</v>
          </cell>
          <cell r="D735">
            <v>2064258.67</v>
          </cell>
        </row>
        <row r="736">
          <cell r="B736" t="str">
            <v>545272</v>
          </cell>
          <cell r="C736" t="str">
            <v>545272 BHE Affiliated Svcs - Contracts &amp; Svc</v>
          </cell>
          <cell r="D736">
            <v>390687.8</v>
          </cell>
        </row>
        <row r="737">
          <cell r="B737" t="str">
            <v>545274</v>
          </cell>
          <cell r="C737" t="str">
            <v>545274 BHE Affiliated Svcs - Reg Comm Exp</v>
          </cell>
          <cell r="D737">
            <v>1211.73</v>
          </cell>
        </row>
        <row r="738">
          <cell r="B738" t="str">
            <v>545280</v>
          </cell>
          <cell r="C738" t="str">
            <v>545280 Affiliated Serv-Labor and OH-Cap Surch</v>
          </cell>
          <cell r="D738">
            <v>1063135.46</v>
          </cell>
        </row>
        <row r="739">
          <cell r="B739" t="str">
            <v>545281</v>
          </cell>
          <cell r="C739" t="str">
            <v>545281 Affiliated Serv-Employee Exp-Cap Surch</v>
          </cell>
          <cell r="D739">
            <v>205825.12</v>
          </cell>
        </row>
        <row r="740">
          <cell r="B740" t="str">
            <v>548530</v>
          </cell>
          <cell r="C740" t="str">
            <v>548530 I/C Moving/Relocation Services - HSofA</v>
          </cell>
          <cell r="D740">
            <v>1303628.55</v>
          </cell>
        </row>
        <row r="741">
          <cell r="B741" t="str">
            <v/>
          </cell>
          <cell r="C741" t="str">
            <v>Total OMAG Expenses - MidAmerican</v>
          </cell>
          <cell r="D741">
            <v>10538899.880000001</v>
          </cell>
        </row>
        <row r="742">
          <cell r="B742" t="str">
            <v/>
          </cell>
          <cell r="C742" t="str">
            <v>Other Operating Expenses</v>
          </cell>
        </row>
        <row r="743">
          <cell r="B743" t="str">
            <v>554702</v>
          </cell>
          <cell r="C743" t="str">
            <v>554702 Other Operating Expenses - (426.5)</v>
          </cell>
          <cell r="D743">
            <v>5550611.6399999997</v>
          </cell>
        </row>
        <row r="744">
          <cell r="B744" t="str">
            <v/>
          </cell>
          <cell r="C744" t="str">
            <v>Total Other Operating Expenses</v>
          </cell>
          <cell r="D744">
            <v>5550611.6399999997</v>
          </cell>
        </row>
        <row r="745">
          <cell r="B745" t="str">
            <v/>
          </cell>
          <cell r="C745" t="str">
            <v>Utilities</v>
          </cell>
        </row>
        <row r="746">
          <cell r="B746" t="str">
            <v>535000</v>
          </cell>
          <cell r="C746" t="str">
            <v>535000 Electricity</v>
          </cell>
          <cell r="D746">
            <v>1338583.21</v>
          </cell>
        </row>
        <row r="747">
          <cell r="B747" t="str">
            <v>535007</v>
          </cell>
          <cell r="C747" t="str">
            <v>535007 Waste Disposal</v>
          </cell>
          <cell r="D747">
            <v>936639.93</v>
          </cell>
        </row>
        <row r="748">
          <cell r="B748" t="str">
            <v>535100</v>
          </cell>
          <cell r="C748" t="str">
            <v>535100 Telephone</v>
          </cell>
          <cell r="D748">
            <v>6258134.79</v>
          </cell>
        </row>
        <row r="749">
          <cell r="B749" t="str">
            <v>535110</v>
          </cell>
          <cell r="C749" t="str">
            <v>535110 Pagers</v>
          </cell>
          <cell r="D749">
            <v>4810.17</v>
          </cell>
        </row>
        <row r="750">
          <cell r="B750" t="str">
            <v>535154</v>
          </cell>
          <cell r="C750" t="str">
            <v>535154 Telephone-Satellite</v>
          </cell>
          <cell r="D750">
            <v>43485.37</v>
          </cell>
        </row>
        <row r="751">
          <cell r="B751" t="str">
            <v>535155</v>
          </cell>
          <cell r="C751" t="str">
            <v>535155 Telecom-Dial-up/Remote Access</v>
          </cell>
          <cell r="D751">
            <v>3722.54</v>
          </cell>
        </row>
        <row r="752">
          <cell r="B752" t="str">
            <v>535160</v>
          </cell>
          <cell r="C752" t="str">
            <v>535160 Metering Equipment - Cell Phone</v>
          </cell>
          <cell r="D752">
            <v>95055.6</v>
          </cell>
        </row>
        <row r="753">
          <cell r="B753" t="str">
            <v>535200</v>
          </cell>
          <cell r="C753" t="str">
            <v>535200 Natural Gas</v>
          </cell>
          <cell r="D753">
            <v>97490.58</v>
          </cell>
        </row>
        <row r="754">
          <cell r="B754" t="str">
            <v>535225</v>
          </cell>
          <cell r="C754" t="str">
            <v>535225 Water</v>
          </cell>
          <cell r="D754">
            <v>993925.47</v>
          </cell>
        </row>
        <row r="755">
          <cell r="B755" t="str">
            <v>535300</v>
          </cell>
          <cell r="C755" t="str">
            <v>535300 Other Utilities</v>
          </cell>
          <cell r="D755">
            <v>117016.28</v>
          </cell>
        </row>
        <row r="756">
          <cell r="B756" t="str">
            <v>535999</v>
          </cell>
          <cell r="C756" t="str">
            <v>535999 Mining - Utilities - Credit</v>
          </cell>
          <cell r="D756">
            <v>-3682.76</v>
          </cell>
        </row>
        <row r="757">
          <cell r="B757" t="str">
            <v/>
          </cell>
          <cell r="C757" t="str">
            <v>Total Utilities</v>
          </cell>
          <cell r="D757">
            <v>9885181.1799999997</v>
          </cell>
        </row>
        <row r="758">
          <cell r="B758" t="str">
            <v/>
          </cell>
          <cell r="C758" t="str">
            <v>DSM/Blue Sky/Solar Amortz Expense</v>
          </cell>
        </row>
        <row r="759">
          <cell r="B759" t="str">
            <v>553400</v>
          </cell>
          <cell r="C759" t="str">
            <v>553400 DSM Amortization Expense</v>
          </cell>
          <cell r="D759">
            <v>134645.9</v>
          </cell>
        </row>
        <row r="760">
          <cell r="B760" t="str">
            <v>553401</v>
          </cell>
          <cell r="C760" t="str">
            <v>553401 DSM Oregon Amortization Expense</v>
          </cell>
          <cell r="D760">
            <v>26556250.82</v>
          </cell>
        </row>
        <row r="761">
          <cell r="B761" t="str">
            <v>553402</v>
          </cell>
          <cell r="C761" t="str">
            <v>553402 DSM Utah Amortization Expense</v>
          </cell>
          <cell r="D761">
            <v>72273519.799999997</v>
          </cell>
        </row>
        <row r="762">
          <cell r="B762" t="str">
            <v>553403</v>
          </cell>
          <cell r="C762" t="str">
            <v>553403 DSM Washington Amortization Expense</v>
          </cell>
          <cell r="D762">
            <v>11235771.43</v>
          </cell>
        </row>
        <row r="763">
          <cell r="B763" t="str">
            <v>553404</v>
          </cell>
          <cell r="C763" t="str">
            <v>553404 DSM California Amortization Expense</v>
          </cell>
          <cell r="D763">
            <v>3595572.36</v>
          </cell>
        </row>
        <row r="764">
          <cell r="B764" t="str">
            <v>553405</v>
          </cell>
          <cell r="C764" t="str">
            <v>553405 DSM Idaho Amortization Expense</v>
          </cell>
          <cell r="D764">
            <v>4995925.95</v>
          </cell>
        </row>
        <row r="765">
          <cell r="B765" t="str">
            <v>553406</v>
          </cell>
          <cell r="C765" t="str">
            <v>553406 DSM WY Amortization - Cat 1 (Sch 2)</v>
          </cell>
          <cell r="D765">
            <v>962349.74</v>
          </cell>
        </row>
        <row r="766">
          <cell r="B766" t="str">
            <v>553407</v>
          </cell>
          <cell r="C766" t="str">
            <v>553407 DSM WY Amort Exp - Cat 2 (Sch 25,40,210)</v>
          </cell>
          <cell r="D766">
            <v>1555515.83</v>
          </cell>
        </row>
        <row r="767">
          <cell r="B767" t="str">
            <v>553408</v>
          </cell>
          <cell r="C767" t="str">
            <v>553408 DSM WY Amort Exp - Cat 3 (Sch 33,46,48T)</v>
          </cell>
          <cell r="D767">
            <v>1707108.46</v>
          </cell>
        </row>
        <row r="768">
          <cell r="B768" t="str">
            <v/>
          </cell>
          <cell r="C768" t="str">
            <v>Total DSM Amortization Expense</v>
          </cell>
          <cell r="D768">
            <v>123016660.29000001</v>
          </cell>
        </row>
        <row r="769">
          <cell r="B769" t="str">
            <v>554403</v>
          </cell>
          <cell r="C769" t="str">
            <v>554403 Blue Sky Expense</v>
          </cell>
          <cell r="D769">
            <v>3367946.47</v>
          </cell>
        </row>
        <row r="770">
          <cell r="B770" t="str">
            <v/>
          </cell>
          <cell r="C770" t="str">
            <v>Total Blue Sky Amortz Expense</v>
          </cell>
          <cell r="D770">
            <v>3367946.47</v>
          </cell>
        </row>
        <row r="771">
          <cell r="B771" t="str">
            <v>554409</v>
          </cell>
          <cell r="C771" t="str">
            <v>554409 Solar Feed-In Amortization Expense</v>
          </cell>
          <cell r="D771">
            <v>9646209.9000000004</v>
          </cell>
        </row>
        <row r="772">
          <cell r="B772" t="str">
            <v/>
          </cell>
          <cell r="C772" t="str">
            <v>Total Solar Feed-In Amortz Expense</v>
          </cell>
          <cell r="D772">
            <v>9646209.9000000004</v>
          </cell>
        </row>
        <row r="773">
          <cell r="B773" t="str">
            <v/>
          </cell>
          <cell r="C773" t="str">
            <v>Total DSM/Blue Sky/Solar Amortz Expense</v>
          </cell>
          <cell r="D773">
            <v>136030816.66</v>
          </cell>
        </row>
        <row r="774">
          <cell r="B774" t="str">
            <v/>
          </cell>
          <cell r="C774" t="str">
            <v>Other O&amp;M and A&amp;G Expense</v>
          </cell>
        </row>
        <row r="775">
          <cell r="B775" t="str">
            <v>513100</v>
          </cell>
          <cell r="C775" t="str">
            <v>513100 Fuel Handling</v>
          </cell>
          <cell r="D775">
            <v>6162940.5999999996</v>
          </cell>
        </row>
        <row r="776">
          <cell r="B776" t="str">
            <v>515105</v>
          </cell>
          <cell r="C776" t="str">
            <v>515105 Coal Railcar Usage</v>
          </cell>
          <cell r="D776">
            <v>26400</v>
          </cell>
        </row>
        <row r="777">
          <cell r="B777" t="str">
            <v>516438</v>
          </cell>
          <cell r="C777" t="str">
            <v>516438 Vehicle Expense - License Fees</v>
          </cell>
          <cell r="D777">
            <v>1119011.3899999999</v>
          </cell>
        </row>
        <row r="778">
          <cell r="B778" t="str">
            <v>533000</v>
          </cell>
          <cell r="C778" t="str">
            <v>533000 Cash Discounts Taken</v>
          </cell>
          <cell r="D778">
            <v>-22263.24</v>
          </cell>
        </row>
        <row r="779">
          <cell r="B779" t="str">
            <v>540000</v>
          </cell>
          <cell r="C779" t="str">
            <v>540000 Office Rent</v>
          </cell>
          <cell r="D779">
            <v>2143294</v>
          </cell>
        </row>
        <row r="780">
          <cell r="B780" t="str">
            <v>540050</v>
          </cell>
          <cell r="C780" t="str">
            <v>540050 Rent Expense - Capital Leases</v>
          </cell>
          <cell r="D780">
            <v>3124665.24</v>
          </cell>
        </row>
        <row r="781">
          <cell r="B781" t="str">
            <v>540150</v>
          </cell>
          <cell r="C781" t="str">
            <v>540150 Rent Expense Offset - Capital Lease Depr</v>
          </cell>
          <cell r="D781">
            <v>-1909317.18</v>
          </cell>
        </row>
        <row r="782">
          <cell r="B782" t="str">
            <v>540200</v>
          </cell>
          <cell r="C782" t="str">
            <v>540200 Rent Expense Offset - Capital Lease Int</v>
          </cell>
          <cell r="D782">
            <v>-1215347.8600000001</v>
          </cell>
        </row>
        <row r="783">
          <cell r="B783" t="str">
            <v>541000</v>
          </cell>
          <cell r="C783" t="str">
            <v>541000 Equipment Rent</v>
          </cell>
          <cell r="D783">
            <v>2485097.42</v>
          </cell>
        </row>
        <row r="784">
          <cell r="B784" t="str">
            <v>541001</v>
          </cell>
          <cell r="C784" t="str">
            <v>541001 Pole Contact Rental Expense</v>
          </cell>
          <cell r="D784">
            <v>949947.47</v>
          </cell>
        </row>
        <row r="785">
          <cell r="B785" t="str">
            <v>541002</v>
          </cell>
          <cell r="C785" t="str">
            <v>541002 Rights of Way Expense</v>
          </cell>
          <cell r="D785">
            <v>2419373.81</v>
          </cell>
        </row>
        <row r="786">
          <cell r="B786" t="str">
            <v>541003</v>
          </cell>
          <cell r="C786" t="str">
            <v>541003 Pole Contact Expense-Non-PPW Asset</v>
          </cell>
          <cell r="D786">
            <v>8263.8799999999992</v>
          </cell>
        </row>
        <row r="787">
          <cell r="B787" t="str">
            <v>543000</v>
          </cell>
          <cell r="C787" t="str">
            <v>543000 Other Rent/Leases</v>
          </cell>
          <cell r="D787">
            <v>3153728.98</v>
          </cell>
        </row>
        <row r="788">
          <cell r="B788" t="str">
            <v>543050</v>
          </cell>
          <cell r="C788" t="str">
            <v>543050 Rent Expense - Wind Plant Land Leases</v>
          </cell>
          <cell r="D788">
            <v>3474401.97</v>
          </cell>
        </row>
        <row r="789">
          <cell r="B789" t="str">
            <v>543055</v>
          </cell>
          <cell r="C789" t="str">
            <v>543055 Rent Expense - Land Use Fees</v>
          </cell>
          <cell r="D789">
            <v>298168.25</v>
          </cell>
        </row>
        <row r="790">
          <cell r="B790" t="str">
            <v>544000</v>
          </cell>
          <cell r="C790" t="str">
            <v>544000 Coal Leases</v>
          </cell>
          <cell r="D790">
            <v>73794</v>
          </cell>
        </row>
        <row r="791">
          <cell r="B791" t="str">
            <v>545000</v>
          </cell>
          <cell r="C791" t="str">
            <v>545000 Liability Insurance Costs</v>
          </cell>
          <cell r="D791">
            <v>2626488.56</v>
          </cell>
        </row>
        <row r="792">
          <cell r="B792" t="str">
            <v>545001</v>
          </cell>
          <cell r="C792" t="str">
            <v>545001 Liability Insurance - Broker Fees</v>
          </cell>
          <cell r="D792">
            <v>125060.91</v>
          </cell>
        </row>
        <row r="793">
          <cell r="B793" t="str">
            <v>545002</v>
          </cell>
          <cell r="C793" t="str">
            <v>545002 Liability Insurance - Surety Bonds</v>
          </cell>
          <cell r="D793">
            <v>171251</v>
          </cell>
        </row>
        <row r="794">
          <cell r="B794" t="str">
            <v>545003</v>
          </cell>
          <cell r="C794" t="str">
            <v>545003 Liability Insurance - Kidnap &amp; Crime</v>
          </cell>
          <cell r="D794">
            <v>23441.57</v>
          </cell>
        </row>
        <row r="795">
          <cell r="B795" t="str">
            <v>545009</v>
          </cell>
          <cell r="C795" t="str">
            <v>545009 Liability Insurance - Other</v>
          </cell>
          <cell r="D795">
            <v>5182.46</v>
          </cell>
        </row>
        <row r="796">
          <cell r="B796" t="str">
            <v>545050</v>
          </cell>
          <cell r="C796" t="str">
            <v>545050 Injury &amp; Damage Insurance Provision</v>
          </cell>
          <cell r="D796">
            <v>-1639456.46</v>
          </cell>
        </row>
        <row r="797">
          <cell r="B797" t="str">
            <v>545052</v>
          </cell>
          <cell r="C797" t="str">
            <v>545052 Injury &amp; Damage Provision - Oregon</v>
          </cell>
          <cell r="D797">
            <v>309208.36</v>
          </cell>
        </row>
        <row r="798">
          <cell r="B798" t="str">
            <v>545100</v>
          </cell>
          <cell r="C798" t="str">
            <v>545100 Royalties</v>
          </cell>
          <cell r="D798">
            <v>56163.55</v>
          </cell>
        </row>
        <row r="799">
          <cell r="B799" t="str">
            <v>545150</v>
          </cell>
          <cell r="C799" t="str">
            <v>545150 Miscellaneous Administ/General Expenses</v>
          </cell>
          <cell r="D799">
            <v>115336.36</v>
          </cell>
        </row>
        <row r="800">
          <cell r="B800" t="str">
            <v>545160</v>
          </cell>
          <cell r="C800" t="str">
            <v>545160 Miscellaneous Project Expenses</v>
          </cell>
          <cell r="D800">
            <v>-710709.61</v>
          </cell>
        </row>
        <row r="801">
          <cell r="B801" t="str">
            <v>545166</v>
          </cell>
          <cell r="C801" t="str">
            <v>545166 Project Cost Transfer - NO SURCHARGES</v>
          </cell>
          <cell r="D801">
            <v>195721.89</v>
          </cell>
        </row>
        <row r="802">
          <cell r="B802" t="str">
            <v>545169</v>
          </cell>
          <cell r="C802" t="str">
            <v>545169 Capital Accruals - Not in AFUDC Base</v>
          </cell>
          <cell r="D802">
            <v>74357.460000000006</v>
          </cell>
        </row>
        <row r="803">
          <cell r="B803" t="str">
            <v>545200</v>
          </cell>
          <cell r="C803" t="str">
            <v>545200 Directors Fees and Expenses</v>
          </cell>
          <cell r="D803">
            <v>14533.88</v>
          </cell>
        </row>
        <row r="804">
          <cell r="B804" t="str">
            <v>545210</v>
          </cell>
          <cell r="C804" t="str">
            <v>545210 A&amp;G Transferred-Credit</v>
          </cell>
          <cell r="D804">
            <v>-152189.03</v>
          </cell>
        </row>
        <row r="805">
          <cell r="B805" t="str">
            <v>545225</v>
          </cell>
          <cell r="C805" t="str">
            <v>545225 Joint Owner-A&amp;G Credits</v>
          </cell>
          <cell r="D805">
            <v>-2284819.11</v>
          </cell>
        </row>
        <row r="806">
          <cell r="B806" t="str">
            <v>545230</v>
          </cell>
          <cell r="C806" t="str">
            <v>545230 Joint Owner-Construction Credits</v>
          </cell>
          <cell r="D806">
            <v>-0.01</v>
          </cell>
        </row>
        <row r="807">
          <cell r="B807" t="str">
            <v>545250</v>
          </cell>
          <cell r="C807" t="str">
            <v>545250 Management Fees</v>
          </cell>
          <cell r="D807">
            <v>79200</v>
          </cell>
        </row>
        <row r="808">
          <cell r="B808" t="str">
            <v>545310</v>
          </cell>
          <cell r="C808" t="str">
            <v>545310 Other O&amp;M Expense</v>
          </cell>
          <cell r="D808">
            <v>829789.64</v>
          </cell>
        </row>
        <row r="809">
          <cell r="B809" t="str">
            <v>545330</v>
          </cell>
          <cell r="C809" t="str">
            <v>545330 Washington RPS REC Purchases</v>
          </cell>
          <cell r="D809">
            <v>38.47</v>
          </cell>
        </row>
        <row r="810">
          <cell r="B810" t="str">
            <v>545350</v>
          </cell>
          <cell r="C810" t="str">
            <v>545350 Postage</v>
          </cell>
          <cell r="D810">
            <v>5899414.6600000001</v>
          </cell>
        </row>
        <row r="811">
          <cell r="B811" t="str">
            <v>545400</v>
          </cell>
          <cell r="C811" t="str">
            <v>545400 Bank Charges &amp; Fees</v>
          </cell>
          <cell r="D811">
            <v>1178446.3899999999</v>
          </cell>
        </row>
        <row r="812">
          <cell r="B812" t="str">
            <v>545450</v>
          </cell>
          <cell r="C812" t="str">
            <v>545450 Filing Fees</v>
          </cell>
          <cell r="D812">
            <v>10622.4</v>
          </cell>
        </row>
        <row r="813">
          <cell r="B813" t="str">
            <v>545500</v>
          </cell>
          <cell r="C813" t="str">
            <v>545500 Settlement Fees</v>
          </cell>
          <cell r="D813">
            <v>582763.18000000005</v>
          </cell>
        </row>
        <row r="814">
          <cell r="B814" t="str">
            <v>545502</v>
          </cell>
          <cell r="C814" t="str">
            <v>545502 Settlement Fees (426.5)</v>
          </cell>
          <cell r="D814">
            <v>424585.61</v>
          </cell>
        </row>
        <row r="815">
          <cell r="B815" t="str">
            <v>545510</v>
          </cell>
          <cell r="C815" t="str">
            <v>545510 Regulatory Penalties &amp; Fines</v>
          </cell>
          <cell r="D815">
            <v>15367.34</v>
          </cell>
        </row>
        <row r="816">
          <cell r="B816" t="str">
            <v>545550</v>
          </cell>
          <cell r="C816" t="str">
            <v>545550 Club/Organization Membership and Expense</v>
          </cell>
          <cell r="D816">
            <v>1612335.53</v>
          </cell>
        </row>
        <row r="817">
          <cell r="B817" t="str">
            <v>545551</v>
          </cell>
          <cell r="C817" t="str">
            <v>545551 Transmission System Dues/Fees (561.8)</v>
          </cell>
          <cell r="D817">
            <v>7528819.8499999996</v>
          </cell>
        </row>
        <row r="818">
          <cell r="B818" t="str">
            <v>545910</v>
          </cell>
          <cell r="C818" t="str">
            <v>545910 Land and Land Rights</v>
          </cell>
          <cell r="D818">
            <v>5404.23</v>
          </cell>
        </row>
        <row r="819">
          <cell r="B819" t="str">
            <v>545990</v>
          </cell>
          <cell r="C819" t="str">
            <v>545990 AuC Expensed</v>
          </cell>
          <cell r="D819">
            <v>1628817.68</v>
          </cell>
        </row>
        <row r="820">
          <cell r="B820" t="str">
            <v>546950</v>
          </cell>
          <cell r="C820" t="str">
            <v>546950 Other Cap Surcharge - Reclass to Ovrhds</v>
          </cell>
          <cell r="D820">
            <v>-133349.82999999999</v>
          </cell>
        </row>
        <row r="821">
          <cell r="B821" t="str">
            <v>546960</v>
          </cell>
          <cell r="C821" t="str">
            <v>546960 Mining - Other O&amp;M and A&amp;G - Credit</v>
          </cell>
          <cell r="D821">
            <v>-366371.14</v>
          </cell>
        </row>
        <row r="822">
          <cell r="B822" t="str">
            <v>548000</v>
          </cell>
          <cell r="C822" t="str">
            <v>548000 Property Insurance Costs - Premiums</v>
          </cell>
          <cell r="D822">
            <v>6111312.3499999996</v>
          </cell>
        </row>
        <row r="823">
          <cell r="B823" t="str">
            <v>548001</v>
          </cell>
          <cell r="C823" t="str">
            <v>548001 Property Insurance - Broker Fees</v>
          </cell>
          <cell r="D823">
            <v>506325.7</v>
          </cell>
        </row>
        <row r="824">
          <cell r="B824" t="str">
            <v>548002</v>
          </cell>
          <cell r="C824" t="str">
            <v>548002 Property Insurance - Low Claims Bonus</v>
          </cell>
          <cell r="D824">
            <v>-566288.13</v>
          </cell>
        </row>
        <row r="825">
          <cell r="B825" t="str">
            <v>548009</v>
          </cell>
          <cell r="C825" t="str">
            <v>548009 Property Insurance - Other</v>
          </cell>
          <cell r="D825">
            <v>4360.3100000000004</v>
          </cell>
        </row>
        <row r="826">
          <cell r="B826" t="str">
            <v>548051</v>
          </cell>
          <cell r="C826" t="str">
            <v>548051 Contra Expense - Property Insurance Adj</v>
          </cell>
          <cell r="D826">
            <v>1035349.81</v>
          </cell>
        </row>
        <row r="827">
          <cell r="B827" t="str">
            <v>548112</v>
          </cell>
          <cell r="C827" t="str">
            <v>548112 Property Insurance Prov Costs - OR</v>
          </cell>
          <cell r="D827">
            <v>7068568.2000000002</v>
          </cell>
        </row>
        <row r="828">
          <cell r="B828" t="str">
            <v>548114</v>
          </cell>
          <cell r="C828" t="str">
            <v>548114 Property Insurance Prov Costs - ID</v>
          </cell>
          <cell r="D828">
            <v>113544</v>
          </cell>
        </row>
        <row r="829">
          <cell r="B829" t="str">
            <v>548115</v>
          </cell>
          <cell r="C829" t="str">
            <v>548115 Property Insurance Prov Costs - UT</v>
          </cell>
          <cell r="D829">
            <v>2152236</v>
          </cell>
        </row>
        <row r="830">
          <cell r="B830" t="str">
            <v>548116</v>
          </cell>
          <cell r="C830" t="str">
            <v>548116 Property Insurance Prov Costs - WY</v>
          </cell>
          <cell r="D830">
            <v>349809.96</v>
          </cell>
        </row>
        <row r="831">
          <cell r="B831" t="str">
            <v>548950</v>
          </cell>
          <cell r="C831" t="str">
            <v>548950 Labor Cap Surcharge - Reclass Debit</v>
          </cell>
          <cell r="D831">
            <v>12886906.24</v>
          </cell>
        </row>
        <row r="832">
          <cell r="B832" t="str">
            <v>549000</v>
          </cell>
          <cell r="C832" t="str">
            <v>549000 Facilities/IT Charges - Allocated Out</v>
          </cell>
          <cell r="D832">
            <v>-555681.11</v>
          </cell>
        </row>
        <row r="833">
          <cell r="B833" t="str">
            <v>549050</v>
          </cell>
          <cell r="C833" t="str">
            <v>549050 Temporary Facilities Clearing</v>
          </cell>
          <cell r="D833">
            <v>-12935.75</v>
          </cell>
        </row>
        <row r="834">
          <cell r="B834" t="str">
            <v>549085</v>
          </cell>
          <cell r="C834" t="str">
            <v>549085 Highway Relocation Charges (Overhead)</v>
          </cell>
          <cell r="D834">
            <v>-350491.24</v>
          </cell>
        </row>
        <row r="835">
          <cell r="B835" t="str">
            <v>549087</v>
          </cell>
          <cell r="C835" t="str">
            <v>549087 Reloc of Co Facilities- Ovrhd (Pub Enty)</v>
          </cell>
          <cell r="D835">
            <v>-119175.69</v>
          </cell>
        </row>
        <row r="836">
          <cell r="B836" t="str">
            <v>549088</v>
          </cell>
          <cell r="C836" t="str">
            <v>549088 Reloc of Co Facilities- Ovrhd (Pvt Enty)</v>
          </cell>
          <cell r="D836">
            <v>-813201.67</v>
          </cell>
        </row>
        <row r="837">
          <cell r="B837" t="str">
            <v>549089</v>
          </cell>
          <cell r="C837" t="str">
            <v>549089 Reloc of Co Facilities- Undrgnd (Public)</v>
          </cell>
          <cell r="D837">
            <v>-118400.69</v>
          </cell>
        </row>
        <row r="838">
          <cell r="B838" t="str">
            <v>549090</v>
          </cell>
          <cell r="C838" t="str">
            <v>549090 Customer Accommodations-Distribution</v>
          </cell>
          <cell r="D838">
            <v>-86793.41</v>
          </cell>
        </row>
        <row r="839">
          <cell r="B839" t="str">
            <v>549091</v>
          </cell>
          <cell r="C839" t="str">
            <v>549091 Reloc of Co Facilities-Undrgrnd(Private)</v>
          </cell>
          <cell r="D839">
            <v>-223975.29</v>
          </cell>
        </row>
        <row r="840">
          <cell r="B840" t="str">
            <v>549092</v>
          </cell>
          <cell r="C840" t="str">
            <v>549092 Ovrdhd to Undrgnd Conv- Cap (Pub Entity)</v>
          </cell>
          <cell r="D840">
            <v>-67313.119999999995</v>
          </cell>
        </row>
        <row r="841">
          <cell r="B841" t="str">
            <v>549093</v>
          </cell>
          <cell r="C841" t="str">
            <v>549093 Ovrdhd to Undrgnd Conv- Cap (Private)</v>
          </cell>
          <cell r="D841">
            <v>-379903.68</v>
          </cell>
        </row>
        <row r="842">
          <cell r="B842" t="str">
            <v>549095</v>
          </cell>
          <cell r="C842" t="str">
            <v>549095 Meter Replacement Charge (Private Party)</v>
          </cell>
          <cell r="D842">
            <v>-35.369999999999997</v>
          </cell>
        </row>
        <row r="843">
          <cell r="B843" t="str">
            <v>549096</v>
          </cell>
          <cell r="C843" t="str">
            <v>549096 Job Estimating Fee - Accommodations</v>
          </cell>
          <cell r="D843">
            <v>-3558.51</v>
          </cell>
        </row>
        <row r="844">
          <cell r="B844" t="str">
            <v>549097</v>
          </cell>
          <cell r="C844" t="str">
            <v>549097 Damage to Company Property (CAP)</v>
          </cell>
          <cell r="D844">
            <v>-1069310.55</v>
          </cell>
        </row>
        <row r="845">
          <cell r="B845" t="str">
            <v>549098</v>
          </cell>
          <cell r="C845" t="str">
            <v>549098 Sale in Place Co. Facility-CAP(Pub Ent)</v>
          </cell>
          <cell r="D845">
            <v>-24780</v>
          </cell>
        </row>
        <row r="846">
          <cell r="B846" t="str">
            <v>549099</v>
          </cell>
          <cell r="C846" t="str">
            <v>549099 Sale in Place Co. Facility-CAP(Private)</v>
          </cell>
          <cell r="D846">
            <v>-50112.61</v>
          </cell>
        </row>
        <row r="847">
          <cell r="B847" t="str">
            <v>549150</v>
          </cell>
          <cell r="C847" t="str">
            <v>549150 CIAC-NonRefundable-Pending Clearing</v>
          </cell>
          <cell r="D847">
            <v>-77443.100000000006</v>
          </cell>
        </row>
        <row r="848">
          <cell r="B848" t="str">
            <v>549152</v>
          </cell>
          <cell r="C848" t="str">
            <v>549152 CIAC-NonRef Line Ext Adv Chrg (Pub Enty)</v>
          </cell>
          <cell r="D848">
            <v>-9203</v>
          </cell>
        </row>
        <row r="849">
          <cell r="B849" t="str">
            <v>549153</v>
          </cell>
          <cell r="C849" t="str">
            <v>549153 CIAC-NonRef Line Ext Adv Chrg (Prv Prty)</v>
          </cell>
          <cell r="D849">
            <v>-22578</v>
          </cell>
        </row>
        <row r="850">
          <cell r="B850" t="str">
            <v>549154</v>
          </cell>
          <cell r="C850" t="str">
            <v>549154 CIAC-Excess Service Footage Charge</v>
          </cell>
          <cell r="D850">
            <v>-299.5</v>
          </cell>
        </row>
        <row r="851">
          <cell r="B851" t="str">
            <v>549156</v>
          </cell>
          <cell r="C851" t="str">
            <v>549156 CIAC-Street Lights (New-Company owned)</v>
          </cell>
          <cell r="D851">
            <v>-6887.46</v>
          </cell>
        </row>
        <row r="852">
          <cell r="B852" t="str">
            <v>549175</v>
          </cell>
          <cell r="C852" t="str">
            <v>549175 Transm Studies &amp; LGIA DAF Clearing</v>
          </cell>
          <cell r="D852">
            <v>-191276.32</v>
          </cell>
        </row>
        <row r="853">
          <cell r="B853" t="str">
            <v>549201</v>
          </cell>
          <cell r="C853" t="str">
            <v>549201 Damage to Company Property (Expense)</v>
          </cell>
          <cell r="D853">
            <v>-1085153.1000000001</v>
          </cell>
        </row>
        <row r="854">
          <cell r="B854" t="str">
            <v>549300</v>
          </cell>
          <cell r="C854" t="str">
            <v>549300 Reimbursements</v>
          </cell>
          <cell r="D854">
            <v>-5926617.1299999999</v>
          </cell>
        </row>
        <row r="855">
          <cell r="B855" t="str">
            <v>549301</v>
          </cell>
          <cell r="C855" t="str">
            <v>549301 Reimbursements - Storm Related</v>
          </cell>
          <cell r="D855">
            <v>-11174220.91</v>
          </cell>
        </row>
        <row r="856">
          <cell r="B856" t="str">
            <v>549302</v>
          </cell>
          <cell r="C856" t="str">
            <v>549302 Reimb - Insurance (Injuries &amp; Damages)</v>
          </cell>
          <cell r="D856">
            <v>-4424670.1399999997</v>
          </cell>
        </row>
        <row r="857">
          <cell r="B857" t="str">
            <v>549303</v>
          </cell>
          <cell r="C857" t="str">
            <v>549303 Reimbursements - Joint Use</v>
          </cell>
          <cell r="D857">
            <v>-229698.89</v>
          </cell>
        </row>
        <row r="858">
          <cell r="B858" t="str">
            <v>549304</v>
          </cell>
          <cell r="C858" t="str">
            <v>549304 Reimb - Insurance - I&amp;D - Legal/Costs</v>
          </cell>
          <cell r="D858">
            <v>-5313505.2699999996</v>
          </cell>
        </row>
        <row r="859">
          <cell r="B859" t="str">
            <v>550500</v>
          </cell>
          <cell r="C859" t="str">
            <v>550500 Rebates/Incentives/Buydowns - Marketing</v>
          </cell>
          <cell r="D859">
            <v>-416295.95</v>
          </cell>
        </row>
        <row r="860">
          <cell r="B860" t="str">
            <v>550700</v>
          </cell>
          <cell r="C860" t="str">
            <v>550700 Bad Debts Write-offs</v>
          </cell>
          <cell r="D860">
            <v>19857970.940000001</v>
          </cell>
        </row>
        <row r="861">
          <cell r="B861" t="str">
            <v>550701</v>
          </cell>
          <cell r="C861" t="str">
            <v>550701 Bad Debts Recoveries</v>
          </cell>
          <cell r="D861">
            <v>-8465536.7200000007</v>
          </cell>
        </row>
        <row r="862">
          <cell r="B862" t="str">
            <v>550750</v>
          </cell>
          <cell r="C862" t="str">
            <v>550750 Provision for Doubtful Accounts</v>
          </cell>
          <cell r="D862">
            <v>155033.26</v>
          </cell>
        </row>
        <row r="863">
          <cell r="B863" t="str">
            <v>550775</v>
          </cell>
          <cell r="C863" t="str">
            <v>550775 Bad Debt Expense - Transmission PD</v>
          </cell>
          <cell r="D863">
            <v>664066.26</v>
          </cell>
        </row>
        <row r="864">
          <cell r="B864" t="str">
            <v>550776</v>
          </cell>
          <cell r="C864" t="str">
            <v>550776 Bad Debt Expense - Joint Use</v>
          </cell>
          <cell r="D864">
            <v>17369.18</v>
          </cell>
        </row>
        <row r="865">
          <cell r="B865" t="str">
            <v>551000</v>
          </cell>
          <cell r="C865" t="str">
            <v>551000 Repairs &amp; Maintenance</v>
          </cell>
          <cell r="D865">
            <v>142216.79</v>
          </cell>
        </row>
        <row r="866">
          <cell r="B866" t="str">
            <v>553110</v>
          </cell>
          <cell r="C866" t="str">
            <v>553110 Challenge Grant</v>
          </cell>
          <cell r="D866">
            <v>79750</v>
          </cell>
        </row>
        <row r="867">
          <cell r="B867" t="str">
            <v>553500</v>
          </cell>
          <cell r="C867" t="str">
            <v>553500 Customer &amp; Marketing Costs-Other</v>
          </cell>
          <cell r="D867">
            <v>7867.37</v>
          </cell>
        </row>
        <row r="868">
          <cell r="B868" t="str">
            <v>554000</v>
          </cell>
          <cell r="C868" t="str">
            <v>554000 Gain on Disposition of Property</v>
          </cell>
          <cell r="D868">
            <v>-1777232.14</v>
          </cell>
        </row>
        <row r="869">
          <cell r="B869" t="str">
            <v>554100</v>
          </cell>
          <cell r="C869" t="str">
            <v>554100 Loss on Disposition of Property</v>
          </cell>
          <cell r="D869">
            <v>29654.2</v>
          </cell>
        </row>
        <row r="870">
          <cell r="B870" t="str">
            <v>566600</v>
          </cell>
          <cell r="C870" t="str">
            <v>566600 Economic Displacement/QF Amort</v>
          </cell>
          <cell r="D870">
            <v>239854.32</v>
          </cell>
        </row>
        <row r="871">
          <cell r="B871" t="str">
            <v>566700</v>
          </cell>
          <cell r="C871" t="str">
            <v>566700 Environmental Cost Amortization</v>
          </cell>
          <cell r="D871">
            <v>3723771.11</v>
          </cell>
        </row>
        <row r="872">
          <cell r="B872" t="str">
            <v>566710</v>
          </cell>
          <cell r="C872" t="str">
            <v>566710 Environmental Cost Amortization - WA</v>
          </cell>
          <cell r="D872">
            <v>49912.92</v>
          </cell>
        </row>
        <row r="873">
          <cell r="B873" t="str">
            <v>566900</v>
          </cell>
          <cell r="C873" t="str">
            <v>566900 Other Amortization</v>
          </cell>
          <cell r="D873">
            <v>171693.24</v>
          </cell>
        </row>
        <row r="874">
          <cell r="B874" t="str">
            <v>566905</v>
          </cell>
          <cell r="C874" t="str">
            <v>566905 Cholla Reg Asset Amortization</v>
          </cell>
          <cell r="D874">
            <v>938632.56</v>
          </cell>
        </row>
        <row r="875">
          <cell r="B875" t="str">
            <v>582100</v>
          </cell>
          <cell r="C875" t="str">
            <v>582100 Industry Compliance Fees</v>
          </cell>
          <cell r="D875">
            <v>19836.52</v>
          </cell>
        </row>
        <row r="876">
          <cell r="B876" t="str">
            <v>582300</v>
          </cell>
          <cell r="C876" t="str">
            <v>582300 Permits &amp; Licenses</v>
          </cell>
          <cell r="D876">
            <v>3959960.35</v>
          </cell>
        </row>
        <row r="877">
          <cell r="B877" t="str">
            <v>582320</v>
          </cell>
          <cell r="C877" t="str">
            <v>582320 Hydro Permits &amp; Licenses</v>
          </cell>
          <cell r="D877">
            <v>772434.06</v>
          </cell>
        </row>
        <row r="878">
          <cell r="B878" t="str">
            <v>582400</v>
          </cell>
          <cell r="C878" t="str">
            <v>582400 FERC Annual Fee</v>
          </cell>
          <cell r="D878">
            <v>4203203.5</v>
          </cell>
        </row>
        <row r="879">
          <cell r="B879" t="str">
            <v>582450</v>
          </cell>
          <cell r="C879" t="str">
            <v>582450 Hydro FERC License Fee</v>
          </cell>
          <cell r="D879">
            <v>206250</v>
          </cell>
        </row>
        <row r="880">
          <cell r="B880" t="str">
            <v>582500</v>
          </cell>
          <cell r="C880" t="str">
            <v>582500 Regulatory Commission Expense</v>
          </cell>
          <cell r="D880">
            <v>12272867.85</v>
          </cell>
        </row>
        <row r="881">
          <cell r="B881" t="str">
            <v>582501</v>
          </cell>
          <cell r="C881" t="str">
            <v>582501 Intervenor Funding Amortization</v>
          </cell>
          <cell r="D881">
            <v>1290508</v>
          </cell>
        </row>
        <row r="882">
          <cell r="B882" t="str">
            <v>583300</v>
          </cell>
          <cell r="C882" t="str">
            <v>583300 Recruiting Fees</v>
          </cell>
          <cell r="D882">
            <v>322226.77</v>
          </cell>
        </row>
        <row r="883">
          <cell r="B883" t="str">
            <v>699020</v>
          </cell>
          <cell r="C883" t="str">
            <v>699020 Corporate Allocations FI/CO Reconciliation</v>
          </cell>
          <cell r="D883">
            <v>83758.66</v>
          </cell>
        </row>
        <row r="884">
          <cell r="B884" t="str">
            <v>701060</v>
          </cell>
          <cell r="C884" t="str">
            <v>701060 Other Serv &amp; Support-Settled to Capital</v>
          </cell>
          <cell r="D884">
            <v>3209453.29</v>
          </cell>
        </row>
        <row r="885">
          <cell r="B885" t="str">
            <v/>
          </cell>
          <cell r="C885" t="str">
            <v>Total Other O&amp;M and A&amp;G Expense</v>
          </cell>
          <cell r="D885">
            <v>79601743.790000007</v>
          </cell>
        </row>
        <row r="886">
          <cell r="B886" t="str">
            <v/>
          </cell>
          <cell r="C886" t="str">
            <v>Total Operations,Maintenance, Admin &amp; General</v>
          </cell>
          <cell r="D886">
            <v>1064431308.6900001</v>
          </cell>
        </row>
        <row r="887">
          <cell r="B887" t="str">
            <v/>
          </cell>
          <cell r="C887" t="str">
            <v>Depreciation and Amortization</v>
          </cell>
        </row>
        <row r="888">
          <cell r="B888" t="str">
            <v/>
          </cell>
          <cell r="C888" t="str">
            <v>Depreciation</v>
          </cell>
        </row>
        <row r="889">
          <cell r="B889" t="str">
            <v>565120</v>
          </cell>
          <cell r="C889" t="str">
            <v>565120 Depreciation - Buildings</v>
          </cell>
          <cell r="D889">
            <v>3744135.94</v>
          </cell>
        </row>
        <row r="890">
          <cell r="B890" t="str">
            <v>565130</v>
          </cell>
          <cell r="C890" t="str">
            <v>565130 Depreciation - Production Assets</v>
          </cell>
          <cell r="D890">
            <v>399355402.97000003</v>
          </cell>
        </row>
        <row r="891">
          <cell r="B891" t="str">
            <v>565131</v>
          </cell>
          <cell r="C891" t="str">
            <v>565131 Depr - Prod Steam Not Classified</v>
          </cell>
          <cell r="D891">
            <v>-4323387.8499999996</v>
          </cell>
        </row>
        <row r="892">
          <cell r="B892" t="str">
            <v>565132</v>
          </cell>
          <cell r="C892" t="str">
            <v>565132 Depr - Prod Steam OR Incremental</v>
          </cell>
          <cell r="D892">
            <v>26503150.170000002</v>
          </cell>
        </row>
        <row r="893">
          <cell r="B893" t="str">
            <v>565133</v>
          </cell>
          <cell r="C893" t="str">
            <v>565133 Depr - Prod Hydro Other</v>
          </cell>
          <cell r="D893">
            <v>658344.30000000005</v>
          </cell>
        </row>
        <row r="894">
          <cell r="B894" t="str">
            <v>565134</v>
          </cell>
          <cell r="C894" t="str">
            <v>565134 Depr - Prod Other Not Classified</v>
          </cell>
          <cell r="D894">
            <v>266845.86</v>
          </cell>
        </row>
        <row r="895">
          <cell r="B895" t="str">
            <v>565140</v>
          </cell>
          <cell r="C895" t="str">
            <v>565140 Depreciation - Transmission Assets</v>
          </cell>
          <cell r="D895">
            <v>103252394.84999999</v>
          </cell>
        </row>
        <row r="896">
          <cell r="B896" t="str">
            <v>565141</v>
          </cell>
          <cell r="C896" t="str">
            <v>565141 Depr - Trans Assets Not Classified</v>
          </cell>
          <cell r="D896">
            <v>1098979.53</v>
          </cell>
        </row>
        <row r="897">
          <cell r="B897" t="str">
            <v>565142</v>
          </cell>
          <cell r="C897" t="str">
            <v>565142 Depreciation - Transm - ID Pop-Term Adj</v>
          </cell>
          <cell r="D897">
            <v>303631.32</v>
          </cell>
        </row>
        <row r="898">
          <cell r="B898" t="str">
            <v>565160</v>
          </cell>
          <cell r="C898" t="str">
            <v>565160 Depreciation - Distribution Assets</v>
          </cell>
          <cell r="D898">
            <v>170620822.63</v>
          </cell>
        </row>
        <row r="899">
          <cell r="B899" t="str">
            <v>565161</v>
          </cell>
          <cell r="C899" t="str">
            <v>565161 Depr - Dist Assets Not Classified</v>
          </cell>
          <cell r="D899">
            <v>-26607065.640000001</v>
          </cell>
        </row>
        <row r="900">
          <cell r="B900" t="str">
            <v>565180</v>
          </cell>
          <cell r="C900" t="str">
            <v>565180 Depreciation-Motor Veh. &amp; Mobile Plant</v>
          </cell>
          <cell r="D900">
            <v>14406748.880000001</v>
          </cell>
        </row>
        <row r="901">
          <cell r="B901" t="str">
            <v>565190</v>
          </cell>
          <cell r="C901" t="str">
            <v>565190 Depreciation-Office Furn. &amp; Equipment</v>
          </cell>
          <cell r="D901">
            <v>11309051.18</v>
          </cell>
        </row>
        <row r="902">
          <cell r="B902" t="str">
            <v>565200</v>
          </cell>
          <cell r="C902" t="str">
            <v>565200 Depreciation-Other General Plnt &amp; Equip</v>
          </cell>
          <cell r="D902">
            <v>24524816.350000001</v>
          </cell>
        </row>
        <row r="903">
          <cell r="B903" t="str">
            <v>565201</v>
          </cell>
          <cell r="C903" t="str">
            <v>565201 Depr - Gen Assets Not Classified</v>
          </cell>
          <cell r="D903">
            <v>620241.68999999994</v>
          </cell>
        </row>
        <row r="904">
          <cell r="B904" t="str">
            <v>565300</v>
          </cell>
          <cell r="C904" t="str">
            <v>565300 Depreciation - Aircraft</v>
          </cell>
          <cell r="D904">
            <v>77228.52</v>
          </cell>
        </row>
        <row r="905">
          <cell r="B905" t="str">
            <v>565460</v>
          </cell>
          <cell r="C905" t="str">
            <v>565460 Depreciation - Capital Leases</v>
          </cell>
          <cell r="D905">
            <v>1641180.86</v>
          </cell>
        </row>
        <row r="906">
          <cell r="B906" t="str">
            <v>565960</v>
          </cell>
          <cell r="C906" t="str">
            <v>565960 Mining - Depreciation - Credit</v>
          </cell>
          <cell r="D906">
            <v>-1966463.01</v>
          </cell>
        </row>
        <row r="907">
          <cell r="B907" t="str">
            <v>565970</v>
          </cell>
          <cell r="C907" t="str">
            <v>565970 Depreciation-Joint Owner Billed-Credit</v>
          </cell>
          <cell r="D907">
            <v>-265926</v>
          </cell>
        </row>
        <row r="908">
          <cell r="B908" t="str">
            <v/>
          </cell>
          <cell r="C908" t="str">
            <v>Total Depreciation</v>
          </cell>
          <cell r="D908">
            <v>725220132.54999995</v>
          </cell>
        </row>
        <row r="909">
          <cell r="B909" t="str">
            <v/>
          </cell>
          <cell r="C909" t="str">
            <v>Amortization</v>
          </cell>
        </row>
        <row r="910">
          <cell r="B910" t="str">
            <v>566140</v>
          </cell>
          <cell r="C910" t="str">
            <v>566140 Software Development</v>
          </cell>
          <cell r="D910">
            <v>19551420.530000001</v>
          </cell>
        </row>
        <row r="911">
          <cell r="B911" t="str">
            <v>566200</v>
          </cell>
          <cell r="C911" t="str">
            <v>566200 Other Intangible Assets</v>
          </cell>
          <cell r="D911">
            <v>13605907.960000001</v>
          </cell>
        </row>
        <row r="912">
          <cell r="B912" t="str">
            <v>566201</v>
          </cell>
          <cell r="C912" t="str">
            <v>566201 Amort Exp - Hydro - UT Klamath Adj</v>
          </cell>
          <cell r="D912">
            <v>4483442.4000000004</v>
          </cell>
        </row>
        <row r="913">
          <cell r="B913" t="str">
            <v>566202</v>
          </cell>
          <cell r="C913" t="str">
            <v>566202 Amort Exp - Hydro - WY Klamath Adj</v>
          </cell>
          <cell r="D913">
            <v>-439448.81</v>
          </cell>
        </row>
        <row r="914">
          <cell r="B914" t="str">
            <v>566210</v>
          </cell>
          <cell r="C914" t="str">
            <v>566210 Other Licensing/Hydro Amort</v>
          </cell>
          <cell r="D914">
            <v>1344291.97</v>
          </cell>
        </row>
        <row r="915">
          <cell r="B915" t="str">
            <v>566230</v>
          </cell>
          <cell r="C915" t="str">
            <v>566230 Amort Exp - Leasehold Improvements</v>
          </cell>
          <cell r="D915">
            <v>1480587.87</v>
          </cell>
        </row>
        <row r="916">
          <cell r="B916" t="str">
            <v>566920</v>
          </cell>
          <cell r="C916" t="str">
            <v>566920 Amort of Electric Plant Acquis Adj</v>
          </cell>
          <cell r="D916">
            <v>5083194.9000000004</v>
          </cell>
        </row>
        <row r="917">
          <cell r="B917" t="str">
            <v>566944</v>
          </cell>
          <cell r="C917" t="str">
            <v>566944 Amortization of ARO Reg Asset/Liab</v>
          </cell>
          <cell r="D917">
            <v>26216.28</v>
          </cell>
        </row>
        <row r="918">
          <cell r="B918" t="str">
            <v>566970</v>
          </cell>
          <cell r="C918" t="str">
            <v>566970 Amortization-Joint Owner Billed-Credit</v>
          </cell>
          <cell r="D918">
            <v>-104910.01</v>
          </cell>
        </row>
        <row r="919">
          <cell r="B919" t="str">
            <v/>
          </cell>
          <cell r="C919" t="str">
            <v>Total Amortization</v>
          </cell>
          <cell r="D919">
            <v>45030703.090000004</v>
          </cell>
        </row>
        <row r="920">
          <cell r="B920" t="str">
            <v/>
          </cell>
          <cell r="C920" t="str">
            <v>Total Depreciation and Amortization</v>
          </cell>
          <cell r="D920">
            <v>770250835.63999999</v>
          </cell>
        </row>
        <row r="921">
          <cell r="B921" t="str">
            <v/>
          </cell>
          <cell r="C921" t="str">
            <v>Taxes, Other than Income Taxes</v>
          </cell>
        </row>
        <row r="922">
          <cell r="B922" t="str">
            <v>578000</v>
          </cell>
          <cell r="C922" t="str">
            <v>578000 Franchise Tax</v>
          </cell>
          <cell r="D922">
            <v>32753835.09</v>
          </cell>
        </row>
        <row r="923">
          <cell r="B923" t="str">
            <v>579000</v>
          </cell>
          <cell r="C923" t="str">
            <v>579000 Property Tax</v>
          </cell>
          <cell r="D923">
            <v>140117830.09999999</v>
          </cell>
        </row>
        <row r="924">
          <cell r="B924" t="str">
            <v>583260</v>
          </cell>
          <cell r="C924" t="str">
            <v>583260 Washington Public Utility Tax</v>
          </cell>
          <cell r="D924">
            <v>12692326.75</v>
          </cell>
        </row>
        <row r="925">
          <cell r="B925" t="str">
            <v>583261</v>
          </cell>
          <cell r="C925" t="str">
            <v>583261 Oregon Energy Resource Supplier Tax</v>
          </cell>
          <cell r="D925">
            <v>1475126.5</v>
          </cell>
        </row>
        <row r="926">
          <cell r="B926" t="str">
            <v>583262</v>
          </cell>
          <cell r="C926" t="str">
            <v>583262 Navajo Business Activity Tax</v>
          </cell>
          <cell r="D926">
            <v>1208.48</v>
          </cell>
        </row>
        <row r="927">
          <cell r="B927" t="str">
            <v>583263</v>
          </cell>
          <cell r="C927" t="str">
            <v>583263 Montana Energy Tax</v>
          </cell>
          <cell r="D927">
            <v>214983.2</v>
          </cell>
        </row>
        <row r="928">
          <cell r="B928" t="str">
            <v>583265</v>
          </cell>
          <cell r="C928" t="str">
            <v>583265 Washington Gross Revenue Tax - Services</v>
          </cell>
          <cell r="D928">
            <v>26281.48</v>
          </cell>
        </row>
        <row r="929">
          <cell r="B929" t="str">
            <v>583266</v>
          </cell>
          <cell r="C929" t="str">
            <v>583266 Idaho Kilowatt-Hour Tax</v>
          </cell>
          <cell r="D929">
            <v>44758.71</v>
          </cell>
        </row>
        <row r="930">
          <cell r="B930" t="str">
            <v>583267</v>
          </cell>
          <cell r="C930" t="str">
            <v>583267 Wyoming Annual Corporation Fee (Tax)</v>
          </cell>
          <cell r="D930">
            <v>71079.460000000006</v>
          </cell>
        </row>
        <row r="931">
          <cell r="B931" t="str">
            <v>583269</v>
          </cell>
          <cell r="C931" t="str">
            <v>583269 Montana Wholesale Energy Transaction Tax</v>
          </cell>
          <cell r="D931">
            <v>152600.54</v>
          </cell>
        </row>
        <row r="932">
          <cell r="B932" t="str">
            <v>583273</v>
          </cell>
          <cell r="C932" t="str">
            <v>583273 Wyoming Wind Generation Tax</v>
          </cell>
          <cell r="D932">
            <v>2051320</v>
          </cell>
        </row>
        <row r="933">
          <cell r="B933" t="str">
            <v>583274</v>
          </cell>
          <cell r="C933" t="str">
            <v>583274 Nevada Commerce Tax</v>
          </cell>
          <cell r="D933">
            <v>31184.44</v>
          </cell>
        </row>
        <row r="934">
          <cell r="B934" t="str">
            <v>584100</v>
          </cell>
          <cell r="C934" t="str">
            <v>584100 Government Royalties</v>
          </cell>
          <cell r="D934">
            <v>232207.92</v>
          </cell>
        </row>
        <row r="935">
          <cell r="B935" t="str">
            <v>584201</v>
          </cell>
          <cell r="C935" t="str">
            <v>584201 Other Royalties - Mines</v>
          </cell>
          <cell r="D935">
            <v>500</v>
          </cell>
        </row>
        <row r="936">
          <cell r="B936" t="str">
            <v>584960</v>
          </cell>
          <cell r="C936" t="str">
            <v>584960 Taxes Other Non-Income - Credit</v>
          </cell>
          <cell r="D936">
            <v>-232707.92</v>
          </cell>
        </row>
        <row r="937">
          <cell r="B937" t="str">
            <v/>
          </cell>
          <cell r="C937" t="str">
            <v>Total Taxes, Other than Income Taxes</v>
          </cell>
          <cell r="D937">
            <v>189632534.75</v>
          </cell>
        </row>
        <row r="938">
          <cell r="B938" t="str">
            <v/>
          </cell>
          <cell r="C938" t="str">
            <v>Total Income From Operations</v>
          </cell>
          <cell r="D938">
            <v>-1425888088.22</v>
          </cell>
        </row>
        <row r="939">
          <cell r="B939" t="str">
            <v/>
          </cell>
          <cell r="C939" t="str">
            <v>Interest Expense and Other</v>
          </cell>
        </row>
        <row r="940">
          <cell r="B940" t="str">
            <v/>
          </cell>
          <cell r="C940" t="str">
            <v>Interest Income</v>
          </cell>
        </row>
        <row r="941">
          <cell r="B941" t="str">
            <v/>
          </cell>
          <cell r="C941" t="str">
            <v>Interest Income External</v>
          </cell>
        </row>
        <row r="942">
          <cell r="B942" t="str">
            <v>385412</v>
          </cell>
          <cell r="C942" t="str">
            <v>385412 Interest Income - Margin Deposits</v>
          </cell>
          <cell r="D942">
            <v>-275653.52</v>
          </cell>
        </row>
        <row r="943">
          <cell r="B943" t="str">
            <v>385413</v>
          </cell>
          <cell r="C943" t="str">
            <v>385413 Interest Income - Transmission Deposits</v>
          </cell>
          <cell r="D943">
            <v>-364845.41</v>
          </cell>
        </row>
        <row r="944">
          <cell r="B944" t="str">
            <v/>
          </cell>
          <cell r="C944" t="str">
            <v>Total Interest Income - Deposits</v>
          </cell>
          <cell r="D944">
            <v>-640498.93000000005</v>
          </cell>
        </row>
        <row r="945">
          <cell r="B945" t="str">
            <v>385414</v>
          </cell>
          <cell r="C945" t="str">
            <v>385414 Interest Income - Deferred Compensation</v>
          </cell>
          <cell r="D945">
            <v>-3604.26</v>
          </cell>
        </row>
        <row r="946">
          <cell r="B946" t="str">
            <v>385415</v>
          </cell>
          <cell r="C946" t="str">
            <v>385415 Interest Income - COLI/SERP</v>
          </cell>
          <cell r="D946">
            <v>-14392.56</v>
          </cell>
        </row>
        <row r="947">
          <cell r="B947" t="str">
            <v>385416</v>
          </cell>
          <cell r="C947" t="str">
            <v>385416 Interest Income - Trojan Decom Trust</v>
          </cell>
          <cell r="D947">
            <v>-4064.51</v>
          </cell>
        </row>
        <row r="948">
          <cell r="B948" t="str">
            <v>385417</v>
          </cell>
          <cell r="C948" t="str">
            <v>385417 Interest Income - Hydro Oblig Trusts</v>
          </cell>
          <cell r="D948">
            <v>-395.98</v>
          </cell>
        </row>
        <row r="949">
          <cell r="B949" t="str">
            <v>385418</v>
          </cell>
          <cell r="C949" t="str">
            <v>385418 Interest Income - IBEW 57 Pension Trust</v>
          </cell>
          <cell r="D949">
            <v>-6412.53</v>
          </cell>
        </row>
        <row r="950">
          <cell r="B950" t="str">
            <v/>
          </cell>
          <cell r="C950" t="str">
            <v>Total Interest Income - Trusts</v>
          </cell>
          <cell r="D950">
            <v>-28869.84</v>
          </cell>
        </row>
        <row r="951">
          <cell r="B951" t="str">
            <v>385420</v>
          </cell>
          <cell r="C951" t="str">
            <v>385420 Interest Income - Regulatory Assets - Other</v>
          </cell>
          <cell r="D951">
            <v>-328558.06</v>
          </cell>
        </row>
        <row r="952">
          <cell r="B952" t="str">
            <v>385421</v>
          </cell>
          <cell r="C952" t="str">
            <v>385421 Interest Income - DSM Carrying Charges</v>
          </cell>
          <cell r="D952">
            <v>-175798</v>
          </cell>
        </row>
        <row r="953">
          <cell r="B953" t="str">
            <v>385425</v>
          </cell>
          <cell r="C953" t="str">
            <v>385425 Interest Income - Reg Asset - Def Net Power Costs</v>
          </cell>
          <cell r="D953">
            <v>-2456308.87</v>
          </cell>
        </row>
        <row r="954">
          <cell r="B954" t="str">
            <v>385430</v>
          </cell>
          <cell r="C954" t="str">
            <v>385430 Interest Income - Reg Asset - Deferred Intervenor</v>
          </cell>
          <cell r="D954">
            <v>-33594.639999999999</v>
          </cell>
        </row>
        <row r="955">
          <cell r="B955" t="str">
            <v>385434</v>
          </cell>
          <cell r="C955" t="str">
            <v>385434 Int Income - Reg Asset - Klamath Costs</v>
          </cell>
          <cell r="D955">
            <v>-1148141.8700000001</v>
          </cell>
        </row>
        <row r="956">
          <cell r="B956" t="str">
            <v>385435</v>
          </cell>
          <cell r="C956" t="str">
            <v>385435 Interest Income - Reg Asset - REC Defs</v>
          </cell>
          <cell r="D956">
            <v>8921.56</v>
          </cell>
        </row>
        <row r="957">
          <cell r="B957" t="str">
            <v>385436</v>
          </cell>
          <cell r="C957" t="str">
            <v>385436 Interest Income - Reg Asset - GHG Allow</v>
          </cell>
          <cell r="D957">
            <v>-6606.34</v>
          </cell>
        </row>
        <row r="958">
          <cell r="B958" t="str">
            <v>385437</v>
          </cell>
          <cell r="C958" t="str">
            <v>385437 Interest Income - Reg Asset - Deer Creek</v>
          </cell>
          <cell r="D958">
            <v>-1578523.96</v>
          </cell>
        </row>
        <row r="959">
          <cell r="B959" t="str">
            <v>385438</v>
          </cell>
          <cell r="C959" t="str">
            <v>385438 Interest Income - Reg Asset-PR Med Loss</v>
          </cell>
          <cell r="D959">
            <v>-372012</v>
          </cell>
        </row>
        <row r="960">
          <cell r="B960" t="str">
            <v/>
          </cell>
          <cell r="C960" t="str">
            <v>Total Interest Income - Reg Assets</v>
          </cell>
          <cell r="D960">
            <v>-6090622.1799999997</v>
          </cell>
        </row>
        <row r="961">
          <cell r="B961" t="str">
            <v>385406</v>
          </cell>
          <cell r="C961" t="str">
            <v>385406 Interest Income - Notes Receivable</v>
          </cell>
          <cell r="D961">
            <v>-1205869.6599999999</v>
          </cell>
        </row>
        <row r="962">
          <cell r="B962" t="str">
            <v/>
          </cell>
          <cell r="C962" t="str">
            <v>Total Interest Income - Notes</v>
          </cell>
          <cell r="D962">
            <v>-1205869.6599999999</v>
          </cell>
        </row>
        <row r="963">
          <cell r="B963" t="str">
            <v>385800</v>
          </cell>
          <cell r="C963" t="str">
            <v>385800 Investment Income</v>
          </cell>
          <cell r="D963">
            <v>-442975.82</v>
          </cell>
        </row>
        <row r="964">
          <cell r="B964" t="str">
            <v/>
          </cell>
          <cell r="C964" t="str">
            <v>Total Interest Income - Temp Cash Investments</v>
          </cell>
          <cell r="D964">
            <v>-442975.82</v>
          </cell>
        </row>
        <row r="965">
          <cell r="B965" t="str">
            <v>385363</v>
          </cell>
          <cell r="C965" t="str">
            <v>385363 Interest Income - JO Carrying Charges</v>
          </cell>
          <cell r="D965">
            <v>-552624.06999999995</v>
          </cell>
        </row>
        <row r="966">
          <cell r="B966" t="str">
            <v>385400</v>
          </cell>
          <cell r="C966" t="str">
            <v>385400 Interest Income - Other</v>
          </cell>
          <cell r="D966">
            <v>-57044.03</v>
          </cell>
        </row>
        <row r="967">
          <cell r="B967" t="str">
            <v>385432</v>
          </cell>
          <cell r="C967" t="str">
            <v>385432 Interest Income - Power Sales/Purchases</v>
          </cell>
          <cell r="D967">
            <v>-26192.15</v>
          </cell>
        </row>
        <row r="968">
          <cell r="B968" t="str">
            <v/>
          </cell>
          <cell r="C968" t="str">
            <v>Total Interest Income - Other</v>
          </cell>
          <cell r="D968">
            <v>-635860.25</v>
          </cell>
        </row>
        <row r="969">
          <cell r="B969" t="str">
            <v/>
          </cell>
          <cell r="C969" t="str">
            <v>Total Interest Income External</v>
          </cell>
          <cell r="D969">
            <v>-9044696.6799999997</v>
          </cell>
        </row>
        <row r="970">
          <cell r="B970" t="str">
            <v>386201</v>
          </cell>
          <cell r="C970" t="str">
            <v>386201 InterCo Interest Income - PMI</v>
          </cell>
          <cell r="D970">
            <v>-21198.27</v>
          </cell>
        </row>
        <row r="971">
          <cell r="B971" t="str">
            <v/>
          </cell>
          <cell r="C971" t="str">
            <v>Total Interest Income Inter-Company</v>
          </cell>
          <cell r="D971">
            <v>-21198.27</v>
          </cell>
        </row>
        <row r="972">
          <cell r="B972" t="str">
            <v/>
          </cell>
          <cell r="C972" t="str">
            <v>Total Interest Income</v>
          </cell>
          <cell r="D972">
            <v>-9065894.9499999993</v>
          </cell>
        </row>
        <row r="973">
          <cell r="B973" t="str">
            <v/>
          </cell>
          <cell r="C973" t="str">
            <v>Interest Expense</v>
          </cell>
        </row>
        <row r="974">
          <cell r="B974" t="str">
            <v/>
          </cell>
          <cell r="C974" t="str">
            <v>Interest Expense - External</v>
          </cell>
        </row>
        <row r="975">
          <cell r="B975" t="str">
            <v>585001</v>
          </cell>
          <cell r="C975" t="str">
            <v>585001 Interest Expense - Long-Term Debt - FMBs</v>
          </cell>
          <cell r="D975">
            <v>323406111.24000001</v>
          </cell>
        </row>
        <row r="976">
          <cell r="B976" t="str">
            <v>585002</v>
          </cell>
          <cell r="C976" t="str">
            <v>585002 Interest Expense - Long-Term Debt - MTNs</v>
          </cell>
          <cell r="D976">
            <v>31567050</v>
          </cell>
        </row>
        <row r="977">
          <cell r="B977" t="str">
            <v>585004</v>
          </cell>
          <cell r="C977" t="str">
            <v>585004 Interest Expense - LT Debt - PCRBs Variable Rate</v>
          </cell>
          <cell r="D977">
            <v>1757786.29</v>
          </cell>
        </row>
        <row r="978">
          <cell r="B978" t="str">
            <v>585005</v>
          </cell>
          <cell r="C978" t="str">
            <v>585005 Interest Expense - LT Debt - PCRB Fees &amp; Amortz</v>
          </cell>
          <cell r="D978">
            <v>2743882.53</v>
          </cell>
        </row>
        <row r="979">
          <cell r="B979" t="str">
            <v/>
          </cell>
          <cell r="C979" t="str">
            <v>Total Interest Expense - LT Debt</v>
          </cell>
          <cell r="D979">
            <v>359474830.06</v>
          </cell>
        </row>
        <row r="980">
          <cell r="B980" t="str">
            <v>585150</v>
          </cell>
          <cell r="C980" t="str">
            <v>585150 Interest Expense - Short Term Borrowings</v>
          </cell>
          <cell r="D980">
            <v>85546.13</v>
          </cell>
        </row>
        <row r="981">
          <cell r="B981" t="str">
            <v>585919</v>
          </cell>
          <cell r="C981" t="str">
            <v>585919 Interest Expense - Credit Facility Fees &amp; Amortz</v>
          </cell>
          <cell r="D981">
            <v>1663455.25</v>
          </cell>
        </row>
        <row r="982">
          <cell r="B982" t="str">
            <v/>
          </cell>
          <cell r="C982" t="str">
            <v>Total Interest Expense - ST Debt</v>
          </cell>
          <cell r="D982">
            <v>1749001.38</v>
          </cell>
        </row>
        <row r="983">
          <cell r="B983" t="str">
            <v>543010</v>
          </cell>
          <cell r="C983" t="str">
            <v>543010 Capital Lease Interest</v>
          </cell>
          <cell r="D983">
            <v>3476935.5</v>
          </cell>
        </row>
        <row r="984">
          <cell r="B984" t="str">
            <v/>
          </cell>
          <cell r="C984" t="str">
            <v>Total Interest Expense - Capital Leases</v>
          </cell>
          <cell r="D984">
            <v>3476935.5</v>
          </cell>
        </row>
        <row r="985">
          <cell r="B985" t="str">
            <v>586160</v>
          </cell>
          <cell r="C985" t="str">
            <v>586160 Amortization - Debt Discount</v>
          </cell>
          <cell r="D985">
            <v>1018837.35</v>
          </cell>
        </row>
        <row r="986">
          <cell r="B986" t="str">
            <v>586170</v>
          </cell>
          <cell r="C986" t="str">
            <v>586170 Amortization - Debt Issuance Exp</v>
          </cell>
          <cell r="D986">
            <v>3123377.28</v>
          </cell>
        </row>
        <row r="987">
          <cell r="B987" t="str">
            <v>586180</v>
          </cell>
          <cell r="C987" t="str">
            <v>586180 Amortization - Debt Premium/Gain</v>
          </cell>
          <cell r="D987">
            <v>-11025.9</v>
          </cell>
        </row>
        <row r="988">
          <cell r="B988" t="str">
            <v>586190</v>
          </cell>
          <cell r="C988" t="str">
            <v>586190 Amortization - Loss on Reacquired Debt</v>
          </cell>
          <cell r="D988">
            <v>667664.61</v>
          </cell>
        </row>
        <row r="989">
          <cell r="B989" t="str">
            <v/>
          </cell>
          <cell r="C989" t="str">
            <v>Total Interest Expense Amortization - Debt</v>
          </cell>
          <cell r="D989">
            <v>4798853.34</v>
          </cell>
        </row>
        <row r="990">
          <cell r="B990" t="str">
            <v>585912</v>
          </cell>
          <cell r="C990" t="str">
            <v>585912 Interest Expense - COLI Loan Interest</v>
          </cell>
          <cell r="D990">
            <v>2532519.36</v>
          </cell>
        </row>
        <row r="991">
          <cell r="B991" t="str">
            <v>585913</v>
          </cell>
          <cell r="C991" t="str">
            <v>585913 Interest Expense - SERP Life Insurance</v>
          </cell>
          <cell r="D991">
            <v>25449.79</v>
          </cell>
        </row>
        <row r="992">
          <cell r="B992" t="str">
            <v/>
          </cell>
          <cell r="C992" t="str">
            <v>Total Interest Expense - Loan Interest</v>
          </cell>
          <cell r="D992">
            <v>2557969.15</v>
          </cell>
        </row>
        <row r="993">
          <cell r="B993" t="str">
            <v>585100</v>
          </cell>
          <cell r="C993" t="str">
            <v>585100 Interest Expense - Customer Security Deposits</v>
          </cell>
          <cell r="D993">
            <v>888971.27</v>
          </cell>
        </row>
        <row r="994">
          <cell r="B994" t="str">
            <v>585105</v>
          </cell>
          <cell r="C994" t="str">
            <v>585105 Interest Expense - UT Vendor Retainage</v>
          </cell>
          <cell r="D994">
            <v>17080.55</v>
          </cell>
        </row>
        <row r="995">
          <cell r="B995" t="str">
            <v>585914</v>
          </cell>
          <cell r="C995" t="str">
            <v>585914 Interest Expense - Transmission Deposits</v>
          </cell>
          <cell r="D995">
            <v>546216.02</v>
          </cell>
        </row>
        <row r="996">
          <cell r="B996" t="str">
            <v>585915</v>
          </cell>
          <cell r="C996" t="str">
            <v>585915 Interest Expense - Customer Overpayments</v>
          </cell>
          <cell r="D996">
            <v>55650.03</v>
          </cell>
        </row>
        <row r="997">
          <cell r="B997" t="str">
            <v>585918</v>
          </cell>
          <cell r="C997" t="str">
            <v>585918 Interest Expense - Sunnyside Cogen Deposit</v>
          </cell>
          <cell r="D997">
            <v>2476.5700000000002</v>
          </cell>
        </row>
        <row r="998">
          <cell r="B998" t="str">
            <v>585922</v>
          </cell>
          <cell r="C998" t="str">
            <v>585922 Interest Expense - Margin Deposits</v>
          </cell>
          <cell r="D998">
            <v>5903.74</v>
          </cell>
        </row>
        <row r="999">
          <cell r="B999" t="str">
            <v/>
          </cell>
          <cell r="C999" t="str">
            <v>Total Interest Expense - Deposits</v>
          </cell>
          <cell r="D999">
            <v>1516298.18</v>
          </cell>
        </row>
        <row r="1000">
          <cell r="B1000" t="str">
            <v>585412</v>
          </cell>
          <cell r="C1000" t="str">
            <v>585412 Interest Expense - Reg Liab - Utah Lifeline</v>
          </cell>
          <cell r="D1000">
            <v>67099.490000000005</v>
          </cell>
        </row>
        <row r="1001">
          <cell r="B1001" t="str">
            <v>585417</v>
          </cell>
          <cell r="C1001" t="str">
            <v>585417 Interest Expense - Reg Liab - BPA Balancing</v>
          </cell>
          <cell r="D1001">
            <v>12552.12</v>
          </cell>
        </row>
        <row r="1002">
          <cell r="B1002" t="str">
            <v>585418</v>
          </cell>
          <cell r="C1002" t="str">
            <v>585418 Interest Expense - Reg Liab - Blue Sky</v>
          </cell>
          <cell r="D1002">
            <v>512159.83</v>
          </cell>
        </row>
        <row r="1003">
          <cell r="B1003" t="str">
            <v>585419</v>
          </cell>
          <cell r="C1003" t="str">
            <v>585419 Interest Expense - Reg Liab - DSM</v>
          </cell>
          <cell r="D1003">
            <v>133972</v>
          </cell>
        </row>
        <row r="1004">
          <cell r="B1004" t="str">
            <v>585420</v>
          </cell>
          <cell r="C1004" t="str">
            <v>585420 Interest Expense - Regulatory Liabilities - Other</v>
          </cell>
          <cell r="D1004">
            <v>3003946.46</v>
          </cell>
        </row>
        <row r="1005">
          <cell r="B1005" t="str">
            <v>585421</v>
          </cell>
          <cell r="C1005" t="str">
            <v>585421 Interest Expense - Def NPC Liabilities</v>
          </cell>
          <cell r="D1005">
            <v>294.45999999999998</v>
          </cell>
        </row>
        <row r="1006">
          <cell r="B1006" t="str">
            <v>585491</v>
          </cell>
          <cell r="C1006" t="str">
            <v>585491 Interest Expense - Reg Liab - REC Deferrals</v>
          </cell>
          <cell r="D1006">
            <v>86236.77</v>
          </cell>
        </row>
        <row r="1007">
          <cell r="B1007" t="str">
            <v/>
          </cell>
          <cell r="C1007" t="str">
            <v>Total Interest Expense - Reg Liabilities</v>
          </cell>
          <cell r="D1007">
            <v>3816261.13</v>
          </cell>
        </row>
        <row r="1008">
          <cell r="B1008" t="str">
            <v>585423</v>
          </cell>
          <cell r="C1008" t="str">
            <v>585423 Interest Expense - Hydro Relicensing Oblig.</v>
          </cell>
          <cell r="D1008">
            <v>1688659</v>
          </cell>
        </row>
        <row r="1009">
          <cell r="B1009" t="str">
            <v>585430</v>
          </cell>
          <cell r="C1009" t="str">
            <v>585430 Interest Expense - Environmental</v>
          </cell>
          <cell r="D1009">
            <v>99463.32</v>
          </cell>
        </row>
        <row r="1010">
          <cell r="B1010" t="str">
            <v>585450</v>
          </cell>
          <cell r="C1010" t="str">
            <v>585450 Interest Expense - Tax Settlements</v>
          </cell>
          <cell r="D1010">
            <v>5408</v>
          </cell>
        </row>
        <row r="1011">
          <cell r="B1011" t="str">
            <v>585900</v>
          </cell>
          <cell r="C1011" t="str">
            <v>585900 Interest Expense - Other</v>
          </cell>
          <cell r="D1011">
            <v>1009569.12</v>
          </cell>
        </row>
        <row r="1012">
          <cell r="B1012" t="str">
            <v>585909</v>
          </cell>
          <cell r="C1012" t="str">
            <v>585909 Interest Expense - Pensions</v>
          </cell>
          <cell r="D1012">
            <v>8914.48</v>
          </cell>
        </row>
        <row r="1013">
          <cell r="B1013" t="str">
            <v>585923</v>
          </cell>
          <cell r="C1013" t="str">
            <v>585923 Interest Expense - Power Sales/Purchases</v>
          </cell>
          <cell r="D1013">
            <v>8864.49</v>
          </cell>
        </row>
        <row r="1014">
          <cell r="B1014" t="str">
            <v>586902</v>
          </cell>
          <cell r="C1014" t="str">
            <v>586902 Preferred Stock Repurchase Loss Amort</v>
          </cell>
          <cell r="D1014">
            <v>124290.24000000001</v>
          </cell>
        </row>
        <row r="1015">
          <cell r="B1015" t="str">
            <v/>
          </cell>
          <cell r="C1015" t="str">
            <v>Total Interest Expense - Other</v>
          </cell>
          <cell r="D1015">
            <v>2945168.65</v>
          </cell>
        </row>
        <row r="1016">
          <cell r="B1016" t="str">
            <v/>
          </cell>
          <cell r="C1016" t="str">
            <v>Total Interest Expense - External</v>
          </cell>
          <cell r="D1016">
            <v>380335317.38999999</v>
          </cell>
        </row>
        <row r="1017">
          <cell r="B1017" t="str">
            <v>585501</v>
          </cell>
          <cell r="C1017" t="str">
            <v>585501 InterCo Interest Expense - PMI</v>
          </cell>
          <cell r="D1017">
            <v>9136.5499999999993</v>
          </cell>
        </row>
        <row r="1018">
          <cell r="B1018" t="str">
            <v/>
          </cell>
          <cell r="C1018" t="str">
            <v>Total Interest Expense - Intercompany</v>
          </cell>
          <cell r="D1018">
            <v>9136.5499999999993</v>
          </cell>
        </row>
        <row r="1019">
          <cell r="B1019" t="str">
            <v/>
          </cell>
          <cell r="C1019" t="str">
            <v>Total Interest Expense</v>
          </cell>
          <cell r="D1019">
            <v>380344453.94</v>
          </cell>
        </row>
        <row r="1020">
          <cell r="B1020" t="str">
            <v/>
          </cell>
          <cell r="C1020" t="str">
            <v>Interest Capitalized</v>
          </cell>
        </row>
        <row r="1021">
          <cell r="B1021" t="str">
            <v>585800</v>
          </cell>
          <cell r="C1021" t="str">
            <v>585800 Interest Expense Capitalized</v>
          </cell>
          <cell r="D1021">
            <v>-15648391.52</v>
          </cell>
        </row>
        <row r="1022">
          <cell r="B1022" t="str">
            <v>585860</v>
          </cell>
          <cell r="C1022" t="str">
            <v>585860 Interest Expense - AFUDC Manual Adjust.</v>
          </cell>
          <cell r="D1022">
            <v>332089.27</v>
          </cell>
        </row>
        <row r="1023">
          <cell r="B1023" t="str">
            <v/>
          </cell>
          <cell r="C1023" t="str">
            <v>AFUDC Debt</v>
          </cell>
          <cell r="D1023">
            <v>-15316302.25</v>
          </cell>
        </row>
        <row r="1024">
          <cell r="B1024" t="str">
            <v>382000</v>
          </cell>
          <cell r="C1024" t="str">
            <v>382000 Interest During Construct (AFUDC equity)</v>
          </cell>
          <cell r="D1024">
            <v>-28045356.559999999</v>
          </cell>
        </row>
        <row r="1025">
          <cell r="B1025" t="str">
            <v>382060</v>
          </cell>
          <cell r="C1025" t="str">
            <v>382060 Interest During Const (AFUDC equity) Man</v>
          </cell>
          <cell r="D1025">
            <v>595275.36</v>
          </cell>
        </row>
        <row r="1026">
          <cell r="B1026" t="str">
            <v/>
          </cell>
          <cell r="C1026" t="str">
            <v>AFUDC Equity</v>
          </cell>
          <cell r="D1026">
            <v>-27450081.199999999</v>
          </cell>
        </row>
        <row r="1027">
          <cell r="B1027" t="str">
            <v/>
          </cell>
          <cell r="C1027" t="str">
            <v>Total Interest Capitalized</v>
          </cell>
          <cell r="D1027">
            <v>-42766383.450000003</v>
          </cell>
        </row>
        <row r="1028">
          <cell r="B1028" t="str">
            <v/>
          </cell>
          <cell r="C1028" t="str">
            <v>Total Interest Expense Net</v>
          </cell>
          <cell r="D1028">
            <v>328512175.54000002</v>
          </cell>
        </row>
        <row r="1029">
          <cell r="B1029" t="str">
            <v/>
          </cell>
          <cell r="C1029" t="str">
            <v>Minority Interest &amp; Other</v>
          </cell>
        </row>
        <row r="1030">
          <cell r="B1030" t="str">
            <v/>
          </cell>
          <cell r="C1030" t="str">
            <v>Equity in Subsidiary Earnings</v>
          </cell>
        </row>
        <row r="1031">
          <cell r="B1031" t="str">
            <v>375320</v>
          </cell>
          <cell r="C1031" t="str">
            <v>375320 Equity Earnings - Pacific Minerals Inc</v>
          </cell>
          <cell r="D1031">
            <v>-15330815.33</v>
          </cell>
        </row>
        <row r="1032">
          <cell r="B1032" t="str">
            <v>375330</v>
          </cell>
          <cell r="C1032" t="str">
            <v>375330 Equity Earnings - Bridger Coal Co</v>
          </cell>
          <cell r="D1032">
            <v>21710542.710000001</v>
          </cell>
        </row>
        <row r="1033">
          <cell r="B1033" t="str">
            <v>375370</v>
          </cell>
          <cell r="C1033" t="str">
            <v>375370 Equity Earnings - Fossil Rock Fuels, LLC</v>
          </cell>
          <cell r="D1033">
            <v>-2118873.7000000002</v>
          </cell>
        </row>
        <row r="1034">
          <cell r="B1034" t="str">
            <v/>
          </cell>
          <cell r="C1034" t="str">
            <v>Total Equity in Subsidiary Earnings</v>
          </cell>
          <cell r="D1034">
            <v>4260853.68</v>
          </cell>
        </row>
        <row r="1035">
          <cell r="B1035" t="str">
            <v/>
          </cell>
          <cell r="C1035" t="str">
            <v>Other (Income) Expense</v>
          </cell>
        </row>
        <row r="1036">
          <cell r="B1036" t="str">
            <v>367100</v>
          </cell>
          <cell r="C1036" t="str">
            <v>367100 Revenue - Serv Provided to Others</v>
          </cell>
          <cell r="D1036">
            <v>-51109.1</v>
          </cell>
        </row>
        <row r="1037">
          <cell r="B1037" t="str">
            <v>367400</v>
          </cell>
          <cell r="C1037" t="str">
            <v>367400 Revenue - Retail Products &amp; Services</v>
          </cell>
          <cell r="D1037">
            <v>-234047.52</v>
          </cell>
        </row>
        <row r="1038">
          <cell r="B1038" t="str">
            <v>380500</v>
          </cell>
          <cell r="C1038" t="str">
            <v>380500 Nonoperating Rental Income</v>
          </cell>
          <cell r="D1038">
            <v>-16871.37</v>
          </cell>
        </row>
        <row r="1039">
          <cell r="B1039" t="str">
            <v>380550</v>
          </cell>
          <cell r="C1039" t="str">
            <v>380550 Misc Nonoperating Income</v>
          </cell>
          <cell r="D1039">
            <v>-43865.74</v>
          </cell>
        </row>
        <row r="1040">
          <cell r="B1040" t="str">
            <v>385600</v>
          </cell>
          <cell r="C1040" t="str">
            <v>385600 Dividends</v>
          </cell>
          <cell r="D1040">
            <v>-273448.75</v>
          </cell>
        </row>
        <row r="1041">
          <cell r="B1041" t="str">
            <v>387400</v>
          </cell>
          <cell r="C1041" t="str">
            <v>387400 Investment Income/Loss-Def Comp MV Adj</v>
          </cell>
          <cell r="D1041">
            <v>-1111363.3899999999</v>
          </cell>
        </row>
        <row r="1042">
          <cell r="B1042" t="str">
            <v>505950</v>
          </cell>
          <cell r="C1042" t="str">
            <v>505950 Non Utility Operating Expense Other</v>
          </cell>
          <cell r="D1042">
            <v>72626.12</v>
          </cell>
        </row>
        <row r="1043">
          <cell r="B1043" t="str">
            <v>505960</v>
          </cell>
          <cell r="C1043" t="str">
            <v>505960 Non Operating Rental Expenses</v>
          </cell>
          <cell r="D1043">
            <v>48915.31</v>
          </cell>
        </row>
        <row r="1044">
          <cell r="B1044" t="str">
            <v>505970</v>
          </cell>
          <cell r="C1044" t="str">
            <v>505970 Miscellaneous Non Operating Income / Exp</v>
          </cell>
          <cell r="D1044">
            <v>-503.84</v>
          </cell>
        </row>
        <row r="1045">
          <cell r="B1045" t="str">
            <v>508100</v>
          </cell>
          <cell r="C1045" t="str">
            <v>508100 Services Provided to Others</v>
          </cell>
          <cell r="D1045">
            <v>87647.05</v>
          </cell>
        </row>
        <row r="1046">
          <cell r="B1046" t="str">
            <v>508200</v>
          </cell>
          <cell r="C1046" t="str">
            <v>508200 Sales from Inventory</v>
          </cell>
          <cell r="D1046">
            <v>-17141.259999999998</v>
          </cell>
        </row>
        <row r="1047">
          <cell r="B1047" t="str">
            <v>508300</v>
          </cell>
          <cell r="C1047" t="str">
            <v>508300 Sales of Residual Products</v>
          </cell>
          <cell r="D1047">
            <v>-20382.66</v>
          </cell>
        </row>
        <row r="1048">
          <cell r="B1048" t="str">
            <v>546000</v>
          </cell>
          <cell r="C1048" t="str">
            <v>546000 Life Insurance Costs</v>
          </cell>
          <cell r="D1048">
            <v>-2780921.85</v>
          </cell>
        </row>
        <row r="1049">
          <cell r="B1049" t="str">
            <v>546050</v>
          </cell>
          <cell r="C1049" t="str">
            <v>546050 SERP Life Insurance Costs</v>
          </cell>
          <cell r="D1049">
            <v>-3287555.15</v>
          </cell>
        </row>
        <row r="1050">
          <cell r="B1050" t="str">
            <v>546100</v>
          </cell>
          <cell r="C1050" t="str">
            <v>546100 Expend for Civic, Political &amp; Related</v>
          </cell>
          <cell r="D1050">
            <v>1321154.68</v>
          </cell>
        </row>
        <row r="1051">
          <cell r="B1051" t="str">
            <v>546200</v>
          </cell>
          <cell r="C1051" t="str">
            <v>546200 Other Deductions</v>
          </cell>
          <cell r="D1051">
            <v>571639.36</v>
          </cell>
        </row>
        <row r="1052">
          <cell r="B1052" t="str">
            <v>553100</v>
          </cell>
          <cell r="C1052" t="str">
            <v>553100 Donations - 501(c)3</v>
          </cell>
          <cell r="D1052">
            <v>1015477.65</v>
          </cell>
        </row>
        <row r="1053">
          <cell r="B1053" t="str">
            <v>553200</v>
          </cell>
          <cell r="C1053" t="str">
            <v>553200 Donations - Non 501(c)3</v>
          </cell>
          <cell r="D1053">
            <v>149035</v>
          </cell>
        </row>
        <row r="1054">
          <cell r="B1054" t="str">
            <v>553300</v>
          </cell>
          <cell r="C1054" t="str">
            <v>553300 Sponsorship</v>
          </cell>
          <cell r="D1054">
            <v>1014138.62</v>
          </cell>
        </row>
        <row r="1055">
          <cell r="B1055" t="str">
            <v>583900</v>
          </cell>
          <cell r="C1055" t="str">
            <v>583900 Other Taxes and Fees - Other Inc/Ded</v>
          </cell>
          <cell r="D1055">
            <v>280899.37</v>
          </cell>
        </row>
        <row r="1056">
          <cell r="B1056" t="str">
            <v/>
          </cell>
          <cell r="C1056" t="str">
            <v>Total Other (Income) Expense</v>
          </cell>
          <cell r="D1056">
            <v>-3275677.47</v>
          </cell>
        </row>
        <row r="1057">
          <cell r="B1057" t="str">
            <v/>
          </cell>
          <cell r="C1057" t="str">
            <v>Total Minority Interest &amp; Other</v>
          </cell>
          <cell r="D1057">
            <v>985176.21</v>
          </cell>
        </row>
        <row r="1058">
          <cell r="B1058" t="str">
            <v/>
          </cell>
          <cell r="C1058" t="str">
            <v>Total Interest Expense and Other</v>
          </cell>
          <cell r="D1058">
            <v>329497351.75</v>
          </cell>
        </row>
        <row r="1059">
          <cell r="B1059" t="str">
            <v/>
          </cell>
          <cell r="C1059" t="str">
            <v>Income-Continuing Operations Before Tax</v>
          </cell>
          <cell r="D1059">
            <v>-1096390736.47</v>
          </cell>
        </row>
        <row r="1060">
          <cell r="B1060" t="str">
            <v/>
          </cell>
          <cell r="C1060" t="str">
            <v>Income Tax Expense</v>
          </cell>
        </row>
        <row r="1061">
          <cell r="B1061" t="str">
            <v/>
          </cell>
          <cell r="C1061" t="str">
            <v>Income Tax Expense - Current</v>
          </cell>
        </row>
        <row r="1062">
          <cell r="B1062" t="str">
            <v>570001</v>
          </cell>
          <cell r="C1062" t="str">
            <v>570001 Income Tax Exp-Federal-Electric</v>
          </cell>
          <cell r="D1062">
            <v>199437623.34999999</v>
          </cell>
        </row>
        <row r="1063">
          <cell r="B1063" t="str">
            <v>570002</v>
          </cell>
          <cell r="C1063" t="str">
            <v>570002 Income Tax Exp-Federal-Oth Inc/Ded</v>
          </cell>
          <cell r="D1063">
            <v>-41603402.590000004</v>
          </cell>
        </row>
        <row r="1064">
          <cell r="B1064" t="str">
            <v>570006</v>
          </cell>
          <cell r="C1064" t="str">
            <v>570006 Current federal tax correction expense</v>
          </cell>
          <cell r="D1064">
            <v>-20897</v>
          </cell>
        </row>
        <row r="1065">
          <cell r="B1065" t="str">
            <v>570007</v>
          </cell>
          <cell r="C1065" t="str">
            <v>570007 Current federal tax correction interest</v>
          </cell>
          <cell r="D1065">
            <v>329132</v>
          </cell>
        </row>
        <row r="1066">
          <cell r="B1066" t="str">
            <v>570009</v>
          </cell>
          <cell r="C1066" t="str">
            <v>570009 Current federal tax correction int income</v>
          </cell>
          <cell r="D1066">
            <v>-40418</v>
          </cell>
        </row>
        <row r="1067">
          <cell r="B1067" t="str">
            <v>570016</v>
          </cell>
          <cell r="C1067" t="str">
            <v>570016 Federal uncertain tax position provision</v>
          </cell>
          <cell r="D1067">
            <v>-1469149</v>
          </cell>
        </row>
        <row r="1068">
          <cell r="B1068" t="str">
            <v>570017</v>
          </cell>
          <cell r="C1068" t="str">
            <v>570017 Federal uncertain tax position interest</v>
          </cell>
          <cell r="D1068">
            <v>401722</v>
          </cell>
        </row>
        <row r="1069">
          <cell r="B1069" t="str">
            <v>570049</v>
          </cell>
          <cell r="C1069" t="str">
            <v>570049 Current federal tax interest income</v>
          </cell>
          <cell r="D1069">
            <v>-838360</v>
          </cell>
        </row>
        <row r="1070">
          <cell r="B1070" t="str">
            <v/>
          </cell>
          <cell r="C1070" t="str">
            <v>Total Current Federal</v>
          </cell>
          <cell r="D1070">
            <v>156196250.75999999</v>
          </cell>
        </row>
        <row r="1071">
          <cell r="B1071" t="str">
            <v>575001</v>
          </cell>
          <cell r="C1071" t="str">
            <v>575001 State Income Tax-Electric</v>
          </cell>
          <cell r="D1071">
            <v>36762419.829999998</v>
          </cell>
        </row>
        <row r="1072">
          <cell r="B1072" t="str">
            <v>575002</v>
          </cell>
          <cell r="C1072" t="str">
            <v>575002 State Income Tax-Other Inc/Deduct</v>
          </cell>
          <cell r="D1072">
            <v>-5653211.4000000004</v>
          </cell>
        </row>
        <row r="1073">
          <cell r="B1073" t="str">
            <v>575026</v>
          </cell>
          <cell r="C1073" t="str">
            <v>575026 Current state tax correction expense</v>
          </cell>
          <cell r="D1073">
            <v>-2711</v>
          </cell>
        </row>
        <row r="1074">
          <cell r="B1074" t="str">
            <v>575027</v>
          </cell>
          <cell r="C1074" t="str">
            <v>575027 Current state tax correction interest</v>
          </cell>
          <cell r="D1074">
            <v>69342</v>
          </cell>
        </row>
        <row r="1075">
          <cell r="B1075" t="str">
            <v>575029</v>
          </cell>
          <cell r="C1075" t="str">
            <v>575029 Current state tax correction int income</v>
          </cell>
          <cell r="D1075">
            <v>-5243</v>
          </cell>
        </row>
        <row r="1076">
          <cell r="B1076" t="str">
            <v>575036</v>
          </cell>
          <cell r="C1076" t="str">
            <v>575036 State uncertain tax position provision</v>
          </cell>
          <cell r="D1076">
            <v>-190570</v>
          </cell>
        </row>
        <row r="1077">
          <cell r="B1077" t="str">
            <v>575037</v>
          </cell>
          <cell r="C1077" t="str">
            <v>575037 State uncertain tax position interest</v>
          </cell>
          <cell r="D1077">
            <v>91822</v>
          </cell>
        </row>
        <row r="1078">
          <cell r="B1078" t="str">
            <v>575057</v>
          </cell>
          <cell r="C1078" t="str">
            <v>575057 Current state tax interest expense</v>
          </cell>
          <cell r="D1078">
            <v>33658.699999999997</v>
          </cell>
        </row>
        <row r="1079">
          <cell r="B1079" t="str">
            <v>575059</v>
          </cell>
          <cell r="C1079" t="str">
            <v>575059 Current state tax interest income</v>
          </cell>
          <cell r="D1079">
            <v>-188628.77</v>
          </cell>
        </row>
        <row r="1080">
          <cell r="B1080" t="str">
            <v/>
          </cell>
          <cell r="C1080" t="str">
            <v>Total Current State</v>
          </cell>
          <cell r="D1080">
            <v>30916878.359999999</v>
          </cell>
        </row>
        <row r="1081">
          <cell r="B1081" t="str">
            <v/>
          </cell>
          <cell r="C1081" t="str">
            <v>Total Income Tax Expense - Current</v>
          </cell>
          <cell r="D1081">
            <v>187113129.12</v>
          </cell>
        </row>
        <row r="1082">
          <cell r="B1082" t="str">
            <v/>
          </cell>
          <cell r="C1082" t="str">
            <v>Income Tax Expense - Deferred</v>
          </cell>
        </row>
        <row r="1083">
          <cell r="B1083" t="str">
            <v>571001</v>
          </cell>
          <cell r="C1083" t="str">
            <v>571001 Deferred Tax Exp-Dr-Federal-Electric</v>
          </cell>
          <cell r="D1083">
            <v>616967224.00999999</v>
          </cell>
        </row>
        <row r="1084">
          <cell r="B1084" t="str">
            <v>571002</v>
          </cell>
          <cell r="C1084" t="str">
            <v>571002 Deferred Tax Exp-Dr-Federal-OID</v>
          </cell>
          <cell r="D1084">
            <v>131099395.72</v>
          </cell>
        </row>
        <row r="1085">
          <cell r="B1085" t="str">
            <v>571006</v>
          </cell>
          <cell r="C1085" t="str">
            <v>571006 Deferred federal tax correction expense</v>
          </cell>
          <cell r="D1085">
            <v>26503</v>
          </cell>
        </row>
        <row r="1086">
          <cell r="B1086" t="str">
            <v>571007</v>
          </cell>
          <cell r="C1086" t="str">
            <v>571007 Deferred fed tax cor det of int - DR</v>
          </cell>
          <cell r="D1086">
            <v>15981</v>
          </cell>
        </row>
        <row r="1087">
          <cell r="B1087" t="str">
            <v>571009</v>
          </cell>
          <cell r="C1087" t="str">
            <v>571009 Deferred fed tax cor ben of int - CR</v>
          </cell>
          <cell r="D1087">
            <v>-139465</v>
          </cell>
        </row>
        <row r="1088">
          <cell r="B1088" t="str">
            <v>571011</v>
          </cell>
          <cell r="C1088" t="str">
            <v>571011 Deferred Tax Exp-Cr-Federal-Electric</v>
          </cell>
          <cell r="D1088">
            <v>-528397016.68000001</v>
          </cell>
        </row>
        <row r="1089">
          <cell r="B1089" t="str">
            <v>571012</v>
          </cell>
          <cell r="C1089" t="str">
            <v>571012 Deferred Tax Exp-Cr-Federal-OID</v>
          </cell>
          <cell r="D1089">
            <v>-91007003.040000007</v>
          </cell>
        </row>
        <row r="1090">
          <cell r="B1090" t="str">
            <v>571016</v>
          </cell>
          <cell r="C1090" t="str">
            <v>571016 Deferred federal uncertain tax position exp</v>
          </cell>
          <cell r="D1090">
            <v>1476992</v>
          </cell>
        </row>
        <row r="1091">
          <cell r="B1091" t="str">
            <v>571019</v>
          </cell>
          <cell r="C1091" t="str">
            <v>571019 Deferred fed unc tax pos ben of int - CR</v>
          </cell>
          <cell r="D1091">
            <v>-172739</v>
          </cell>
        </row>
        <row r="1092">
          <cell r="B1092" t="str">
            <v/>
          </cell>
          <cell r="C1092" t="str">
            <v>Total Deferred Federal</v>
          </cell>
          <cell r="D1092">
            <v>129869872.01000001</v>
          </cell>
        </row>
        <row r="1093">
          <cell r="B1093" t="str">
            <v>576001</v>
          </cell>
          <cell r="C1093" t="str">
            <v>576001 Def Tax Exp - DR - State - Electric</v>
          </cell>
          <cell r="D1093">
            <v>132790660.67</v>
          </cell>
        </row>
        <row r="1094">
          <cell r="B1094" t="str">
            <v>576002</v>
          </cell>
          <cell r="C1094" t="str">
            <v>576002 Deferred Tax Expense DR - State - OID</v>
          </cell>
          <cell r="D1094">
            <v>17716102.760000002</v>
          </cell>
        </row>
        <row r="1095">
          <cell r="B1095" t="str">
            <v>576011</v>
          </cell>
          <cell r="C1095" t="str">
            <v>576011 Def Tax Exp - CR - State - Electric</v>
          </cell>
          <cell r="D1095">
            <v>-116843195.72</v>
          </cell>
        </row>
        <row r="1096">
          <cell r="B1096" t="str">
            <v>576012</v>
          </cell>
          <cell r="C1096" t="str">
            <v>576012 Deferred Tax Expense - CR - State - OID</v>
          </cell>
          <cell r="D1096">
            <v>-12268212.52</v>
          </cell>
        </row>
        <row r="1097">
          <cell r="B1097" t="str">
            <v>576026</v>
          </cell>
          <cell r="C1097" t="str">
            <v>576026 Deferred state tax correction expense</v>
          </cell>
          <cell r="D1097">
            <v>2711</v>
          </cell>
        </row>
        <row r="1098">
          <cell r="B1098" t="str">
            <v>576027</v>
          </cell>
          <cell r="C1098" t="str">
            <v>576027 Deferred sta tax cor det of int - DR</v>
          </cell>
          <cell r="D1098">
            <v>2073</v>
          </cell>
        </row>
        <row r="1099">
          <cell r="B1099" t="str">
            <v>576029</v>
          </cell>
          <cell r="C1099" t="str">
            <v>576029 Deferred sta tax cor ben of int - CR</v>
          </cell>
          <cell r="D1099">
            <v>-18091</v>
          </cell>
        </row>
        <row r="1100">
          <cell r="B1100" t="str">
            <v>576036</v>
          </cell>
          <cell r="C1100" t="str">
            <v>576036 Deferred state uncertain tax position exp</v>
          </cell>
          <cell r="D1100">
            <v>190570</v>
          </cell>
        </row>
        <row r="1101">
          <cell r="B1101" t="str">
            <v>576039</v>
          </cell>
          <cell r="C1101" t="str">
            <v>576039 Deferred sta unc tax pos ben of int - CR</v>
          </cell>
          <cell r="D1101">
            <v>-22408</v>
          </cell>
        </row>
        <row r="1102">
          <cell r="B1102" t="str">
            <v/>
          </cell>
          <cell r="C1102" t="str">
            <v>Total Deferred State</v>
          </cell>
          <cell r="D1102">
            <v>21550210.190000001</v>
          </cell>
        </row>
        <row r="1103">
          <cell r="B1103" t="str">
            <v/>
          </cell>
          <cell r="C1103" t="str">
            <v>Total Income Tax Expense - Deferred</v>
          </cell>
          <cell r="D1103">
            <v>151420082.19999999</v>
          </cell>
        </row>
        <row r="1104">
          <cell r="B1104" t="str">
            <v/>
          </cell>
          <cell r="C1104" t="str">
            <v>Income Tax Expense - ITC</v>
          </cell>
        </row>
        <row r="1105">
          <cell r="B1105" t="str">
            <v>573504</v>
          </cell>
          <cell r="C1105" t="str">
            <v>573504 Investment Tax Credit-Federal-Electric</v>
          </cell>
          <cell r="D1105">
            <v>-4341401.0599999996</v>
          </cell>
        </row>
        <row r="1106">
          <cell r="B1106" t="str">
            <v>573505</v>
          </cell>
          <cell r="C1106" t="str">
            <v>573505 Investment Tax Credit-Federal-OID</v>
          </cell>
          <cell r="D1106">
            <v>-311468.21999999997</v>
          </cell>
        </row>
        <row r="1107">
          <cell r="B1107" t="str">
            <v/>
          </cell>
          <cell r="C1107" t="str">
            <v>Total Deferred Federal ITC</v>
          </cell>
          <cell r="D1107">
            <v>-4652869.28</v>
          </cell>
        </row>
        <row r="1108">
          <cell r="B1108" t="str">
            <v/>
          </cell>
          <cell r="C1108" t="str">
            <v>Total Income Tax Expense - ITC</v>
          </cell>
          <cell r="D1108">
            <v>-4652869.28</v>
          </cell>
        </row>
        <row r="1109">
          <cell r="B1109" t="str">
            <v/>
          </cell>
          <cell r="C1109" t="str">
            <v>Total U.S. Income Tax Expense</v>
          </cell>
          <cell r="D1109">
            <v>333880342.04000002</v>
          </cell>
        </row>
        <row r="1110">
          <cell r="B1110" t="str">
            <v/>
          </cell>
          <cell r="C1110" t="str">
            <v>Total Income Tax Expense</v>
          </cell>
          <cell r="D1110">
            <v>333880342.04000002</v>
          </cell>
        </row>
        <row r="1111">
          <cell r="B1111" t="str">
            <v/>
          </cell>
          <cell r="C1111" t="str">
            <v>Income-Continuing Operations After Tax</v>
          </cell>
          <cell r="D1111">
            <v>-762510394.42999995</v>
          </cell>
        </row>
        <row r="1112">
          <cell r="B1112" t="str">
            <v/>
          </cell>
          <cell r="C1112" t="str">
            <v>Net Income</v>
          </cell>
          <cell r="D1112">
            <v>-762510394.42999995</v>
          </cell>
        </row>
        <row r="1113">
          <cell r="B1113" t="str">
            <v/>
          </cell>
          <cell r="C1113" t="str">
            <v>Net Income Attributable to Stockholders</v>
          </cell>
          <cell r="D1113">
            <v>-762510394.42999995</v>
          </cell>
        </row>
        <row r="1114">
          <cell r="B1114" t="str">
            <v/>
          </cell>
          <cell r="C1114" t="str">
            <v>Preferred Dividend Requirement</v>
          </cell>
        </row>
        <row r="1115">
          <cell r="B1115" t="str">
            <v>599500</v>
          </cell>
          <cell r="C1115" t="str">
            <v>599500 Preferred Dividend Requirement</v>
          </cell>
          <cell r="D1115">
            <v>161901.96</v>
          </cell>
        </row>
        <row r="1116">
          <cell r="B1116" t="str">
            <v/>
          </cell>
          <cell r="C1116" t="str">
            <v>Total Preferred Dividend Requirement</v>
          </cell>
          <cell r="D1116">
            <v>161901.96</v>
          </cell>
        </row>
        <row r="1117">
          <cell r="B1117" t="str">
            <v/>
          </cell>
          <cell r="C1117" t="str">
            <v>Earnings Available for Common</v>
          </cell>
          <cell r="D1117">
            <v>-762348492.47000003</v>
          </cell>
        </row>
        <row r="1118">
          <cell r="B1118" t="str">
            <v/>
          </cell>
          <cell r="C1118" t="str">
            <v>Earnings Contribution</v>
          </cell>
        </row>
        <row r="1119">
          <cell r="B1119" t="str">
            <v/>
          </cell>
          <cell r="C1119" t="str">
            <v>Earnings Contribution</v>
          </cell>
          <cell r="D1119">
            <v>762348492.47000003</v>
          </cell>
        </row>
      </sheetData>
      <sheetData sheetId="22">
        <row r="1">
          <cell r="D1" t="str">
            <v>run: 2/9/2017</v>
          </cell>
        </row>
        <row r="2">
          <cell r="D2" t="str">
            <v>cc: 2020</v>
          </cell>
        </row>
        <row r="3">
          <cell r="C3" t="str">
            <v>Currency type Company code currency</v>
          </cell>
        </row>
        <row r="4">
          <cell r="C4" t="str">
            <v>Amounts in American Dollar</v>
          </cell>
        </row>
        <row r="5">
          <cell r="C5" t="str">
            <v>Reporting periods</v>
          </cell>
        </row>
        <row r="6">
          <cell r="C6" t="str">
            <v>Comparison periods</v>
          </cell>
        </row>
        <row r="8">
          <cell r="C8" t="str">
            <v>Text for B/S P&amp;L item</v>
          </cell>
          <cell r="D8" t="str">
            <v>Total of reporting period</v>
          </cell>
        </row>
        <row r="9">
          <cell r="C9" t="str">
            <v>Operations, Maintenance, Admin &amp; General</v>
          </cell>
        </row>
        <row r="10">
          <cell r="C10" t="str">
            <v>Other O&amp;M and A&amp;G Expense</v>
          </cell>
        </row>
        <row r="11">
          <cell r="C11" t="str">
            <v>545150 Miscellaneous Administ/General Expenses</v>
          </cell>
          <cell r="D11">
            <v>94.36</v>
          </cell>
        </row>
        <row r="12">
          <cell r="C12" t="str">
            <v>Total Other O&amp;M and A&amp;G Expense</v>
          </cell>
          <cell r="D12">
            <v>94.36</v>
          </cell>
        </row>
        <row r="13">
          <cell r="C13" t="str">
            <v>Total Operations,Maintenance, Admin &amp; General</v>
          </cell>
          <cell r="D13">
            <v>94.36</v>
          </cell>
        </row>
        <row r="14">
          <cell r="C14" t="str">
            <v>Taxes, Other than Income Taxes</v>
          </cell>
        </row>
        <row r="15">
          <cell r="C15" t="str">
            <v>583267 Wyoming Annual Corporation Fee (Tax)</v>
          </cell>
          <cell r="D15">
            <v>44074.239999999998</v>
          </cell>
        </row>
        <row r="16">
          <cell r="C16" t="str">
            <v>Total Taxes, Other than Income Taxes</v>
          </cell>
          <cell r="D16">
            <v>44074.239999999998</v>
          </cell>
        </row>
        <row r="17">
          <cell r="C17" t="str">
            <v>Total Income From Operations</v>
          </cell>
          <cell r="D17">
            <v>44168.6</v>
          </cell>
        </row>
        <row r="18">
          <cell r="C18" t="str">
            <v>Interest Expense and Other</v>
          </cell>
        </row>
        <row r="19">
          <cell r="C19" t="str">
            <v>Interest Income</v>
          </cell>
        </row>
        <row r="20">
          <cell r="C20" t="str">
            <v>Interest Income External</v>
          </cell>
        </row>
        <row r="21">
          <cell r="C21" t="str">
            <v>385800 Investment Income</v>
          </cell>
          <cell r="D21">
            <v>-25619.87</v>
          </cell>
        </row>
        <row r="22">
          <cell r="C22" t="str">
            <v>Total Interest Income - Temp Cash Investments</v>
          </cell>
          <cell r="D22">
            <v>-25619.87</v>
          </cell>
        </row>
        <row r="23">
          <cell r="C23" t="str">
            <v>Total Interest Income External</v>
          </cell>
          <cell r="D23">
            <v>-25619.87</v>
          </cell>
        </row>
        <row r="24">
          <cell r="C24" t="str">
            <v>386202 InterCo Interest Income - PacifiCorp</v>
          </cell>
          <cell r="D24">
            <v>-9136.5499999999993</v>
          </cell>
        </row>
        <row r="25">
          <cell r="C25" t="str">
            <v>Total Interest Income Inter-Company</v>
          </cell>
          <cell r="D25">
            <v>-9136.5499999999993</v>
          </cell>
        </row>
        <row r="26">
          <cell r="C26" t="str">
            <v>Total Interest Income</v>
          </cell>
          <cell r="D26">
            <v>-34756.42</v>
          </cell>
        </row>
        <row r="27">
          <cell r="C27" t="str">
            <v>Interest Expense</v>
          </cell>
        </row>
        <row r="28">
          <cell r="C28" t="str">
            <v>585502 InterCo Interest Expense - PacifiCorp</v>
          </cell>
          <cell r="D28">
            <v>21198.27</v>
          </cell>
        </row>
        <row r="29">
          <cell r="C29" t="str">
            <v>Total Interest Expense - Intercompany</v>
          </cell>
          <cell r="D29">
            <v>21198.27</v>
          </cell>
        </row>
        <row r="30">
          <cell r="C30" t="str">
            <v>Total Interest Expense</v>
          </cell>
          <cell r="D30">
            <v>21198.27</v>
          </cell>
        </row>
        <row r="31">
          <cell r="C31" t="str">
            <v>Total Interest Expense Net</v>
          </cell>
          <cell r="D31">
            <v>-13558.15</v>
          </cell>
        </row>
        <row r="32">
          <cell r="C32" t="str">
            <v>Minority Interest &amp; Other</v>
          </cell>
        </row>
        <row r="33">
          <cell r="C33" t="str">
            <v>Equity in Subsidiary Earnings</v>
          </cell>
        </row>
        <row r="34">
          <cell r="C34" t="str">
            <v>375330 Equity Earnings - Bridger Coal Co</v>
          </cell>
          <cell r="D34">
            <v>-21710542.710000001</v>
          </cell>
        </row>
        <row r="35">
          <cell r="C35" t="str">
            <v>Total Equity in Subsidiary Earnings</v>
          </cell>
          <cell r="D35">
            <v>-21710542.710000001</v>
          </cell>
        </row>
        <row r="36">
          <cell r="C36" t="str">
            <v>Total Minority Interest &amp; Other</v>
          </cell>
          <cell r="D36">
            <v>-21710542.710000001</v>
          </cell>
        </row>
        <row r="37">
          <cell r="C37" t="str">
            <v>Total Interest Expense and Other</v>
          </cell>
          <cell r="D37">
            <v>-21724100.859999999</v>
          </cell>
        </row>
        <row r="38">
          <cell r="C38" t="str">
            <v>Income-Continuing Operations Before Tax</v>
          </cell>
          <cell r="D38">
            <v>-21679932.260000002</v>
          </cell>
        </row>
        <row r="39">
          <cell r="C39" t="str">
            <v>Income Tax Expense</v>
          </cell>
        </row>
        <row r="40">
          <cell r="C40" t="str">
            <v>Income Tax Expense - Current</v>
          </cell>
        </row>
        <row r="41">
          <cell r="C41" t="str">
            <v>570001 Income Tax Exp-Federal-Electric</v>
          </cell>
          <cell r="D41">
            <v>13219592.050000001</v>
          </cell>
        </row>
        <row r="42">
          <cell r="C42" t="str">
            <v>Total Current Federal</v>
          </cell>
          <cell r="D42">
            <v>13219592.050000001</v>
          </cell>
        </row>
        <row r="43">
          <cell r="C43" t="str">
            <v>575001 State Income Tax-Electric</v>
          </cell>
          <cell r="D43">
            <v>597358.15</v>
          </cell>
        </row>
        <row r="44">
          <cell r="C44" t="str">
            <v>Total Current State</v>
          </cell>
          <cell r="D44">
            <v>597358.15</v>
          </cell>
        </row>
        <row r="45">
          <cell r="C45" t="str">
            <v>Total Income Tax Expense - Current</v>
          </cell>
          <cell r="D45">
            <v>13816950.199999999</v>
          </cell>
        </row>
        <row r="46">
          <cell r="C46" t="str">
            <v>Income Tax Expense - Deferred</v>
          </cell>
        </row>
        <row r="47">
          <cell r="C47" t="str">
            <v>571001 Deferred Tax Exp-Dr-Federal-Electric</v>
          </cell>
          <cell r="D47">
            <v>5559594.6799999997</v>
          </cell>
        </row>
        <row r="48">
          <cell r="C48" t="str">
            <v>571011 Deferred Tax Exp-Cr-Federal-Electric</v>
          </cell>
          <cell r="D48">
            <v>-12139039.470000001</v>
          </cell>
        </row>
        <row r="49">
          <cell r="C49" t="str">
            <v>Total Deferred Federal</v>
          </cell>
          <cell r="D49">
            <v>-6579444.79</v>
          </cell>
        </row>
        <row r="50">
          <cell r="C50" t="str">
            <v>576001 Def Tax Exp - DR - State - Electric</v>
          </cell>
          <cell r="D50">
            <v>1340236.42</v>
          </cell>
        </row>
        <row r="51">
          <cell r="C51" t="str">
            <v>576011 Def Tax Exp - CR - State - Electric</v>
          </cell>
          <cell r="D51">
            <v>-2228624.9</v>
          </cell>
        </row>
        <row r="52">
          <cell r="C52" t="str">
            <v>Total Deferred State</v>
          </cell>
          <cell r="D52">
            <v>-888388.48</v>
          </cell>
        </row>
        <row r="53">
          <cell r="C53" t="str">
            <v>Total Income Tax Expense - Deferred</v>
          </cell>
          <cell r="D53">
            <v>-7467833.2699999996</v>
          </cell>
        </row>
        <row r="54">
          <cell r="C54" t="str">
            <v>Total U.S. Income Tax Expense</v>
          </cell>
          <cell r="D54">
            <v>6349116.9299999997</v>
          </cell>
        </row>
        <row r="55">
          <cell r="C55" t="str">
            <v>Total Income Tax Expense</v>
          </cell>
          <cell r="D55">
            <v>6349116.9299999997</v>
          </cell>
        </row>
        <row r="56">
          <cell r="C56" t="str">
            <v>Income-Continuing Operations After Tax</v>
          </cell>
          <cell r="D56">
            <v>-15330815.33</v>
          </cell>
        </row>
        <row r="57">
          <cell r="C57" t="str">
            <v>Net Income</v>
          </cell>
          <cell r="D57">
            <v>-15330815.33</v>
          </cell>
        </row>
        <row r="58">
          <cell r="C58" t="str">
            <v>Net Income Attributable to Stockholders</v>
          </cell>
          <cell r="D58">
            <v>-15330815.33</v>
          </cell>
        </row>
        <row r="59">
          <cell r="C59" t="str">
            <v>Earnings Available for Common</v>
          </cell>
          <cell r="D59">
            <v>-15330815.33</v>
          </cell>
        </row>
        <row r="60">
          <cell r="C60" t="str">
            <v>Earnings Contribution</v>
          </cell>
        </row>
        <row r="61">
          <cell r="C61" t="str">
            <v>Earnings Contribution</v>
          </cell>
          <cell r="D61">
            <v>15330815.33</v>
          </cell>
        </row>
      </sheetData>
      <sheetData sheetId="23">
        <row r="1">
          <cell r="D1" t="str">
            <v>run: 2/9/2017</v>
          </cell>
        </row>
        <row r="2">
          <cell r="D2" t="str">
            <v>cc: 2010, 2050, 2060</v>
          </cell>
        </row>
        <row r="3">
          <cell r="C3" t="str">
            <v>Currency type Company code currency</v>
          </cell>
        </row>
        <row r="4">
          <cell r="C4" t="str">
            <v>Amounts in American Dollar</v>
          </cell>
        </row>
        <row r="5">
          <cell r="C5" t="str">
            <v>Reporting periods</v>
          </cell>
        </row>
        <row r="6">
          <cell r="C6" t="str">
            <v>Comparison periods</v>
          </cell>
        </row>
        <row r="8">
          <cell r="C8" t="str">
            <v>Text for B/S P&amp;L item</v>
          </cell>
          <cell r="D8" t="str">
            <v>Total of reporting period</v>
          </cell>
        </row>
        <row r="9">
          <cell r="C9" t="str">
            <v>Operations, Maintenance, Admin &amp; General</v>
          </cell>
        </row>
        <row r="10">
          <cell r="C10" t="str">
            <v>Salary Expense</v>
          </cell>
        </row>
        <row r="11">
          <cell r="C11" t="str">
            <v>500100 Regular/Ordinary Time</v>
          </cell>
          <cell r="D11">
            <v>-474244</v>
          </cell>
        </row>
        <row r="12">
          <cell r="C12" t="str">
            <v>500102 Non Union Regular/Ordinary Time</v>
          </cell>
          <cell r="D12">
            <v>288030.15000000002</v>
          </cell>
        </row>
        <row r="13">
          <cell r="C13" t="str">
            <v>Subtotal Regular/Ordinary Time</v>
          </cell>
          <cell r="D13">
            <v>-186213.85</v>
          </cell>
        </row>
        <row r="14">
          <cell r="C14" t="str">
            <v>500400 Bonuses and Awards</v>
          </cell>
          <cell r="D14">
            <v>349150.03</v>
          </cell>
        </row>
        <row r="15">
          <cell r="C15" t="str">
            <v>Subtotal Bonus and Awards</v>
          </cell>
          <cell r="D15">
            <v>349150.03</v>
          </cell>
        </row>
        <row r="16">
          <cell r="C16" t="str">
            <v>500410 Annual Incentive Plan</v>
          </cell>
          <cell r="D16">
            <v>43500</v>
          </cell>
        </row>
        <row r="17">
          <cell r="C17" t="str">
            <v>Subtotal Annual Incentive Plan</v>
          </cell>
          <cell r="D17">
            <v>43500</v>
          </cell>
        </row>
        <row r="18">
          <cell r="C18" t="str">
            <v>500700 Severance Pay</v>
          </cell>
          <cell r="D18">
            <v>-114930.58</v>
          </cell>
        </row>
        <row r="19">
          <cell r="C19" t="str">
            <v>500860 Supplemental Unemployment Benefit Pmts</v>
          </cell>
          <cell r="D19">
            <v>-34608.519999999997</v>
          </cell>
        </row>
        <row r="20">
          <cell r="C20" t="str">
            <v>554829 Mining - Salary Expense - Credit</v>
          </cell>
          <cell r="D20">
            <v>231563.58</v>
          </cell>
        </row>
        <row r="21">
          <cell r="C21" t="str">
            <v>699000 Labor FI/CO Recon</v>
          </cell>
          <cell r="D21">
            <v>240404.9</v>
          </cell>
        </row>
        <row r="22">
          <cell r="C22" t="str">
            <v>Subtotal Other Salary Expense</v>
          </cell>
          <cell r="D22">
            <v>322429.38</v>
          </cell>
        </row>
        <row r="23">
          <cell r="C23" t="str">
            <v>Total Salary Expense</v>
          </cell>
          <cell r="D23">
            <v>528865.56000000006</v>
          </cell>
        </row>
        <row r="24">
          <cell r="C24" t="str">
            <v>Salary Overhead/Benefits</v>
          </cell>
        </row>
        <row r="25">
          <cell r="C25" t="str">
            <v>501125 Medical</v>
          </cell>
          <cell r="D25">
            <v>-648890.35</v>
          </cell>
        </row>
        <row r="26">
          <cell r="C26" t="str">
            <v>501175 Dental</v>
          </cell>
          <cell r="D26">
            <v>22.96</v>
          </cell>
        </row>
        <row r="27">
          <cell r="C27" t="str">
            <v>501200 Vision</v>
          </cell>
          <cell r="D27">
            <v>107.99</v>
          </cell>
        </row>
        <row r="28">
          <cell r="C28" t="str">
            <v>501225 Life</v>
          </cell>
          <cell r="D28">
            <v>649.87</v>
          </cell>
        </row>
        <row r="29">
          <cell r="C29" t="str">
            <v>Subtotal Medical/Dental/Vision/Life</v>
          </cell>
          <cell r="D29">
            <v>-648109.53</v>
          </cell>
        </row>
        <row r="30">
          <cell r="C30" t="str">
            <v>501250 401(k) Expense</v>
          </cell>
          <cell r="D30">
            <v>27227.45</v>
          </cell>
        </row>
        <row r="31">
          <cell r="C31" t="str">
            <v>501252 401(k) - Enhanced Fixed</v>
          </cell>
          <cell r="D31">
            <v>10005.719999999999</v>
          </cell>
        </row>
        <row r="32">
          <cell r="C32" t="str">
            <v>Subtotal 401(k) Expense</v>
          </cell>
          <cell r="D32">
            <v>37233.17</v>
          </cell>
        </row>
        <row r="33">
          <cell r="C33" t="str">
            <v>501104 Pension Expense - Non Union</v>
          </cell>
          <cell r="D33">
            <v>51737.04</v>
          </cell>
        </row>
        <row r="34">
          <cell r="C34" t="str">
            <v>Subtotal Pension Expense</v>
          </cell>
          <cell r="D34">
            <v>51737.04</v>
          </cell>
        </row>
        <row r="35">
          <cell r="C35" t="str">
            <v>501650 Worker's Compensation</v>
          </cell>
          <cell r="D35">
            <v>2666.11</v>
          </cell>
        </row>
        <row r="36">
          <cell r="C36" t="str">
            <v>501670 Black Lung Benefit</v>
          </cell>
          <cell r="D36">
            <v>19562.900000000001</v>
          </cell>
        </row>
        <row r="37">
          <cell r="C37" t="str">
            <v>Subtotal WC &amp; Disability Expense</v>
          </cell>
          <cell r="D37">
            <v>22229.01</v>
          </cell>
        </row>
        <row r="38">
          <cell r="C38" t="str">
            <v>580500 Payroll Tax Expense</v>
          </cell>
          <cell r="D38">
            <v>-34080.660000000003</v>
          </cell>
        </row>
        <row r="39">
          <cell r="C39" t="str">
            <v>580700 Payroll Tax Expense-Unemployment</v>
          </cell>
          <cell r="D39">
            <v>1895.64</v>
          </cell>
        </row>
        <row r="40">
          <cell r="C40" t="str">
            <v>Subtotal Payroll Tax Expense</v>
          </cell>
          <cell r="D40">
            <v>-32185.02</v>
          </cell>
        </row>
        <row r="41">
          <cell r="C41" t="str">
            <v>500516 Unused Leave Accrual - Non Union</v>
          </cell>
          <cell r="D41">
            <v>696.96</v>
          </cell>
        </row>
        <row r="42">
          <cell r="C42" t="str">
            <v>Subtotal Unused Leave Expense</v>
          </cell>
          <cell r="D42">
            <v>696.96</v>
          </cell>
        </row>
        <row r="43">
          <cell r="C43" t="str">
            <v>502900 Other Salary Overhead Costs</v>
          </cell>
          <cell r="D43">
            <v>-37590</v>
          </cell>
        </row>
        <row r="44">
          <cell r="C44" t="str">
            <v>580899 Mining - Salary OH/Benefits - Credit</v>
          </cell>
          <cell r="D44">
            <v>746598.2</v>
          </cell>
        </row>
        <row r="45">
          <cell r="C45" t="str">
            <v>699005 Benefits FI/CO Recon</v>
          </cell>
          <cell r="D45">
            <v>14554.75</v>
          </cell>
        </row>
        <row r="46">
          <cell r="C46" t="str">
            <v>Subtotal Other Benefits Expense</v>
          </cell>
          <cell r="D46">
            <v>723562.95</v>
          </cell>
        </row>
        <row r="47">
          <cell r="C47" t="str">
            <v>Total Salary Overhead/Benefits</v>
          </cell>
          <cell r="D47">
            <v>155164.57999999999</v>
          </cell>
        </row>
        <row r="48">
          <cell r="C48" t="str">
            <v>Employee Expenses</v>
          </cell>
        </row>
        <row r="49">
          <cell r="C49" t="str">
            <v>503100 Airfare</v>
          </cell>
          <cell r="D49">
            <v>7053.66</v>
          </cell>
        </row>
        <row r="50">
          <cell r="C50" t="str">
            <v>503109 Corporate Aircraft Expense Allocation</v>
          </cell>
          <cell r="D50">
            <v>5176.68</v>
          </cell>
        </row>
        <row r="51">
          <cell r="C51" t="str">
            <v>503110 Lodging</v>
          </cell>
          <cell r="D51">
            <v>8021.76</v>
          </cell>
        </row>
        <row r="52">
          <cell r="C52" t="str">
            <v>503115 On-Site Meals &amp; Refreshments</v>
          </cell>
          <cell r="D52">
            <v>30.39</v>
          </cell>
        </row>
        <row r="53">
          <cell r="C53" t="str">
            <v>503120 Meals &amp; Entertainment</v>
          </cell>
          <cell r="D53">
            <v>1452.05</v>
          </cell>
        </row>
        <row r="54">
          <cell r="C54" t="str">
            <v>503125 Vehicle Rental and Expense</v>
          </cell>
          <cell r="D54">
            <v>1074.6199999999999</v>
          </cell>
        </row>
        <row r="55">
          <cell r="C55" t="str">
            <v>503130 Other Ground Transportation - Commercial</v>
          </cell>
          <cell r="D55">
            <v>10</v>
          </cell>
        </row>
        <row r="56">
          <cell r="C56" t="str">
            <v>503135 Auto Expense/Parking/Mileage</v>
          </cell>
          <cell r="D56">
            <v>260.64</v>
          </cell>
        </row>
        <row r="57">
          <cell r="C57" t="str">
            <v>503140 Cellular Telephone Expense</v>
          </cell>
          <cell r="D57">
            <v>6460.18</v>
          </cell>
        </row>
        <row r="58">
          <cell r="C58" t="str">
            <v>503370 Books &amp; Subscriptions</v>
          </cell>
          <cell r="D58">
            <v>20805</v>
          </cell>
        </row>
        <row r="59">
          <cell r="C59" t="str">
            <v>503400 Other Employee Related Expenses</v>
          </cell>
          <cell r="D59">
            <v>172.46</v>
          </cell>
        </row>
        <row r="60">
          <cell r="C60" t="str">
            <v>503420 Related Party Employee Expense Reimb</v>
          </cell>
          <cell r="D60">
            <v>-5532.63</v>
          </cell>
        </row>
        <row r="61">
          <cell r="C61" t="str">
            <v>503999 Mining - Employee Expenses - Credit</v>
          </cell>
          <cell r="D61">
            <v>-3853.82</v>
          </cell>
        </row>
        <row r="62">
          <cell r="C62" t="str">
            <v>Total Employee Expenses</v>
          </cell>
          <cell r="D62">
            <v>41130.99</v>
          </cell>
        </row>
        <row r="63">
          <cell r="C63" t="str">
            <v>Materials &amp; Supplies</v>
          </cell>
        </row>
        <row r="64">
          <cell r="C64" t="str">
            <v>516035 Laboratory Supplies</v>
          </cell>
          <cell r="D64">
            <v>160</v>
          </cell>
        </row>
        <row r="65">
          <cell r="C65" t="str">
            <v>516200 Uniform / Safety Equipment</v>
          </cell>
          <cell r="D65">
            <v>4.42</v>
          </cell>
        </row>
        <row r="66">
          <cell r="C66" t="str">
            <v>516300 Office Supplies</v>
          </cell>
          <cell r="D66">
            <v>6297.11</v>
          </cell>
        </row>
        <row r="67">
          <cell r="C67" t="str">
            <v>516320 Pipe, Valves and Fittings</v>
          </cell>
          <cell r="D67">
            <v>8.5500000000000007</v>
          </cell>
        </row>
        <row r="68">
          <cell r="C68" t="str">
            <v>516435 Vehicles</v>
          </cell>
          <cell r="D68">
            <v>10</v>
          </cell>
        </row>
        <row r="69">
          <cell r="C69" t="str">
            <v>516440 Fuel-Veh/Mobile Equip</v>
          </cell>
          <cell r="D69">
            <v>2365.12</v>
          </cell>
        </row>
        <row r="70">
          <cell r="C70" t="str">
            <v>516900 Miscellaneous Materials &amp; Supplies</v>
          </cell>
          <cell r="D70">
            <v>2.62</v>
          </cell>
        </row>
        <row r="71">
          <cell r="C71" t="str">
            <v>516999 Mining - Materials &amp; Supplies - Credit</v>
          </cell>
          <cell r="D71">
            <v>-6297.11</v>
          </cell>
        </row>
        <row r="72">
          <cell r="C72" t="str">
            <v>Total Materials &amp; Supplies - Regular</v>
          </cell>
          <cell r="D72">
            <v>2550.71</v>
          </cell>
        </row>
        <row r="73">
          <cell r="C73" t="str">
            <v>Total Materials &amp; Supplies</v>
          </cell>
          <cell r="D73">
            <v>2550.71</v>
          </cell>
        </row>
        <row r="74">
          <cell r="C74" t="str">
            <v>Contracts &amp; Services</v>
          </cell>
        </row>
        <row r="75">
          <cell r="C75" t="str">
            <v>530031 Printing/Imaging/Mail Services</v>
          </cell>
          <cell r="D75">
            <v>60.33</v>
          </cell>
        </row>
        <row r="76">
          <cell r="C76" t="str">
            <v>530045 Constr &amp; Maint Contracts-Labor</v>
          </cell>
          <cell r="D76">
            <v>-12026.44</v>
          </cell>
        </row>
        <row r="77">
          <cell r="C77" t="str">
            <v>530050 Constr &amp; Maint Contracts-Other</v>
          </cell>
          <cell r="D77">
            <v>-16559.96</v>
          </cell>
        </row>
        <row r="78">
          <cell r="C78" t="str">
            <v>530055 Consulting/Technical Services</v>
          </cell>
          <cell r="D78">
            <v>64538.91</v>
          </cell>
        </row>
        <row r="79">
          <cell r="C79" t="str">
            <v>530073 Freight/Hauling Services</v>
          </cell>
          <cell r="D79">
            <v>812.58</v>
          </cell>
        </row>
        <row r="80">
          <cell r="C80" t="str">
            <v>530095 Legal Consulting Services - Legal Fees</v>
          </cell>
          <cell r="D80">
            <v>123</v>
          </cell>
        </row>
        <row r="81">
          <cell r="C81" t="str">
            <v>530190 Miscellaneous Contracts &amp; Services</v>
          </cell>
          <cell r="D81">
            <v>46028.26</v>
          </cell>
        </row>
        <row r="82">
          <cell r="C82" t="str">
            <v>530999 Mining - Contracts &amp; Services - Credit</v>
          </cell>
          <cell r="D82">
            <v>10044.799999999999</v>
          </cell>
        </row>
        <row r="83">
          <cell r="C83" t="str">
            <v>Total Contracts &amp; Services</v>
          </cell>
          <cell r="D83">
            <v>93021.48</v>
          </cell>
        </row>
        <row r="84">
          <cell r="C84" t="str">
            <v>OMAG Expenses - MidAmerican</v>
          </cell>
        </row>
        <row r="85">
          <cell r="C85" t="str">
            <v>548530 I/C Moving/Relocation Services - HSofA</v>
          </cell>
          <cell r="D85">
            <v>-2840</v>
          </cell>
        </row>
        <row r="86">
          <cell r="C86" t="str">
            <v>Total OMAG Expenses - MidAmerican</v>
          </cell>
          <cell r="D86">
            <v>-2840</v>
          </cell>
        </row>
        <row r="87">
          <cell r="C87" t="str">
            <v>Utilities</v>
          </cell>
        </row>
        <row r="88">
          <cell r="C88" t="str">
            <v>535100 Telephone</v>
          </cell>
          <cell r="D88">
            <v>-40220.67</v>
          </cell>
        </row>
        <row r="89">
          <cell r="C89" t="str">
            <v>535154 Telephone-Satellite</v>
          </cell>
          <cell r="D89">
            <v>540.89</v>
          </cell>
        </row>
        <row r="90">
          <cell r="C90" t="str">
            <v>535999 Mining - Utilities - Credit</v>
          </cell>
          <cell r="D90">
            <v>42275.34</v>
          </cell>
        </row>
        <row r="91">
          <cell r="C91" t="str">
            <v>Total Utilities</v>
          </cell>
          <cell r="D91">
            <v>2595.56</v>
          </cell>
        </row>
        <row r="92">
          <cell r="C92" t="str">
            <v>Other O&amp;M and A&amp;G Expense</v>
          </cell>
        </row>
        <row r="93">
          <cell r="C93" t="str">
            <v>505971 ARO - Misc Non-Oper Inc/Exp</v>
          </cell>
          <cell r="D93">
            <v>-117595.11</v>
          </cell>
        </row>
        <row r="94">
          <cell r="C94" t="str">
            <v>516438 Vehicle Expense - License Fees</v>
          </cell>
          <cell r="D94">
            <v>1176.6600000000001</v>
          </cell>
        </row>
        <row r="95">
          <cell r="C95" t="str">
            <v>543000 Other Rent/Leases</v>
          </cell>
          <cell r="D95">
            <v>313.60000000000002</v>
          </cell>
        </row>
        <row r="96">
          <cell r="C96" t="str">
            <v>545000 Liability Insurance Costs</v>
          </cell>
          <cell r="D96">
            <v>51.07</v>
          </cell>
        </row>
        <row r="97">
          <cell r="C97" t="str">
            <v>545100 Royalties</v>
          </cell>
          <cell r="D97">
            <v>-94110.46</v>
          </cell>
        </row>
        <row r="98">
          <cell r="C98" t="str">
            <v>545310 Other O&amp;M Expense</v>
          </cell>
          <cell r="D98">
            <v>-7647.9</v>
          </cell>
        </row>
        <row r="99">
          <cell r="C99" t="str">
            <v>545400 Bank Charges &amp; Fees</v>
          </cell>
          <cell r="D99">
            <v>3540.68</v>
          </cell>
        </row>
        <row r="100">
          <cell r="C100" t="str">
            <v>545500 Settlement Fees</v>
          </cell>
          <cell r="D100">
            <v>60000</v>
          </cell>
        </row>
        <row r="101">
          <cell r="C101" t="str">
            <v>546960 Mining - Other O&amp;M and A&amp;G - Credit</v>
          </cell>
          <cell r="D101">
            <v>173998.27</v>
          </cell>
        </row>
        <row r="102">
          <cell r="C102" t="str">
            <v>549300 Reimbursements</v>
          </cell>
          <cell r="D102">
            <v>-754436</v>
          </cell>
        </row>
        <row r="103">
          <cell r="C103" t="str">
            <v>582300 Permits &amp; Licenses</v>
          </cell>
          <cell r="D103">
            <v>1519.65</v>
          </cell>
        </row>
        <row r="104">
          <cell r="C104" t="str">
            <v>699020 Corporate Allocations FI/CO Reconciliation</v>
          </cell>
          <cell r="D104">
            <v>-83758.66</v>
          </cell>
        </row>
        <row r="105">
          <cell r="C105" t="str">
            <v>Total Other O&amp;M and A&amp;G Expense</v>
          </cell>
          <cell r="D105">
            <v>-816948.2</v>
          </cell>
        </row>
        <row r="106">
          <cell r="C106" t="str">
            <v>Total Operations,Maintenance, Admin &amp; General</v>
          </cell>
          <cell r="D106">
            <v>3540.68</v>
          </cell>
        </row>
        <row r="107">
          <cell r="C107" t="str">
            <v>Total Income From Operations</v>
          </cell>
          <cell r="D107">
            <v>3540.68</v>
          </cell>
        </row>
        <row r="108">
          <cell r="C108" t="str">
            <v>Interest Expense and Other</v>
          </cell>
        </row>
        <row r="109">
          <cell r="C109" t="str">
            <v>Interest Income</v>
          </cell>
        </row>
        <row r="110">
          <cell r="C110" t="str">
            <v>Interest Income External</v>
          </cell>
        </row>
        <row r="111">
          <cell r="C111" t="str">
            <v>385406 Interest Income - Notes Receivable</v>
          </cell>
          <cell r="D111">
            <v>-2122414.38</v>
          </cell>
        </row>
        <row r="112">
          <cell r="C112" t="str">
            <v>Total Interest Income - Notes</v>
          </cell>
          <cell r="D112">
            <v>-2122414.38</v>
          </cell>
        </row>
        <row r="113">
          <cell r="C113" t="str">
            <v>Total Interest Income External</v>
          </cell>
          <cell r="D113">
            <v>-2122414.38</v>
          </cell>
        </row>
        <row r="114">
          <cell r="C114" t="str">
            <v>Total Interest Income</v>
          </cell>
          <cell r="D114">
            <v>-2122414.38</v>
          </cell>
        </row>
        <row r="115">
          <cell r="C115" t="str">
            <v>Total Interest Expense Net</v>
          </cell>
          <cell r="D115">
            <v>-2122414.38</v>
          </cell>
        </row>
        <row r="116">
          <cell r="C116" t="str">
            <v>Total Interest Expense and Other</v>
          </cell>
          <cell r="D116">
            <v>-2122414.38</v>
          </cell>
        </row>
        <row r="117">
          <cell r="C117" t="str">
            <v>Income-Continuing Operations Before Tax</v>
          </cell>
          <cell r="D117">
            <v>-2118873.7000000002</v>
          </cell>
        </row>
        <row r="118">
          <cell r="C118" t="str">
            <v>Income-Continuing Operations After Tax</v>
          </cell>
          <cell r="D118">
            <v>-2118873.7000000002</v>
          </cell>
        </row>
        <row r="119">
          <cell r="C119" t="str">
            <v>Net Income</v>
          </cell>
          <cell r="D119">
            <v>-2118873.7000000002</v>
          </cell>
        </row>
        <row r="120">
          <cell r="C120" t="str">
            <v>Net Income Attributable to Stockholders</v>
          </cell>
          <cell r="D120">
            <v>-2118873.7000000002</v>
          </cell>
        </row>
        <row r="121">
          <cell r="C121" t="str">
            <v>Earnings Available for Common</v>
          </cell>
          <cell r="D121">
            <v>-2118873.7000000002</v>
          </cell>
        </row>
        <row r="122">
          <cell r="C122" t="str">
            <v>Earnings Contribution</v>
          </cell>
        </row>
        <row r="123">
          <cell r="C123" t="str">
            <v>Earnings Contribution</v>
          </cell>
          <cell r="D123">
            <v>2118873.7000000002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Reconciliation"/>
      <sheetName val="Internal Back-Up&gt;&gt;"/>
      <sheetName val="2016 Form 1"/>
      <sheetName val="2016 JAM"/>
      <sheetName val="O&amp;M Breakdown "/>
      <sheetName val="BW Reports&gt;&gt;"/>
      <sheetName val="Nonutil Rent Revs"/>
      <sheetName val="Nonutil O&amp;M"/>
      <sheetName val="Interwest O&amp;M"/>
      <sheetName val="Nonutil Depn"/>
      <sheetName val="Util Amort"/>
      <sheetName val="Nonutil Amort"/>
    </sheetNames>
    <sheetDataSet>
      <sheetData sheetId="0" refreshError="1"/>
      <sheetData sheetId="1" refreshError="1"/>
      <sheetData sheetId="2" refreshError="1"/>
      <sheetData sheetId="3">
        <row r="73">
          <cell r="I73">
            <v>5201080710.5600004</v>
          </cell>
        </row>
        <row r="89">
          <cell r="I89">
            <v>685576742.7099998</v>
          </cell>
        </row>
        <row r="91">
          <cell r="I91">
            <v>189632534.75</v>
          </cell>
        </row>
        <row r="92">
          <cell r="I92">
            <v>226250162.53119677</v>
          </cell>
        </row>
        <row r="93">
          <cell r="I93">
            <v>39828328.249128513</v>
          </cell>
        </row>
        <row r="95">
          <cell r="I95">
            <v>-4341401.0599999996</v>
          </cell>
        </row>
        <row r="248">
          <cell r="I248">
            <v>0</v>
          </cell>
        </row>
        <row r="253">
          <cell r="I253">
            <v>0</v>
          </cell>
        </row>
        <row r="258">
          <cell r="I258">
            <v>-187.82</v>
          </cell>
        </row>
        <row r="275">
          <cell r="I275">
            <v>-1747577.94</v>
          </cell>
        </row>
        <row r="604">
          <cell r="I604">
            <v>-503555.33383675851</v>
          </cell>
        </row>
        <row r="1134">
          <cell r="I1134">
            <v>39016448.749999993</v>
          </cell>
        </row>
        <row r="1148">
          <cell r="I1148">
            <v>5083194.9000000004</v>
          </cell>
        </row>
        <row r="1260">
          <cell r="I1260">
            <v>460273751</v>
          </cell>
        </row>
        <row r="1280">
          <cell r="I1280">
            <v>-369412651.00005287</v>
          </cell>
        </row>
      </sheetData>
      <sheetData sheetId="4">
        <row r="13">
          <cell r="B13">
            <v>2425234920.7661633</v>
          </cell>
          <cell r="C13">
            <v>399131517.41999996</v>
          </cell>
        </row>
      </sheetData>
      <sheetData sheetId="5" refreshError="1"/>
      <sheetData sheetId="6" refreshError="1"/>
      <sheetData sheetId="7">
        <row r="37">
          <cell r="G37">
            <v>21710542.710000001</v>
          </cell>
        </row>
        <row r="38">
          <cell r="G38">
            <v>402201.67</v>
          </cell>
        </row>
        <row r="39">
          <cell r="G39">
            <v>-727391.19000000006</v>
          </cell>
        </row>
        <row r="40">
          <cell r="G40">
            <v>-663563.41</v>
          </cell>
        </row>
        <row r="41">
          <cell r="G41">
            <v>-28664.899999999998</v>
          </cell>
        </row>
        <row r="42">
          <cell r="G42">
            <v>38.47</v>
          </cell>
        </row>
        <row r="43">
          <cell r="G43">
            <v>49912.92</v>
          </cell>
        </row>
      </sheetData>
      <sheetData sheetId="8">
        <row r="36">
          <cell r="F36">
            <v>118.04407</v>
          </cell>
        </row>
        <row r="37">
          <cell r="F37">
            <v>-0.44896000000000003</v>
          </cell>
        </row>
      </sheetData>
      <sheetData sheetId="9">
        <row r="37">
          <cell r="G37">
            <v>26459013.550000001</v>
          </cell>
        </row>
        <row r="38">
          <cell r="G38">
            <v>-1277950.28</v>
          </cell>
        </row>
        <row r="44">
          <cell r="G44">
            <v>-1966463.01</v>
          </cell>
        </row>
      </sheetData>
      <sheetData sheetId="10">
        <row r="96">
          <cell r="F96">
            <v>124.29024</v>
          </cell>
        </row>
      </sheetData>
      <sheetData sheetId="11">
        <row r="36">
          <cell r="F36">
            <v>-439.44880999999998</v>
          </cell>
        </row>
        <row r="37">
          <cell r="F37">
            <v>26.216280000000001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Reconciliation"/>
      <sheetName val="Form 1 Income Stmt"/>
      <sheetName val="2015 JAM"/>
      <sheetName val="O&amp;M Breakdown "/>
      <sheetName val="BW Reports&gt;&gt;&gt;"/>
      <sheetName val="Nonutil Rent Revs"/>
      <sheetName val=" Nonutil O&amp;M"/>
      <sheetName val="Interwest OM"/>
      <sheetName val=" Nonutil depn"/>
      <sheetName val=" Util Amort"/>
      <sheetName val=" Nonutil Amort"/>
    </sheetNames>
    <sheetDataSet>
      <sheetData sheetId="0"/>
      <sheetData sheetId="1"/>
      <sheetData sheetId="2">
        <row r="275">
          <cell r="I275">
            <v>-872160.35000000009</v>
          </cell>
        </row>
      </sheetData>
      <sheetData sheetId="3"/>
      <sheetData sheetId="4"/>
      <sheetData sheetId="5"/>
      <sheetData sheetId="6">
        <row r="37">
          <cell r="G37">
            <v>19546035.779999997</v>
          </cell>
        </row>
      </sheetData>
      <sheetData sheetId="7"/>
      <sheetData sheetId="8">
        <row r="45">
          <cell r="F45">
            <v>303.63132000000002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D4" sqref="D4"/>
    </sheetView>
  </sheetViews>
  <sheetFormatPr defaultRowHeight="12.75" x14ac:dyDescent="0.2"/>
  <cols>
    <col min="1" max="1" width="29.6640625" customWidth="1"/>
    <col min="2" max="4" width="27" customWidth="1"/>
    <col min="6" max="6" width="17.83203125" bestFit="1" customWidth="1"/>
    <col min="7" max="10" width="17.1640625" customWidth="1"/>
  </cols>
  <sheetData>
    <row r="1" spans="1:9" x14ac:dyDescent="0.2">
      <c r="A1" s="1" t="s">
        <v>0</v>
      </c>
      <c r="B1" s="2"/>
      <c r="C1" s="2"/>
      <c r="D1" s="2"/>
      <c r="E1" s="2"/>
      <c r="F1" s="2"/>
      <c r="G1" s="2"/>
      <c r="H1" s="2"/>
      <c r="I1" s="2"/>
    </row>
    <row r="2" spans="1:9" x14ac:dyDescent="0.2">
      <c r="A2" s="1" t="s">
        <v>329</v>
      </c>
      <c r="B2" s="2"/>
      <c r="C2" s="2"/>
      <c r="D2" s="2"/>
      <c r="E2" s="2"/>
      <c r="F2" s="2"/>
      <c r="G2" s="2"/>
      <c r="H2" s="2"/>
      <c r="I2" s="2"/>
    </row>
    <row r="3" spans="1:9" x14ac:dyDescent="0.2">
      <c r="A3" s="1" t="s">
        <v>1</v>
      </c>
      <c r="B3" s="2"/>
      <c r="C3" s="2"/>
      <c r="D3" s="2"/>
      <c r="E3" s="2"/>
      <c r="F3" s="2"/>
      <c r="G3" s="2"/>
      <c r="H3" s="2"/>
      <c r="I3" s="2"/>
    </row>
    <row r="4" spans="1:9" x14ac:dyDescent="0.2">
      <c r="A4" s="315">
        <v>2016</v>
      </c>
      <c r="B4" s="2"/>
      <c r="C4" s="2"/>
      <c r="D4" s="2"/>
      <c r="E4" s="2"/>
      <c r="F4" s="2"/>
      <c r="G4" s="2"/>
      <c r="H4" s="2"/>
      <c r="I4" s="2"/>
    </row>
    <row r="5" spans="1:9" x14ac:dyDescent="0.2">
      <c r="A5" s="2"/>
      <c r="B5" s="2"/>
      <c r="C5" s="2"/>
      <c r="D5" s="2"/>
      <c r="E5" s="2"/>
      <c r="F5" s="2"/>
      <c r="G5" s="2"/>
      <c r="H5" s="2"/>
      <c r="I5" s="2"/>
    </row>
    <row r="6" spans="1:9" x14ac:dyDescent="0.2">
      <c r="A6" s="2"/>
      <c r="B6" s="2"/>
      <c r="C6" s="2"/>
      <c r="D6" s="2"/>
      <c r="E6" s="2"/>
      <c r="F6" s="2"/>
      <c r="G6" s="320" t="s">
        <v>2</v>
      </c>
      <c r="H6" s="320"/>
      <c r="I6" s="320"/>
    </row>
    <row r="7" spans="1:9" x14ac:dyDescent="0.2">
      <c r="A7" s="321" t="s">
        <v>3</v>
      </c>
      <c r="B7" s="321"/>
      <c r="C7" s="321"/>
      <c r="D7" s="321"/>
      <c r="E7" s="321"/>
      <c r="F7" s="2"/>
      <c r="G7" s="321" t="s">
        <v>4</v>
      </c>
      <c r="H7" s="321"/>
      <c r="I7" s="321"/>
    </row>
    <row r="8" spans="1:9" x14ac:dyDescent="0.2">
      <c r="A8" s="3"/>
      <c r="B8" s="4"/>
      <c r="C8" s="4"/>
      <c r="D8" s="4"/>
      <c r="E8" s="4"/>
      <c r="F8" s="2"/>
      <c r="G8" s="2"/>
      <c r="H8" s="2"/>
      <c r="I8" s="2"/>
    </row>
    <row r="9" spans="1:9" x14ac:dyDescent="0.2">
      <c r="A9" s="3"/>
      <c r="B9" s="5" t="s">
        <v>5</v>
      </c>
      <c r="C9" s="5" t="s">
        <v>6</v>
      </c>
      <c r="D9" s="6" t="s">
        <v>7</v>
      </c>
      <c r="E9" s="2"/>
      <c r="F9" s="2"/>
      <c r="G9" s="5" t="s">
        <v>8</v>
      </c>
      <c r="H9" s="5" t="s">
        <v>9</v>
      </c>
      <c r="I9" s="5" t="s">
        <v>10</v>
      </c>
    </row>
    <row r="10" spans="1:9" x14ac:dyDescent="0.2">
      <c r="A10" s="2"/>
      <c r="B10" s="7" t="s">
        <v>11</v>
      </c>
      <c r="C10" s="7" t="s">
        <v>11</v>
      </c>
      <c r="D10" s="2"/>
      <c r="E10" s="2"/>
      <c r="F10" s="2"/>
      <c r="G10" s="2"/>
      <c r="H10" s="6" t="s">
        <v>12</v>
      </c>
      <c r="I10" s="2"/>
    </row>
    <row r="11" spans="1:9" x14ac:dyDescent="0.2">
      <c r="A11" s="2"/>
      <c r="B11" s="8" t="str">
        <f>'PacifiCorp YTD'!B2</f>
        <v>December 31, 2016</v>
      </c>
      <c r="C11" s="9" t="str">
        <f>B11</f>
        <v>December 31, 2016</v>
      </c>
      <c r="D11" s="7" t="s">
        <v>13</v>
      </c>
      <c r="E11" s="2"/>
      <c r="F11" s="2"/>
      <c r="G11" s="6" t="s">
        <v>12</v>
      </c>
      <c r="H11" s="6" t="s">
        <v>14</v>
      </c>
      <c r="I11" s="2"/>
    </row>
    <row r="12" spans="1:9" x14ac:dyDescent="0.2">
      <c r="A12" s="3"/>
      <c r="B12" s="10" t="s">
        <v>15</v>
      </c>
      <c r="C12" s="10" t="s">
        <v>16</v>
      </c>
      <c r="D12" s="10" t="s">
        <v>17</v>
      </c>
      <c r="E12" s="2"/>
      <c r="F12" s="2"/>
      <c r="G12" s="11" t="s">
        <v>18</v>
      </c>
      <c r="H12" s="11" t="s">
        <v>19</v>
      </c>
      <c r="I12" s="11" t="s">
        <v>20</v>
      </c>
    </row>
    <row r="13" spans="1:9" x14ac:dyDescent="0.2">
      <c r="A13" s="2" t="s">
        <v>21</v>
      </c>
      <c r="B13" s="12">
        <f>-'PacifiCorp YTD'!L10</f>
        <v>-5200734320.2399998</v>
      </c>
      <c r="C13" s="12">
        <f>-'IS Reconciliation'!C9+'IS Reconciliation'!C24</f>
        <v>-5201080899</v>
      </c>
      <c r="D13" s="316">
        <f>B13-C13</f>
        <v>346578.76000022888</v>
      </c>
      <c r="E13" s="2" t="s">
        <v>330</v>
      </c>
      <c r="F13" s="2"/>
      <c r="G13" s="13">
        <f>C13</f>
        <v>-5201080899</v>
      </c>
      <c r="H13" s="13"/>
      <c r="I13" s="14">
        <f>C13-G13-H13</f>
        <v>0</v>
      </c>
    </row>
    <row r="14" spans="1:9" x14ac:dyDescent="0.2">
      <c r="A14" s="2" t="s">
        <v>22</v>
      </c>
      <c r="B14" s="15">
        <f>'PacifiCorp YTD'!L13+'PacifiCorp YTD'!L14</f>
        <v>2814966496.6700001</v>
      </c>
      <c r="C14" s="15">
        <f>'IS Reconciliation'!C11+'IS Reconciliation'!C12</f>
        <v>2845495474</v>
      </c>
      <c r="D14" s="15">
        <f t="shared" ref="D14:D19" si="0">B14-C14</f>
        <v>-30528977.329999924</v>
      </c>
      <c r="E14" s="16" t="s">
        <v>23</v>
      </c>
      <c r="F14" s="2"/>
      <c r="G14" s="13">
        <f>C14</f>
        <v>2845495474</v>
      </c>
      <c r="H14" s="13"/>
      <c r="I14" s="14">
        <f t="shared" ref="I14:I18" si="1">C14-G14-H14</f>
        <v>0</v>
      </c>
    </row>
    <row r="15" spans="1:9" x14ac:dyDescent="0.2">
      <c r="A15" s="2" t="s">
        <v>24</v>
      </c>
      <c r="B15" s="15">
        <f>'PacifiCorp YTD'!L15</f>
        <v>770250835.63999999</v>
      </c>
      <c r="C15" s="15">
        <f>SUM('IS Reconciliation'!C13:C17)</f>
        <v>752905676</v>
      </c>
      <c r="D15" s="15">
        <f t="shared" si="0"/>
        <v>17345159.639999986</v>
      </c>
      <c r="E15" s="2" t="s">
        <v>25</v>
      </c>
      <c r="F15" s="2"/>
      <c r="G15" s="13">
        <f>C15</f>
        <v>752905676</v>
      </c>
      <c r="H15" s="13"/>
      <c r="I15" s="14">
        <f t="shared" si="1"/>
        <v>0</v>
      </c>
    </row>
    <row r="16" spans="1:9" x14ac:dyDescent="0.2">
      <c r="A16" s="2" t="s">
        <v>26</v>
      </c>
      <c r="B16" s="15">
        <f>'PacifiCorp YTD'!L16</f>
        <v>189676608.99000001</v>
      </c>
      <c r="C16" s="17">
        <f>'CC- Taxes '!I56</f>
        <v>189913434.12</v>
      </c>
      <c r="D16" s="17">
        <f t="shared" si="0"/>
        <v>-236825.12999999523</v>
      </c>
      <c r="E16" s="2" t="s">
        <v>331</v>
      </c>
      <c r="F16" s="2"/>
      <c r="G16" s="13">
        <f>'CC- Taxes '!I53</f>
        <v>189632534.75</v>
      </c>
      <c r="H16" s="13">
        <f>'CC- Taxes '!I54</f>
        <v>280899.37</v>
      </c>
      <c r="I16" s="14">
        <f>C16-G16-H16</f>
        <v>4.7730281949043274E-9</v>
      </c>
    </row>
    <row r="17" spans="1:9" x14ac:dyDescent="0.2">
      <c r="A17" s="2" t="s">
        <v>27</v>
      </c>
      <c r="B17" s="15">
        <f>-'PacifiCorp YTD'!L28</f>
        <v>323100525.53999996</v>
      </c>
      <c r="C17" s="18">
        <f>'FF - Interest Exp'!I56</f>
        <v>324490527.98000008</v>
      </c>
      <c r="D17" s="15">
        <f t="shared" si="0"/>
        <v>-1390002.4400001168</v>
      </c>
      <c r="E17" s="2" t="s">
        <v>28</v>
      </c>
      <c r="F17" s="19"/>
      <c r="G17" s="13"/>
      <c r="H17" s="13">
        <f>'Rtmkg FERC accts'!B67</f>
        <v>324490527.98000008</v>
      </c>
      <c r="I17" s="14">
        <f>C17-G17-H17</f>
        <v>0</v>
      </c>
    </row>
    <row r="18" spans="1:9" x14ac:dyDescent="0.2">
      <c r="A18" s="2" t="s">
        <v>29</v>
      </c>
      <c r="B18" s="15"/>
      <c r="C18" s="17">
        <f>'EE - Other Net &amp; Derivative P-L'!I55</f>
        <v>-8261923.5900000017</v>
      </c>
      <c r="D18" s="15">
        <f t="shared" si="0"/>
        <v>8261923.5900000017</v>
      </c>
      <c r="E18" s="2" t="s">
        <v>30</v>
      </c>
      <c r="F18" s="2"/>
      <c r="G18" s="2"/>
      <c r="H18" s="15">
        <f>'Rtmkg FERC accts'!B68</f>
        <v>-8261923.5900000036</v>
      </c>
      <c r="I18" s="14">
        <f t="shared" si="1"/>
        <v>0</v>
      </c>
    </row>
    <row r="19" spans="1:9" x14ac:dyDescent="0.2">
      <c r="A19" s="2" t="s">
        <v>31</v>
      </c>
      <c r="B19" s="15">
        <f>'PacifiCorp YTD'!L31</f>
        <v>340229458.97000003</v>
      </c>
      <c r="C19" s="17">
        <f>'CC- Taxes '!I36</f>
        <v>334027315.10999995</v>
      </c>
      <c r="D19" s="15">
        <f t="shared" si="0"/>
        <v>6202143.8600000739</v>
      </c>
      <c r="E19" s="2" t="s">
        <v>32</v>
      </c>
      <c r="F19" s="2"/>
      <c r="G19" s="13">
        <f>SUM('IS Reconciliation'!C19:C23)-0.6</f>
        <v>336055114.39999998</v>
      </c>
      <c r="H19" s="13">
        <f>SUM('Rtmkg FERC accts'!B42:B47)</f>
        <v>-2027799.2900000226</v>
      </c>
      <c r="I19" s="14">
        <f>C19-G19-H19</f>
        <v>0</v>
      </c>
    </row>
    <row r="20" spans="1:9" ht="13.5" thickBot="1" x14ac:dyDescent="0.25">
      <c r="A20" s="2" t="s">
        <v>33</v>
      </c>
      <c r="B20" s="20">
        <f>SUM(B13:B19)</f>
        <v>-762510394.42999983</v>
      </c>
      <c r="C20" s="20">
        <f>SUM(C13:C19)</f>
        <v>-762510395.38000011</v>
      </c>
      <c r="D20" s="20">
        <f t="shared" ref="D20" si="2">C20-B20</f>
        <v>-0.95000028610229492</v>
      </c>
      <c r="E20" s="2"/>
      <c r="F20" s="21" t="s">
        <v>34</v>
      </c>
      <c r="G20" s="22">
        <f>SUM(G13:G19)</f>
        <v>-1076992099.8499999</v>
      </c>
      <c r="H20" s="22">
        <f>SUM(H13:H19)</f>
        <v>314481704.47000009</v>
      </c>
      <c r="I20" s="23"/>
    </row>
    <row r="21" spans="1:9" ht="13.5" thickTop="1" x14ac:dyDescent="0.2">
      <c r="A21" s="2"/>
      <c r="B21" s="14">
        <f>B20+'PacifiCorp YTD'!L32</f>
        <v>0</v>
      </c>
      <c r="C21" s="24"/>
      <c r="D21" s="24"/>
      <c r="E21" s="2"/>
      <c r="F21" s="2"/>
      <c r="G21" s="25"/>
      <c r="H21" s="25"/>
      <c r="I21" s="2"/>
    </row>
    <row r="22" spans="1:9" x14ac:dyDescent="0.2">
      <c r="A22" s="2"/>
      <c r="B22" s="2"/>
      <c r="C22" s="24"/>
      <c r="D22" s="24"/>
      <c r="E22" s="2"/>
      <c r="F22" s="2"/>
      <c r="G22" s="2"/>
      <c r="H22" s="2"/>
      <c r="I22" s="2"/>
    </row>
    <row r="23" spans="1:9" x14ac:dyDescent="0.2">
      <c r="A23" s="26" t="s">
        <v>35</v>
      </c>
      <c r="B23" s="27"/>
      <c r="C23" s="27"/>
      <c r="D23" s="27"/>
      <c r="E23" s="27"/>
      <c r="F23" s="2"/>
      <c r="G23" s="2"/>
      <c r="H23" s="2"/>
      <c r="I23" s="2"/>
    </row>
    <row r="24" spans="1:9" x14ac:dyDescent="0.2">
      <c r="A24" s="26"/>
      <c r="B24" s="27"/>
      <c r="C24" s="27"/>
      <c r="D24" s="27"/>
      <c r="E24" s="27"/>
      <c r="F24" s="28"/>
      <c r="G24" s="28"/>
      <c r="H24" s="28"/>
      <c r="I24" s="28"/>
    </row>
    <row r="25" spans="1:9" x14ac:dyDescent="0.2">
      <c r="A25" s="29"/>
      <c r="B25" s="27"/>
      <c r="C25" s="27"/>
      <c r="D25" s="27"/>
      <c r="E25" s="27"/>
      <c r="F25" s="28"/>
      <c r="G25" s="28"/>
      <c r="H25" s="28"/>
      <c r="I25" s="28"/>
    </row>
    <row r="26" spans="1:9" ht="25.5" customHeight="1" x14ac:dyDescent="0.2">
      <c r="A26" s="30" t="s">
        <v>36</v>
      </c>
      <c r="B26" s="317" t="s">
        <v>37</v>
      </c>
      <c r="C26" s="318"/>
      <c r="D26" s="318"/>
      <c r="E26" s="319"/>
      <c r="F26" s="28"/>
      <c r="G26" s="31"/>
      <c r="H26" s="28"/>
      <c r="I26" s="32"/>
    </row>
    <row r="27" spans="1:9" x14ac:dyDescent="0.2">
      <c r="A27" s="29"/>
      <c r="B27" s="27"/>
      <c r="C27" s="27"/>
      <c r="D27" s="27"/>
      <c r="E27" s="27"/>
      <c r="F27" s="28"/>
      <c r="G27" s="28"/>
      <c r="H27" s="28"/>
      <c r="I27" s="28"/>
    </row>
    <row r="28" spans="1:9" ht="57.75" customHeight="1" x14ac:dyDescent="0.2">
      <c r="A28" s="30" t="s">
        <v>38</v>
      </c>
      <c r="B28" s="317" t="s">
        <v>39</v>
      </c>
      <c r="C28" s="318"/>
      <c r="D28" s="318"/>
      <c r="E28" s="319"/>
      <c r="F28" s="33"/>
      <c r="G28" s="34"/>
      <c r="H28" s="28"/>
      <c r="I28" s="33"/>
    </row>
    <row r="29" spans="1:9" x14ac:dyDescent="0.2">
      <c r="A29" s="29"/>
      <c r="B29" s="27"/>
      <c r="C29" s="27"/>
      <c r="D29" s="27"/>
      <c r="E29" s="27"/>
      <c r="F29" s="33"/>
      <c r="G29" s="28"/>
      <c r="H29" s="28"/>
      <c r="I29" s="33"/>
    </row>
    <row r="30" spans="1:9" ht="39" customHeight="1" x14ac:dyDescent="0.2">
      <c r="A30" s="30" t="s">
        <v>28</v>
      </c>
      <c r="B30" s="317" t="s">
        <v>40</v>
      </c>
      <c r="C30" s="318"/>
      <c r="D30" s="318"/>
      <c r="E30" s="319"/>
      <c r="F30" s="28"/>
      <c r="G30" s="31"/>
      <c r="H30" s="28"/>
      <c r="I30" s="28"/>
    </row>
    <row r="31" spans="1:9" x14ac:dyDescent="0.2">
      <c r="A31" s="35"/>
      <c r="B31" s="27"/>
      <c r="C31" s="27"/>
      <c r="D31" s="27"/>
      <c r="E31" s="27"/>
      <c r="F31" s="28"/>
      <c r="G31" s="28"/>
      <c r="H31" s="28"/>
      <c r="I31" s="28"/>
    </row>
    <row r="32" spans="1:9" ht="22.5" customHeight="1" x14ac:dyDescent="0.2">
      <c r="A32" s="30" t="s">
        <v>32</v>
      </c>
      <c r="B32" s="317" t="s">
        <v>41</v>
      </c>
      <c r="C32" s="318"/>
      <c r="D32" s="318"/>
      <c r="E32" s="319"/>
      <c r="F32" s="28"/>
      <c r="G32" s="31"/>
      <c r="H32" s="28"/>
      <c r="I32" s="28"/>
    </row>
    <row r="34" spans="1:5" ht="27.75" customHeight="1" x14ac:dyDescent="0.2">
      <c r="A34" s="30" t="s">
        <v>330</v>
      </c>
      <c r="B34" s="317" t="s">
        <v>333</v>
      </c>
      <c r="C34" s="318"/>
      <c r="D34" s="318"/>
      <c r="E34" s="319"/>
    </row>
    <row r="36" spans="1:5" ht="27" customHeight="1" x14ac:dyDescent="0.2">
      <c r="A36" s="30" t="s">
        <v>331</v>
      </c>
      <c r="B36" s="317" t="s">
        <v>332</v>
      </c>
      <c r="C36" s="318"/>
      <c r="D36" s="318"/>
      <c r="E36" s="319"/>
    </row>
  </sheetData>
  <mergeCells count="9">
    <mergeCell ref="B34:E34"/>
    <mergeCell ref="B36:E36"/>
    <mergeCell ref="B32:E32"/>
    <mergeCell ref="G6:I6"/>
    <mergeCell ref="A7:E7"/>
    <mergeCell ref="G7:I7"/>
    <mergeCell ref="B26:E26"/>
    <mergeCell ref="B28:E28"/>
    <mergeCell ref="B30:E30"/>
  </mergeCells>
  <pageMargins left="0.7" right="0.7" top="0.75" bottom="0.75" header="0.3" footer="0.3"/>
  <ignoredErrors>
    <ignoredError sqref="G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71"/>
  <sheetViews>
    <sheetView topLeftCell="A39" zoomScale="130" zoomScaleNormal="130" workbookViewId="0">
      <selection activeCell="B68" sqref="B68"/>
    </sheetView>
  </sheetViews>
  <sheetFormatPr defaultRowHeight="11.25" x14ac:dyDescent="0.2"/>
  <cols>
    <col min="1" max="1" width="55.6640625" style="36" customWidth="1"/>
    <col min="2" max="2" width="25.83203125" style="37" customWidth="1"/>
    <col min="3" max="3" width="9.33203125" style="38"/>
    <col min="4" max="4" width="13.83203125" style="36" bestFit="1" customWidth="1"/>
    <col min="5" max="5" width="17.6640625" style="36" bestFit="1" customWidth="1"/>
    <col min="6" max="6" width="12.1640625" style="36" bestFit="1" customWidth="1"/>
    <col min="7" max="16384" width="9.33203125" style="36"/>
  </cols>
  <sheetData>
    <row r="1" spans="1:3" x14ac:dyDescent="0.2">
      <c r="A1" s="36" t="s">
        <v>42</v>
      </c>
    </row>
    <row r="2" spans="1:3" x14ac:dyDescent="0.2">
      <c r="A2" s="39" t="s">
        <v>43</v>
      </c>
      <c r="B2" s="40">
        <f>-VLOOKUP(A2,'[5]FERC Financials'!A:B,2,FALSE)</f>
        <v>-5201080710.5600004</v>
      </c>
      <c r="C2" s="38" t="s">
        <v>44</v>
      </c>
    </row>
    <row r="3" spans="1:3" x14ac:dyDescent="0.2">
      <c r="A3" s="39" t="s">
        <v>45</v>
      </c>
      <c r="B3" s="40">
        <f>VLOOKUP(A3,'[5]FERC Financials'!A:B,2,FALSE)</f>
        <v>2446363957.2600002</v>
      </c>
      <c r="C3" s="38" t="s">
        <v>46</v>
      </c>
    </row>
    <row r="4" spans="1:3" x14ac:dyDescent="0.2">
      <c r="A4" s="39" t="s">
        <v>47</v>
      </c>
      <c r="B4" s="40">
        <f>VLOOKUP(A4,'[5]FERC Financials'!A:B,2,FALSE)</f>
        <v>399131517.42000002</v>
      </c>
      <c r="C4" s="38" t="s">
        <v>46</v>
      </c>
    </row>
    <row r="5" spans="1:3" x14ac:dyDescent="0.2">
      <c r="A5" s="39" t="s">
        <v>48</v>
      </c>
      <c r="B5" s="40">
        <f>VLOOKUP(A5,'[5]FERC Financials'!A:B,2,FALSE)</f>
        <v>709094974.28999996</v>
      </c>
      <c r="C5" s="38" t="s">
        <v>49</v>
      </c>
    </row>
    <row r="6" spans="1:3" x14ac:dyDescent="0.2">
      <c r="A6" s="39" t="s">
        <v>50</v>
      </c>
      <c r="B6" s="40">
        <f>VLOOKUP(A6,'[5]FERC Financials'!A:B,2,FALSE)</f>
        <v>0</v>
      </c>
      <c r="C6" s="38" t="s">
        <v>49</v>
      </c>
    </row>
    <row r="7" spans="1:3" x14ac:dyDescent="0.2">
      <c r="A7" s="39" t="s">
        <v>51</v>
      </c>
      <c r="B7" s="40">
        <f>VLOOKUP(A7,'[5]FERC Financials'!A:B,2,FALSE)</f>
        <v>38576999.939999998</v>
      </c>
      <c r="C7" s="38" t="s">
        <v>49</v>
      </c>
    </row>
    <row r="8" spans="1:3" x14ac:dyDescent="0.2">
      <c r="A8" s="39" t="s">
        <v>52</v>
      </c>
      <c r="B8" s="40">
        <f>VLOOKUP(A8,'[5]FERC Financials'!A:B,2,FALSE)</f>
        <v>5083194.9000000004</v>
      </c>
      <c r="C8" s="38" t="s">
        <v>49</v>
      </c>
    </row>
    <row r="9" spans="1:3" x14ac:dyDescent="0.2">
      <c r="A9" s="39" t="s">
        <v>53</v>
      </c>
      <c r="B9" s="40">
        <f>VLOOKUP(A9,'[5]FERC Financials'!A:B,2,FALSE)</f>
        <v>0</v>
      </c>
      <c r="C9" s="38" t="s">
        <v>49</v>
      </c>
    </row>
    <row r="10" spans="1:3" x14ac:dyDescent="0.2">
      <c r="A10" s="39" t="s">
        <v>54</v>
      </c>
      <c r="B10" s="40">
        <f>VLOOKUP(A10,'[5]FERC Financials'!A:B,2,FALSE)</f>
        <v>0</v>
      </c>
    </row>
    <row r="11" spans="1:3" x14ac:dyDescent="0.2">
      <c r="A11" s="39" t="s">
        <v>55</v>
      </c>
      <c r="B11" s="40">
        <f>VLOOKUP(A11,'[5]FERC Financials'!A:B,2,FALSE)</f>
        <v>150506.51999999999</v>
      </c>
      <c r="C11" s="38" t="s">
        <v>49</v>
      </c>
    </row>
    <row r="12" spans="1:3" x14ac:dyDescent="0.2">
      <c r="A12" s="39" t="s">
        <v>56</v>
      </c>
      <c r="B12" s="40">
        <f>-VLOOKUP(A12,'[5]FERC Financials'!A:B,2,FALSE)</f>
        <v>0</v>
      </c>
      <c r="C12" s="38" t="s">
        <v>49</v>
      </c>
    </row>
    <row r="13" spans="1:3" x14ac:dyDescent="0.2">
      <c r="A13" s="39" t="s">
        <v>57</v>
      </c>
      <c r="B13" s="40">
        <f>VLOOKUP(A13,'[5]FERC Financials'!A:B,2,FALSE)</f>
        <v>189632534.75</v>
      </c>
      <c r="C13" s="38" t="s">
        <v>58</v>
      </c>
    </row>
    <row r="14" spans="1:3" x14ac:dyDescent="0.2">
      <c r="A14" s="39" t="s">
        <v>59</v>
      </c>
      <c r="B14" s="40">
        <f>VLOOKUP(A14,'[5]FERC Financials'!A:B,2,FALSE)</f>
        <v>199451072.34999999</v>
      </c>
      <c r="C14" s="38" t="s">
        <v>60</v>
      </c>
    </row>
    <row r="15" spans="1:3" x14ac:dyDescent="0.2">
      <c r="A15" s="39" t="s">
        <v>61</v>
      </c>
      <c r="B15" s="40">
        <f>VLOOKUP(A15,'[5]FERC Financials'!A:B,2,FALSE)</f>
        <v>36762419.829999998</v>
      </c>
      <c r="C15" s="38" t="s">
        <v>60</v>
      </c>
    </row>
    <row r="16" spans="1:3" x14ac:dyDescent="0.2">
      <c r="A16" s="39" t="s">
        <v>62</v>
      </c>
      <c r="B16" s="40">
        <f>VLOOKUP(A16,'[5]FERC Financials'!A:B,2,FALSE)</f>
        <v>749775938.67999995</v>
      </c>
      <c r="C16" s="38" t="s">
        <v>60</v>
      </c>
    </row>
    <row r="17" spans="1:3" x14ac:dyDescent="0.2">
      <c r="A17" s="39" t="s">
        <v>63</v>
      </c>
      <c r="B17" s="40">
        <f>-VLOOKUP(A17,'[5]FERC Financials'!A:B,2,FALSE)</f>
        <v>-645592915.39999998</v>
      </c>
      <c r="C17" s="38" t="s">
        <v>60</v>
      </c>
    </row>
    <row r="18" spans="1:3" x14ac:dyDescent="0.2">
      <c r="A18" s="39" t="s">
        <v>64</v>
      </c>
      <c r="B18" s="40">
        <f>VLOOKUP(A18,'[5]FERC Financials'!A:B,2,FALSE)</f>
        <v>-4341401.0599999996</v>
      </c>
      <c r="C18" s="38" t="s">
        <v>60</v>
      </c>
    </row>
    <row r="19" spans="1:3" x14ac:dyDescent="0.2">
      <c r="A19" s="39" t="s">
        <v>65</v>
      </c>
      <c r="B19" s="40">
        <f>-VLOOKUP(A19,'[5]FERC Financials'!A:B,2,FALSE)</f>
        <v>0</v>
      </c>
    </row>
    <row r="20" spans="1:3" x14ac:dyDescent="0.2">
      <c r="A20" s="39" t="s">
        <v>66</v>
      </c>
      <c r="B20" s="40">
        <f>VLOOKUP(A20,'[5]FERC Financials'!A:B,2,FALSE)</f>
        <v>0</v>
      </c>
      <c r="C20" s="38" t="s">
        <v>46</v>
      </c>
    </row>
    <row r="21" spans="1:3" x14ac:dyDescent="0.2">
      <c r="A21" s="39" t="s">
        <v>67</v>
      </c>
      <c r="B21" s="40">
        <f>-VLOOKUP(A21,'[5]FERC Financials'!A:B,2,FALSE)</f>
        <v>-187.82</v>
      </c>
      <c r="C21" s="38" t="s">
        <v>44</v>
      </c>
    </row>
    <row r="22" spans="1:3" x14ac:dyDescent="0.2">
      <c r="A22" s="39" t="s">
        <v>68</v>
      </c>
      <c r="B22" s="40">
        <f>VLOOKUP(A22,'[5]FERC Financials'!A:B,2,FALSE)</f>
        <v>0</v>
      </c>
    </row>
    <row r="23" spans="1:3" x14ac:dyDescent="0.2">
      <c r="A23" s="39" t="s">
        <v>69</v>
      </c>
      <c r="B23" s="40">
        <f>VLOOKUP(A23,'[5]FERC Financials'!A:B,2,FALSE)</f>
        <v>0</v>
      </c>
      <c r="C23" s="38" t="s">
        <v>46</v>
      </c>
    </row>
    <row r="24" spans="1:3" x14ac:dyDescent="0.2">
      <c r="A24" s="39" t="s">
        <v>70</v>
      </c>
      <c r="B24" s="41">
        <f>-VLOOKUP(A24,'[5]FERC Financials'!A:B,2,FALSE)</f>
        <v>-1554611.36</v>
      </c>
      <c r="C24" s="38" t="s">
        <v>71</v>
      </c>
    </row>
    <row r="25" spans="1:3" x14ac:dyDescent="0.2">
      <c r="A25" s="39" t="s">
        <v>72</v>
      </c>
      <c r="B25" s="41">
        <f>VLOOKUP(A25,'[5]FERC Financials'!A:B,2,FALSE)</f>
        <v>1617613.75</v>
      </c>
      <c r="C25" s="38" t="s">
        <v>71</v>
      </c>
    </row>
    <row r="26" spans="1:3" x14ac:dyDescent="0.2">
      <c r="A26" s="39" t="s">
        <v>73</v>
      </c>
      <c r="B26" s="41">
        <f>-VLOOKUP(A26,'[5]FERC Financials'!A:B,2,FALSE)</f>
        <v>0</v>
      </c>
      <c r="C26" s="38" t="s">
        <v>71</v>
      </c>
    </row>
    <row r="27" spans="1:3" x14ac:dyDescent="0.2">
      <c r="A27" s="39" t="s">
        <v>74</v>
      </c>
      <c r="B27" s="41">
        <f>VLOOKUP(A27,'[5]FERC Financials'!A:B,2,FALSE)</f>
        <v>72626.12</v>
      </c>
      <c r="C27" s="38" t="s">
        <v>71</v>
      </c>
    </row>
    <row r="28" spans="1:3" x14ac:dyDescent="0.2">
      <c r="A28" s="39" t="s">
        <v>75</v>
      </c>
      <c r="B28" s="41">
        <f>-VLOOKUP(A28,'[5]FERC Financials'!A:B,2,FALSE)</f>
        <v>-198174.98</v>
      </c>
      <c r="C28" s="38" t="s">
        <v>71</v>
      </c>
    </row>
    <row r="29" spans="1:3" x14ac:dyDescent="0.2">
      <c r="A29" s="39" t="s">
        <v>76</v>
      </c>
      <c r="B29" s="41">
        <f>-VLOOKUP(A29,'[5]FERC Financials'!A:B,2,FALSE)</f>
        <v>-17851890.699999999</v>
      </c>
      <c r="C29" s="38" t="s">
        <v>71</v>
      </c>
    </row>
    <row r="30" spans="1:3" x14ac:dyDescent="0.2">
      <c r="A30" s="39" t="s">
        <v>77</v>
      </c>
      <c r="B30" s="42">
        <f>-VLOOKUP(A30,'[5]FERC Financials'!A:B,2,FALSE)</f>
        <v>-9486316.7699999996</v>
      </c>
      <c r="C30" s="38" t="s">
        <v>78</v>
      </c>
    </row>
    <row r="31" spans="1:3" x14ac:dyDescent="0.2">
      <c r="A31" s="39" t="s">
        <v>79</v>
      </c>
      <c r="B31" s="42">
        <f>-VLOOKUP(A31,'[5]FERC Financials'!A:B,2,FALSE)</f>
        <v>-27450081.199999999</v>
      </c>
      <c r="C31" s="38" t="s">
        <v>78</v>
      </c>
    </row>
    <row r="32" spans="1:3" x14ac:dyDescent="0.2">
      <c r="A32" s="39" t="s">
        <v>80</v>
      </c>
      <c r="B32" s="41">
        <f>-VLOOKUP(A32,'[5]FERC Financials'!A:B,2,FALSE)</f>
        <v>-1157759.1200000001</v>
      </c>
      <c r="C32" s="38" t="s">
        <v>71</v>
      </c>
    </row>
    <row r="33" spans="1:3" x14ac:dyDescent="0.2">
      <c r="A33" s="39" t="s">
        <v>81</v>
      </c>
      <c r="B33" s="41">
        <f>-VLOOKUP(A33,'[5]FERC Financials'!A:B,2,FALSE)</f>
        <v>-1777232.14</v>
      </c>
      <c r="C33" s="38" t="s">
        <v>71</v>
      </c>
    </row>
    <row r="34" spans="1:3" x14ac:dyDescent="0.2">
      <c r="A34" s="39" t="s">
        <v>82</v>
      </c>
      <c r="B34" s="41">
        <f>VLOOKUP(A34,'[5]FERC Financials'!A:B,2,FALSE)</f>
        <v>29654.2</v>
      </c>
      <c r="C34" s="38" t="s">
        <v>71</v>
      </c>
    </row>
    <row r="35" spans="1:3" x14ac:dyDescent="0.2">
      <c r="A35" s="39" t="s">
        <v>83</v>
      </c>
      <c r="B35" s="41">
        <f>VLOOKUP(A35,'[5]FERC Financials'!A:B,2,FALSE)</f>
        <v>1344291.97</v>
      </c>
      <c r="C35" s="38" t="s">
        <v>71</v>
      </c>
    </row>
    <row r="36" spans="1:3" x14ac:dyDescent="0.2">
      <c r="A36" s="39" t="s">
        <v>84</v>
      </c>
      <c r="B36" s="41">
        <f>VLOOKUP(A36,'[5]FERC Financials'!A:B,2,FALSE)</f>
        <v>2317647.0699999998</v>
      </c>
      <c r="C36" s="38" t="s">
        <v>71</v>
      </c>
    </row>
    <row r="37" spans="1:3" x14ac:dyDescent="0.2">
      <c r="A37" s="39" t="s">
        <v>85</v>
      </c>
      <c r="B37" s="41">
        <f>VLOOKUP(A37,'[5]FERC Financials'!A:B,2,FALSE)</f>
        <v>-6068477</v>
      </c>
      <c r="C37" s="38" t="s">
        <v>71</v>
      </c>
    </row>
    <row r="38" spans="1:3" x14ac:dyDescent="0.2">
      <c r="A38" s="39" t="s">
        <v>86</v>
      </c>
      <c r="B38" s="41">
        <f>VLOOKUP(A38,'[5]FERC Financials'!A:B,2,FALSE)</f>
        <v>25500.22</v>
      </c>
      <c r="C38" s="38" t="s">
        <v>71</v>
      </c>
    </row>
    <row r="39" spans="1:3" x14ac:dyDescent="0.2">
      <c r="A39" s="39" t="s">
        <v>87</v>
      </c>
      <c r="B39" s="41">
        <f>VLOOKUP(A39,'[5]FERC Financials'!A:B,2,FALSE)</f>
        <v>1710496.59</v>
      </c>
      <c r="C39" s="38" t="s">
        <v>71</v>
      </c>
    </row>
    <row r="40" spans="1:3" x14ac:dyDescent="0.2">
      <c r="A40" s="39" t="s">
        <v>88</v>
      </c>
      <c r="B40" s="41">
        <f>VLOOKUP(A40,'[5]FERC Financials'!A:B,2,FALSE)</f>
        <v>13228391.789999999</v>
      </c>
      <c r="C40" s="38" t="s">
        <v>71</v>
      </c>
    </row>
    <row r="41" spans="1:3" x14ac:dyDescent="0.2">
      <c r="A41" s="39" t="s">
        <v>89</v>
      </c>
      <c r="B41" s="40">
        <f>VLOOKUP(A41,'[5]FERC Financials'!A:B,2,FALSE)</f>
        <v>280899.37</v>
      </c>
      <c r="C41" s="38" t="s">
        <v>58</v>
      </c>
    </row>
    <row r="42" spans="1:3" x14ac:dyDescent="0.2">
      <c r="A42" s="39" t="s">
        <v>90</v>
      </c>
      <c r="B42" s="40">
        <f>VLOOKUP(A42,'[5]FERC Financials'!A:B,2,FALSE)</f>
        <v>-41603402.590000004</v>
      </c>
      <c r="C42" s="38" t="s">
        <v>60</v>
      </c>
    </row>
    <row r="43" spans="1:3" x14ac:dyDescent="0.2">
      <c r="A43" s="39" t="s">
        <v>91</v>
      </c>
      <c r="B43" s="40">
        <f>VLOOKUP(A43,'[5]FERC Financials'!A:B,2,FALSE)</f>
        <v>-5653211.4000000004</v>
      </c>
      <c r="C43" s="38" t="s">
        <v>60</v>
      </c>
    </row>
    <row r="44" spans="1:3" x14ac:dyDescent="0.2">
      <c r="A44" s="39" t="s">
        <v>92</v>
      </c>
      <c r="B44" s="40">
        <f>VLOOKUP(A44,'[5]FERC Financials'!A:B,2,FALSE)</f>
        <v>148815498.47999999</v>
      </c>
      <c r="C44" s="38" t="s">
        <v>60</v>
      </c>
    </row>
    <row r="45" spans="1:3" x14ac:dyDescent="0.2">
      <c r="A45" s="39" t="s">
        <v>93</v>
      </c>
      <c r="B45" s="40">
        <f>-VLOOKUP(A45,'[5]FERC Financials'!A:B,2,FALSE)</f>
        <v>-103275215.56</v>
      </c>
      <c r="C45" s="38" t="s">
        <v>60</v>
      </c>
    </row>
    <row r="46" spans="1:3" x14ac:dyDescent="0.2">
      <c r="A46" s="39" t="s">
        <v>94</v>
      </c>
      <c r="B46" s="40">
        <f>VLOOKUP(A46,'[5]FERC Financials'!A:B,2,FALSE)</f>
        <v>0</v>
      </c>
    </row>
    <row r="47" spans="1:3" x14ac:dyDescent="0.2">
      <c r="A47" s="39" t="s">
        <v>95</v>
      </c>
      <c r="B47" s="40">
        <f>-VLOOKUP(A47,'[5]FERC Financials'!A:B,2,FALSE)</f>
        <v>-311468.21999999997</v>
      </c>
      <c r="C47" s="38" t="s">
        <v>60</v>
      </c>
    </row>
    <row r="48" spans="1:3" x14ac:dyDescent="0.2">
      <c r="A48" s="39" t="s">
        <v>96</v>
      </c>
      <c r="B48" s="37">
        <f>VLOOKUP(A48,'[5]FERC Financials'!A:B,2,FALSE)</f>
        <v>359474830.06</v>
      </c>
      <c r="C48" s="38" t="s">
        <v>78</v>
      </c>
    </row>
    <row r="49" spans="1:3" x14ac:dyDescent="0.2">
      <c r="A49" s="39" t="s">
        <v>97</v>
      </c>
      <c r="B49" s="37">
        <f>VLOOKUP(A49,'[5]FERC Financials'!A:B,2,FALSE)</f>
        <v>4142214.63</v>
      </c>
      <c r="C49" s="38" t="s">
        <v>78</v>
      </c>
    </row>
    <row r="50" spans="1:3" x14ac:dyDescent="0.2">
      <c r="A50" s="39" t="s">
        <v>98</v>
      </c>
      <c r="B50" s="37">
        <f>VLOOKUP(A50,'[5]FERC Financials'!A:B,2,FALSE)</f>
        <v>667664.61</v>
      </c>
      <c r="C50" s="38" t="s">
        <v>78</v>
      </c>
    </row>
    <row r="51" spans="1:3" x14ac:dyDescent="0.2">
      <c r="A51" s="39" t="s">
        <v>99</v>
      </c>
      <c r="B51" s="37">
        <f>-VLOOKUP(A51,'[5]FERC Financials'!A:B,2,FALSE)</f>
        <v>-11025.9</v>
      </c>
      <c r="C51" s="38" t="s">
        <v>78</v>
      </c>
    </row>
    <row r="52" spans="1:3" x14ac:dyDescent="0.2">
      <c r="A52" s="39" t="s">
        <v>100</v>
      </c>
      <c r="B52" s="40">
        <f>-VLOOKUP(A52,'[5]FERC Financials'!A:B,2,FALSE)</f>
        <v>0</v>
      </c>
    </row>
    <row r="53" spans="1:3" x14ac:dyDescent="0.2">
      <c r="A53" s="39" t="s">
        <v>101</v>
      </c>
      <c r="B53" s="37">
        <f>VLOOKUP(A53,'[5]FERC Financials'!A:B,2,FALSE)</f>
        <v>9136.5499999999993</v>
      </c>
      <c r="C53" s="38" t="s">
        <v>78</v>
      </c>
    </row>
    <row r="54" spans="1:3" x14ac:dyDescent="0.2">
      <c r="A54" s="39" t="s">
        <v>102</v>
      </c>
      <c r="B54" s="37">
        <f>VLOOKUP(A54,'[5]FERC Financials'!A:B,2,FALSE)</f>
        <v>12460408.25</v>
      </c>
      <c r="C54" s="38" t="s">
        <v>78</v>
      </c>
    </row>
    <row r="55" spans="1:3" x14ac:dyDescent="0.2">
      <c r="A55" s="39" t="s">
        <v>103</v>
      </c>
      <c r="B55" s="37">
        <f>-VLOOKUP(A55,'[5]FERC Financials'!A:B,2,FALSE)</f>
        <v>-15316302.25</v>
      </c>
      <c r="C55" s="38" t="s">
        <v>78</v>
      </c>
    </row>
    <row r="56" spans="1:3" x14ac:dyDescent="0.2">
      <c r="A56" s="39" t="s">
        <v>104</v>
      </c>
      <c r="B56" s="40">
        <f>VLOOKUP(A56,'[5]FERC Financials'!A:B,2,FALSE)</f>
        <v>0</v>
      </c>
    </row>
    <row r="57" spans="1:3" x14ac:dyDescent="0.2">
      <c r="A57" s="39" t="s">
        <v>105</v>
      </c>
      <c r="B57" s="40">
        <f>-VLOOKUP(A57,'[5]FERC Financials'!A:B,2,FALSE)</f>
        <v>0</v>
      </c>
    </row>
    <row r="58" spans="1:3" x14ac:dyDescent="0.2">
      <c r="A58" s="39" t="s">
        <v>106</v>
      </c>
      <c r="B58" s="40">
        <f>VLOOKUP(A58,'[5]FERC Financials'!A:B,2,FALSE)</f>
        <v>0</v>
      </c>
    </row>
    <row r="59" spans="1:3" x14ac:dyDescent="0.2">
      <c r="A59" s="39" t="s">
        <v>107</v>
      </c>
      <c r="B59" s="40">
        <f>VLOOKUP(A59,'[5]FERC Financials'!A:B,2,FALSE)</f>
        <v>0</v>
      </c>
    </row>
    <row r="60" spans="1:3" x14ac:dyDescent="0.2">
      <c r="A60" s="39" t="s">
        <v>108</v>
      </c>
      <c r="B60" s="40">
        <f>VLOOKUP(A60,'[5]FERC Financials'!A:B,2,FALSE)</f>
        <v>0</v>
      </c>
    </row>
    <row r="61" spans="1:3" x14ac:dyDescent="0.2">
      <c r="A61" s="39" t="s">
        <v>109</v>
      </c>
      <c r="B61" s="40">
        <f>VLOOKUP(A61,'[5]FERC Financials'!A:B,2,FALSE)</f>
        <v>762510394.42999995</v>
      </c>
    </row>
    <row r="63" spans="1:3" x14ac:dyDescent="0.2">
      <c r="A63" s="43" t="s">
        <v>110</v>
      </c>
      <c r="B63" s="37">
        <f>SUMIF(C2:C61,"A",B2:B61)</f>
        <v>-5201080898.3800001</v>
      </c>
    </row>
    <row r="64" spans="1:3" x14ac:dyDescent="0.2">
      <c r="A64" s="43" t="s">
        <v>111</v>
      </c>
      <c r="B64" s="37">
        <f>SUMIF(C2:C61,"B",B2:B61)</f>
        <v>2845495474.6800003</v>
      </c>
    </row>
    <row r="65" spans="1:4" x14ac:dyDescent="0.2">
      <c r="A65" s="43" t="s">
        <v>112</v>
      </c>
      <c r="B65" s="37">
        <f>SUMIF(C2:C61,"C",B2:B61)</f>
        <v>752905675.64999998</v>
      </c>
    </row>
    <row r="66" spans="1:4" x14ac:dyDescent="0.2">
      <c r="A66" s="43" t="s">
        <v>113</v>
      </c>
      <c r="B66" s="37">
        <f>SUMIF(C2:C61,"D",B2:B61)</f>
        <v>189913434.12</v>
      </c>
    </row>
    <row r="67" spans="1:4" x14ac:dyDescent="0.2">
      <c r="A67" s="43" t="s">
        <v>114</v>
      </c>
      <c r="B67" s="37">
        <f>SUMIF(C2:C61,"E",B2:B61)</f>
        <v>324490527.98000008</v>
      </c>
    </row>
    <row r="68" spans="1:4" x14ac:dyDescent="0.2">
      <c r="A68" s="43" t="s">
        <v>115</v>
      </c>
      <c r="B68" s="37">
        <f>SUMIF(C2:C61,"F",B2:B61)</f>
        <v>-8261923.5900000036</v>
      </c>
      <c r="D68" s="44"/>
    </row>
    <row r="69" spans="1:4" x14ac:dyDescent="0.2">
      <c r="A69" s="43" t="s">
        <v>116</v>
      </c>
      <c r="B69" s="45">
        <f>SUMIF(C2:C61,"G",B2:B61)</f>
        <v>334027315.10999995</v>
      </c>
    </row>
    <row r="70" spans="1:4" x14ac:dyDescent="0.2">
      <c r="B70" s="37">
        <f>SUM(B63:B69)</f>
        <v>-762510394.42999983</v>
      </c>
    </row>
    <row r="71" spans="1:4" x14ac:dyDescent="0.2">
      <c r="B71" s="37">
        <f>B61+B70</f>
        <v>0</v>
      </c>
    </row>
  </sheetData>
  <autoFilter ref="A1:F6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64"/>
  <sheetViews>
    <sheetView zoomScaleNormal="100" workbookViewId="0">
      <selection activeCell="H25" sqref="H25"/>
    </sheetView>
  </sheetViews>
  <sheetFormatPr defaultColWidth="10.6640625" defaultRowHeight="11.25" x14ac:dyDescent="0.2"/>
  <cols>
    <col min="1" max="1" width="33" style="49" customWidth="1"/>
    <col min="2" max="2" width="5.83203125" style="47" customWidth="1"/>
    <col min="3" max="3" width="2.83203125" style="48" customWidth="1"/>
    <col min="4" max="4" width="17.33203125" style="49" customWidth="1"/>
    <col min="5" max="5" width="2.83203125" style="48" customWidth="1"/>
    <col min="6" max="6" width="17.33203125" style="49" customWidth="1"/>
    <col min="7" max="7" width="2.83203125" style="50" customWidth="1"/>
    <col min="8" max="8" width="17.33203125" style="50" customWidth="1"/>
    <col min="9" max="9" width="2.83203125" style="50" customWidth="1"/>
    <col min="10" max="10" width="17.33203125" style="49" customWidth="1"/>
    <col min="11" max="11" width="2.83203125" style="50" customWidth="1" collapsed="1"/>
    <col min="12" max="12" width="17.33203125" style="51" customWidth="1"/>
    <col min="13" max="13" width="2.83203125" style="49" customWidth="1"/>
    <col min="14" max="14" width="12.83203125" style="50" customWidth="1"/>
    <col min="15" max="15" width="12.83203125" style="49" customWidth="1"/>
    <col min="16" max="16" width="18.83203125" style="49" customWidth="1"/>
    <col min="17" max="16384" width="10.6640625" style="49"/>
  </cols>
  <sheetData>
    <row r="1" spans="1:15" x14ac:dyDescent="0.2">
      <c r="A1" s="46" t="s">
        <v>117</v>
      </c>
    </row>
    <row r="2" spans="1:15" x14ac:dyDescent="0.2">
      <c r="A2" s="52" t="s">
        <v>118</v>
      </c>
      <c r="B2" s="53" t="str">
        <f>[5]Cover!H2</f>
        <v>December 31, 2016</v>
      </c>
      <c r="G2" s="49"/>
      <c r="H2" s="49"/>
      <c r="I2" s="49"/>
      <c r="L2" s="54"/>
    </row>
    <row r="3" spans="1:15" x14ac:dyDescent="0.2">
      <c r="A3" s="52"/>
      <c r="B3" s="55"/>
      <c r="G3" s="49"/>
      <c r="H3" s="49"/>
      <c r="I3" s="49"/>
      <c r="L3" s="54"/>
    </row>
    <row r="4" spans="1:15" x14ac:dyDescent="0.2">
      <c r="A4" s="56" t="s">
        <v>119</v>
      </c>
      <c r="B4" s="57"/>
      <c r="F4" s="58"/>
      <c r="G4" s="58"/>
      <c r="H4" s="58"/>
      <c r="I4" s="58"/>
      <c r="J4" s="50"/>
      <c r="L4" s="54"/>
    </row>
    <row r="5" spans="1:15" x14ac:dyDescent="0.2">
      <c r="A5" s="59" t="s">
        <v>120</v>
      </c>
      <c r="B5" s="57"/>
      <c r="C5" s="60"/>
      <c r="D5" s="50"/>
      <c r="E5" s="60"/>
      <c r="F5" s="58"/>
      <c r="G5" s="58"/>
      <c r="H5" s="58"/>
      <c r="I5" s="58"/>
      <c r="J5" s="50"/>
      <c r="L5" s="61"/>
      <c r="M5" s="50"/>
    </row>
    <row r="6" spans="1:15" x14ac:dyDescent="0.2">
      <c r="A6" s="59"/>
      <c r="B6" s="57"/>
      <c r="C6" s="60"/>
      <c r="D6" s="50"/>
      <c r="E6" s="60"/>
      <c r="F6" s="58"/>
      <c r="G6" s="58"/>
      <c r="H6" s="58"/>
      <c r="I6" s="58"/>
      <c r="J6" s="50"/>
      <c r="L6" s="61"/>
      <c r="M6" s="50"/>
    </row>
    <row r="7" spans="1:15" ht="33.75" x14ac:dyDescent="0.2">
      <c r="B7" s="62"/>
      <c r="C7" s="63"/>
      <c r="D7" s="64" t="s">
        <v>121</v>
      </c>
      <c r="E7" s="63"/>
      <c r="F7" s="47" t="s">
        <v>122</v>
      </c>
      <c r="G7" s="65"/>
      <c r="H7" s="65" t="s">
        <v>123</v>
      </c>
      <c r="I7" s="65"/>
      <c r="J7" s="66" t="s">
        <v>124</v>
      </c>
      <c r="L7" s="67" t="s">
        <v>125</v>
      </c>
      <c r="N7" s="68" t="s">
        <v>126</v>
      </c>
      <c r="O7" s="69" t="s">
        <v>127</v>
      </c>
    </row>
    <row r="8" spans="1:15" x14ac:dyDescent="0.2">
      <c r="A8" s="49" t="s">
        <v>128</v>
      </c>
      <c r="B8" s="70" t="s">
        <v>129</v>
      </c>
      <c r="C8" s="63"/>
      <c r="D8" s="71">
        <v>1000</v>
      </c>
      <c r="E8" s="63"/>
      <c r="F8" s="71">
        <v>2020</v>
      </c>
      <c r="G8" s="65"/>
      <c r="H8" s="72" t="s">
        <v>130</v>
      </c>
      <c r="I8" s="65"/>
      <c r="J8" s="73" t="s">
        <v>131</v>
      </c>
      <c r="L8" s="74"/>
      <c r="N8" s="75" t="s">
        <v>132</v>
      </c>
      <c r="O8" s="76"/>
    </row>
    <row r="9" spans="1:15" x14ac:dyDescent="0.2">
      <c r="A9" s="77" t="s">
        <v>133</v>
      </c>
      <c r="B9" s="78"/>
      <c r="L9" s="79"/>
    </row>
    <row r="10" spans="1:15" x14ac:dyDescent="0.2">
      <c r="A10" s="49" t="s">
        <v>21</v>
      </c>
      <c r="B10" s="47" t="s">
        <v>134</v>
      </c>
      <c r="C10" s="80"/>
      <c r="D10" s="81">
        <f>-SUMIFS('[5]F.01 SAP (PCORP)'!D:D,'[5]F.01 SAP (PCORP)'!C:C,"Total Revenues")</f>
        <v>5200734320.2399998</v>
      </c>
      <c r="E10" s="80"/>
      <c r="F10" s="82">
        <f>-SUMIFS('[5]F.01 SAP (PMI)'!D:D,'[5]F.01 SAP (PMI)'!C:C,"Total Revenues")</f>
        <v>0</v>
      </c>
      <c r="G10" s="83"/>
      <c r="H10" s="82">
        <v>0</v>
      </c>
      <c r="I10" s="83"/>
      <c r="J10" s="82">
        <f>-SUMIFS('[5]F.01 SAP (Mining)'!D:D,'[5]F.01 SAP (Mining)'!C:C,"Total Revenues")</f>
        <v>0</v>
      </c>
      <c r="K10" s="83"/>
      <c r="L10" s="82">
        <f>SUM(J10,F10,D10,H10)</f>
        <v>5200734320.2399998</v>
      </c>
      <c r="N10" s="84">
        <v>5200734</v>
      </c>
      <c r="O10" s="85">
        <f>ROUND(L10/1000,0)-N10</f>
        <v>0</v>
      </c>
    </row>
    <row r="11" spans="1:15" x14ac:dyDescent="0.2">
      <c r="A11" s="86" t="s">
        <v>135</v>
      </c>
      <c r="B11" s="87"/>
      <c r="C11" s="80"/>
      <c r="D11" s="88"/>
      <c r="E11" s="80"/>
      <c r="F11" s="88"/>
      <c r="G11" s="83"/>
      <c r="H11" s="83"/>
      <c r="I11" s="83"/>
      <c r="J11" s="88"/>
      <c r="K11" s="83"/>
      <c r="L11" s="83"/>
      <c r="N11" s="83"/>
    </row>
    <row r="12" spans="1:15" x14ac:dyDescent="0.2">
      <c r="A12" s="77" t="s">
        <v>136</v>
      </c>
      <c r="B12" s="78"/>
      <c r="C12" s="80"/>
      <c r="D12" s="88"/>
      <c r="E12" s="80"/>
      <c r="F12" s="88"/>
      <c r="G12" s="83"/>
      <c r="H12" s="83"/>
      <c r="I12" s="83"/>
      <c r="J12" s="88"/>
      <c r="K12" s="83"/>
      <c r="L12" s="83"/>
      <c r="N12" s="83"/>
    </row>
    <row r="13" spans="1:15" x14ac:dyDescent="0.2">
      <c r="A13" s="86" t="s">
        <v>137</v>
      </c>
      <c r="B13" s="47" t="s">
        <v>138</v>
      </c>
      <c r="C13" s="80"/>
      <c r="D13" s="88">
        <f>SUMIFS('[5]F.01 SAP (PCORP)'!D:D,'[5]F.01 SAP (PCORP)'!C:C,"Total Cost of Goods Sold")</f>
        <v>1750531552.9400001</v>
      </c>
      <c r="E13" s="80"/>
      <c r="F13" s="88">
        <f>SUMIFS('[5]F.01 SAP (PMI)'!D:D,'[5]F.01 SAP (PMI)'!C:C,"Total Cost of Goods Sold")</f>
        <v>0</v>
      </c>
      <c r="G13" s="83"/>
      <c r="H13" s="83">
        <v>0</v>
      </c>
      <c r="I13" s="83"/>
      <c r="J13" s="88">
        <f>SUMIFS('[5]F.01 SAP (Mining)'!D:D,'[5]F.01 SAP (Mining)'!C:C,"Total Cost of Goods Sold")</f>
        <v>0</v>
      </c>
      <c r="K13" s="83"/>
      <c r="L13" s="83">
        <f>SUM(J13,F13,D13,H13)</f>
        <v>1750531552.9400001</v>
      </c>
      <c r="N13" s="84">
        <v>1750532</v>
      </c>
      <c r="O13" s="85">
        <f>ROUND(L13/1000,0)-N13</f>
        <v>0</v>
      </c>
    </row>
    <row r="14" spans="1:15" x14ac:dyDescent="0.2">
      <c r="A14" s="86" t="s">
        <v>139</v>
      </c>
      <c r="B14" s="47" t="s">
        <v>138</v>
      </c>
      <c r="C14" s="80"/>
      <c r="D14" s="88">
        <f>SUMIFS('[5]F.01 SAP (PCORP)'!D:D,'[5]F.01 SAP (PCORP)'!C:C,"Total Operations,Maintenance, Admin &amp; General")</f>
        <v>1064431308.6900001</v>
      </c>
      <c r="E14" s="80"/>
      <c r="F14" s="88">
        <f>SUMIFS('[5]F.01 SAP (PMI)'!D:D,'[5]F.01 SAP (PMI)'!C:C,"Total Operations,Maintenance, Admin &amp; General")</f>
        <v>94.36</v>
      </c>
      <c r="G14" s="83"/>
      <c r="H14" s="83">
        <v>0</v>
      </c>
      <c r="I14" s="83"/>
      <c r="J14" s="88">
        <f>SUMIFS('[5]F.01 SAP (Mining)'!D:D,'[5]F.01 SAP (Mining)'!C:C,"Total Operations,Maintenance, Admin &amp; General")</f>
        <v>3540.68</v>
      </c>
      <c r="K14" s="83"/>
      <c r="L14" s="83">
        <f t="shared" ref="L14:L16" si="0">SUM(J14,F14,D14,H14)</f>
        <v>1064434943.73</v>
      </c>
      <c r="N14" s="84">
        <v>1064435</v>
      </c>
      <c r="O14" s="85">
        <f t="shared" ref="O14:O16" si="1">ROUND(L14/1000,0)-N14</f>
        <v>0</v>
      </c>
    </row>
    <row r="15" spans="1:15" x14ac:dyDescent="0.2">
      <c r="A15" s="86" t="s">
        <v>140</v>
      </c>
      <c r="B15" s="47" t="s">
        <v>141</v>
      </c>
      <c r="C15" s="80"/>
      <c r="D15" s="88">
        <f>SUMIFS('[5]F.01 SAP (PCORP)'!D:D,'[5]F.01 SAP (PCORP)'!C:C,"Total Depreciation and Amortization")</f>
        <v>770250835.63999999</v>
      </c>
      <c r="E15" s="80"/>
      <c r="F15" s="88">
        <f>SUMIFS('[5]F.01 SAP (PMI)'!D:D,'[5]F.01 SAP (PMI)'!C:C,"Total Depreciation and Amortization")</f>
        <v>0</v>
      </c>
      <c r="G15" s="83"/>
      <c r="H15" s="83">
        <v>0</v>
      </c>
      <c r="I15" s="83"/>
      <c r="J15" s="88">
        <f>SUMIFS('[5]F.01 SAP (Mining)'!D:D,'[5]F.01 SAP (Mining)'!C:C,"Total Depreciation and Amortization")</f>
        <v>0</v>
      </c>
      <c r="K15" s="83"/>
      <c r="L15" s="83">
        <f t="shared" si="0"/>
        <v>770250835.63999999</v>
      </c>
      <c r="N15" s="84">
        <v>770251</v>
      </c>
      <c r="O15" s="85">
        <f t="shared" si="1"/>
        <v>0</v>
      </c>
    </row>
    <row r="16" spans="1:15" x14ac:dyDescent="0.2">
      <c r="A16" s="86" t="s">
        <v>142</v>
      </c>
      <c r="B16" s="89" t="s">
        <v>143</v>
      </c>
      <c r="C16" s="80"/>
      <c r="D16" s="88">
        <f>SUMIFS('[5]F.01 SAP (PCORP)'!D:D,'[5]F.01 SAP (PCORP)'!C:C,"Total Taxes, Other than Income Taxes")</f>
        <v>189632534.75</v>
      </c>
      <c r="E16" s="80"/>
      <c r="F16" s="88">
        <f>SUMIFS('[5]F.01 SAP (PMI)'!D:D,'[5]F.01 SAP (PMI)'!C:C,"Total Taxes, Other than Income Taxes")</f>
        <v>44074.239999999998</v>
      </c>
      <c r="G16" s="83"/>
      <c r="H16" s="82">
        <v>0</v>
      </c>
      <c r="I16" s="83"/>
      <c r="J16" s="88">
        <f>SUMIFS('[5]F.01 SAP (Mining)'!D:D,'[5]F.01 SAP (Mining)'!C:C,"Total Taxes, Other than Income Taxes")</f>
        <v>0</v>
      </c>
      <c r="K16" s="83"/>
      <c r="L16" s="82">
        <f t="shared" si="0"/>
        <v>189676608.99000001</v>
      </c>
      <c r="N16" s="84">
        <v>189677</v>
      </c>
      <c r="O16" s="85">
        <f t="shared" si="1"/>
        <v>0</v>
      </c>
    </row>
    <row r="17" spans="1:15" x14ac:dyDescent="0.2">
      <c r="A17" s="86" t="s">
        <v>144</v>
      </c>
      <c r="B17" s="87"/>
      <c r="C17" s="80"/>
      <c r="D17" s="90">
        <f>SUM(D13:D16)</f>
        <v>3774846232.02</v>
      </c>
      <c r="E17" s="80"/>
      <c r="F17" s="90">
        <f>SUM(F13:F16)</f>
        <v>44168.6</v>
      </c>
      <c r="G17" s="83"/>
      <c r="H17" s="90">
        <f>SUM(H13:H16)</f>
        <v>0</v>
      </c>
      <c r="I17" s="83"/>
      <c r="J17" s="90">
        <f>SUM(J13:J16)</f>
        <v>3540.68</v>
      </c>
      <c r="K17" s="83"/>
      <c r="L17" s="90">
        <f>SUM(L13:L16)</f>
        <v>3774893941.3000002</v>
      </c>
      <c r="N17" s="83"/>
      <c r="O17" s="85"/>
    </row>
    <row r="18" spans="1:15" x14ac:dyDescent="0.2">
      <c r="A18" s="86" t="s">
        <v>135</v>
      </c>
      <c r="B18" s="87"/>
      <c r="C18" s="80"/>
      <c r="D18" s="88"/>
      <c r="E18" s="80"/>
      <c r="F18" s="88"/>
      <c r="G18" s="83"/>
      <c r="H18" s="83"/>
      <c r="I18" s="83"/>
      <c r="J18" s="88"/>
      <c r="K18" s="83"/>
      <c r="L18" s="91"/>
      <c r="N18" s="83"/>
      <c r="O18" s="85"/>
    </row>
    <row r="19" spans="1:15" x14ac:dyDescent="0.2">
      <c r="A19" s="92" t="s">
        <v>145</v>
      </c>
      <c r="B19" s="93"/>
      <c r="C19" s="80"/>
      <c r="D19" s="82">
        <f>D10-D17</f>
        <v>1425888088.2199998</v>
      </c>
      <c r="E19" s="80"/>
      <c r="F19" s="82">
        <f>F10-F17</f>
        <v>-44168.6</v>
      </c>
      <c r="G19" s="83"/>
      <c r="H19" s="82">
        <f>H10-H17</f>
        <v>0</v>
      </c>
      <c r="I19" s="83"/>
      <c r="J19" s="82">
        <f>J10-J17</f>
        <v>-3540.68</v>
      </c>
      <c r="K19" s="83"/>
      <c r="L19" s="82">
        <f>L10-L17</f>
        <v>1425840378.9399996</v>
      </c>
      <c r="N19" s="83"/>
      <c r="O19" s="85"/>
    </row>
    <row r="20" spans="1:15" x14ac:dyDescent="0.2">
      <c r="A20" s="94" t="s">
        <v>135</v>
      </c>
      <c r="B20" s="95"/>
      <c r="C20" s="80"/>
      <c r="D20" s="88"/>
      <c r="E20" s="80"/>
      <c r="F20" s="88"/>
      <c r="G20" s="83"/>
      <c r="H20" s="83"/>
      <c r="I20" s="83"/>
      <c r="J20" s="88"/>
      <c r="K20" s="83"/>
      <c r="L20" s="91"/>
      <c r="N20" s="83"/>
      <c r="O20" s="85"/>
    </row>
    <row r="21" spans="1:15" x14ac:dyDescent="0.2">
      <c r="A21" s="92" t="s">
        <v>146</v>
      </c>
      <c r="B21" s="93"/>
      <c r="C21" s="80"/>
      <c r="D21" s="88"/>
      <c r="E21" s="80"/>
      <c r="F21" s="88"/>
      <c r="G21" s="83"/>
      <c r="H21" s="83"/>
      <c r="I21" s="83"/>
      <c r="J21" s="88"/>
      <c r="K21" s="83"/>
      <c r="L21" s="91"/>
      <c r="N21" s="83"/>
      <c r="O21" s="85"/>
    </row>
    <row r="22" spans="1:15" x14ac:dyDescent="0.2">
      <c r="A22" s="86" t="s">
        <v>147</v>
      </c>
      <c r="B22" s="47" t="s">
        <v>148</v>
      </c>
      <c r="C22" s="80"/>
      <c r="D22" s="88">
        <f>-SUMIFS('[5]F.01 SAP (PCORP)'!D:D,'[5]F.01 SAP (PCORP)'!C:C,"Total Interest Expense")</f>
        <v>-380344453.94</v>
      </c>
      <c r="E22" s="80"/>
      <c r="F22" s="88">
        <f>-SUMIFS('[5]F.01 SAP (PMI)'!D:D,'[5]F.01 SAP (PMI)'!C:C,"Total Interest Expense")-SUMIFS('[5]F.01 SAP (PMI)'!D:D,'[5]F.01 SAP (PMI)'!C:C,"Total Interest Income External")</f>
        <v>4421.5999999999985</v>
      </c>
      <c r="G22" s="83"/>
      <c r="H22" s="83">
        <f>(-F22+F25)</f>
        <v>4714.9500000000007</v>
      </c>
      <c r="I22" s="83"/>
      <c r="J22" s="88">
        <f>-SUMIFS('[5]F.01 SAP (Mining)'!D:D,'[5]F.01 SAP (Mining)'!C:C,"Total Interest Expense - External")</f>
        <v>0</v>
      </c>
      <c r="K22" s="83"/>
      <c r="L22" s="83">
        <f>SUM(J22,F22,D22,H22)</f>
        <v>-380335317.38999999</v>
      </c>
      <c r="N22" s="84">
        <v>-380335</v>
      </c>
      <c r="O22" s="85">
        <f t="shared" ref="O22:O31" si="2">ROUND(L22/1000,0)-N22</f>
        <v>0</v>
      </c>
    </row>
    <row r="23" spans="1:15" x14ac:dyDescent="0.2">
      <c r="A23" s="86" t="s">
        <v>149</v>
      </c>
      <c r="B23" s="47" t="s">
        <v>148</v>
      </c>
      <c r="C23" s="80"/>
      <c r="D23" s="88">
        <f>-SUMIFS('[5]F.01 SAP (PCORP)'!D:D,'[5]F.01 SAP (PCORP)'!C:C,"AFUDC Debt")</f>
        <v>15316302.25</v>
      </c>
      <c r="E23" s="80"/>
      <c r="F23" s="88">
        <f>-SUMIFS('[5]F.01 SAP (PMI)'!D:D,'[5]F.01 SAP (PMI)'!C:C,"AFUDC Debt")</f>
        <v>0</v>
      </c>
      <c r="G23" s="83"/>
      <c r="H23" s="83">
        <v>0</v>
      </c>
      <c r="I23" s="83"/>
      <c r="J23" s="88">
        <f>-SUMIFS('[5]F.01 SAP (Mining)'!D:D,'[5]F.01 SAP (Mining)'!C:C,"AFUDC Debt")</f>
        <v>0</v>
      </c>
      <c r="K23" s="83"/>
      <c r="L23" s="83">
        <f t="shared" ref="L23:L27" si="3">SUM(J23,F23,D23,H23)</f>
        <v>15316302.25</v>
      </c>
      <c r="N23" s="84">
        <v>15316</v>
      </c>
      <c r="O23" s="85">
        <f t="shared" si="2"/>
        <v>0</v>
      </c>
    </row>
    <row r="24" spans="1:15" x14ac:dyDescent="0.2">
      <c r="A24" s="86" t="s">
        <v>150</v>
      </c>
      <c r="B24" s="47" t="s">
        <v>151</v>
      </c>
      <c r="C24" s="80"/>
      <c r="D24" s="88">
        <f>-SUMIFS('[5]F.01 SAP (PCORP)'!D:D,'[5]F.01 SAP (PCORP)'!C:C,"AFUDC Equity")</f>
        <v>27450081.199999999</v>
      </c>
      <c r="E24" s="80"/>
      <c r="F24" s="88">
        <f>-SUMIFS('[5]F.01 SAP (PMI)'!D:D,'[5]F.01 SAP (PMI)'!C:C,"AFUDC Equity")</f>
        <v>0</v>
      </c>
      <c r="G24" s="83"/>
      <c r="H24" s="83">
        <v>0</v>
      </c>
      <c r="I24" s="83"/>
      <c r="J24" s="88">
        <f>-SUMIFS('[5]F.01 SAP (Mining)'!D:D,'[5]F.01 SAP (Mining)'!C:C,"AFUDC Equity")</f>
        <v>0</v>
      </c>
      <c r="K24" s="83"/>
      <c r="L24" s="83">
        <f t="shared" si="3"/>
        <v>27450081.199999999</v>
      </c>
      <c r="N24" s="84">
        <v>27450</v>
      </c>
      <c r="O24" s="85">
        <f t="shared" si="2"/>
        <v>0</v>
      </c>
    </row>
    <row r="25" spans="1:15" x14ac:dyDescent="0.2">
      <c r="A25" s="86" t="s">
        <v>152</v>
      </c>
      <c r="B25" s="47" t="s">
        <v>151</v>
      </c>
      <c r="C25" s="80"/>
      <c r="D25" s="88">
        <f>-SUMIFS('[5]F.01 SAP (PCORP)'!D:D,'[5]F.01 SAP (PCORP)'!C:C,"Total Interest Income")</f>
        <v>9065894.9499999993</v>
      </c>
      <c r="E25" s="80"/>
      <c r="F25" s="88">
        <f>-SUMIFS('[5]F.01 SAP (PMI)'!D:D,'[5]F.01 SAP (PMI)'!C:C,"Total Interest Income")+SUMIFS('[5]F.01 SAP (PMI)'!D:D,'[5]F.01 SAP (PMI)'!C:C,"Total Interest Income External")</f>
        <v>9136.5499999999993</v>
      </c>
      <c r="G25" s="83"/>
      <c r="H25" s="83">
        <f>-F25+F22</f>
        <v>-4714.9500000000007</v>
      </c>
      <c r="I25" s="83"/>
      <c r="J25" s="88">
        <f>-SUMIFS('[5]F.01 SAP (Mining)'!D:D,'[5]F.01 SAP (Mining)'!C:C,"Total Interest Income External")</f>
        <v>2122414.38</v>
      </c>
      <c r="K25" s="83"/>
      <c r="L25" s="83">
        <f t="shared" si="3"/>
        <v>11192730.93</v>
      </c>
      <c r="N25" s="84">
        <v>11193</v>
      </c>
      <c r="O25" s="85">
        <f t="shared" si="2"/>
        <v>0</v>
      </c>
    </row>
    <row r="26" spans="1:15" x14ac:dyDescent="0.2">
      <c r="A26" s="96" t="s">
        <v>153</v>
      </c>
      <c r="B26" s="47" t="s">
        <v>154</v>
      </c>
      <c r="C26" s="80"/>
      <c r="D26" s="88">
        <f>-SUMIFS('[5]F.01 SAP (PCORP)'!D:D,'[5]F.01 SAP (PCORP)'!C:C,"Total Equity in Subsidiary Earnings")</f>
        <v>-4260853.68</v>
      </c>
      <c r="E26" s="80"/>
      <c r="F26" s="88"/>
      <c r="G26" s="83"/>
      <c r="H26" s="83">
        <f>-SUM(F32,J32)</f>
        <v>4260853.68</v>
      </c>
      <c r="I26" s="83"/>
      <c r="J26" s="88"/>
      <c r="K26" s="83"/>
      <c r="L26" s="83">
        <f>SUM(J26,F26,D26,H26)</f>
        <v>0</v>
      </c>
      <c r="N26" s="83"/>
      <c r="O26" s="85"/>
    </row>
    <row r="27" spans="1:15" x14ac:dyDescent="0.2">
      <c r="A27" s="86" t="s">
        <v>155</v>
      </c>
      <c r="B27" s="47" t="s">
        <v>156</v>
      </c>
      <c r="C27" s="80"/>
      <c r="D27" s="88">
        <f>-SUMIFS('[5]F.01 SAP (PCORP)'!D:D,'[5]F.01 SAP (PCORP)'!C:C,"Total Other (Income) Expense")</f>
        <v>3275677.47</v>
      </c>
      <c r="E27" s="80"/>
      <c r="F27" s="88">
        <f>-SUMIFS('[5]F.01 SAP (PMI)'!D:D,'[5]F.01 SAP (PMI)'!C:C,"Total Other (Income) Expense")</f>
        <v>0</v>
      </c>
      <c r="G27" s="83"/>
      <c r="H27" s="82">
        <v>0</v>
      </c>
      <c r="I27" s="83"/>
      <c r="J27" s="88">
        <f>-SUMIFS('[5]F.01 SAP (Mining)'!D:D,'[5]F.01 SAP (Mining)'!C:C,"Total Other (Income) Expense")</f>
        <v>0</v>
      </c>
      <c r="K27" s="83"/>
      <c r="L27" s="82">
        <f t="shared" si="3"/>
        <v>3275677.47</v>
      </c>
      <c r="N27" s="97">
        <v>3276</v>
      </c>
      <c r="O27" s="85">
        <f t="shared" si="2"/>
        <v>0</v>
      </c>
    </row>
    <row r="28" spans="1:15" x14ac:dyDescent="0.2">
      <c r="A28" s="86" t="s">
        <v>144</v>
      </c>
      <c r="B28" s="87"/>
      <c r="C28" s="80"/>
      <c r="D28" s="90">
        <f>SUM(D22:D27)</f>
        <v>-329497351.75</v>
      </c>
      <c r="E28" s="80"/>
      <c r="F28" s="90">
        <f>SUM(F22:F27)</f>
        <v>13558.149999999998</v>
      </c>
      <c r="G28" s="83"/>
      <c r="H28" s="90">
        <f>SUM(H22:H27)</f>
        <v>4260853.68</v>
      </c>
      <c r="I28" s="83"/>
      <c r="J28" s="90">
        <f>SUM(J22:J27)</f>
        <v>2122414.38</v>
      </c>
      <c r="K28" s="83"/>
      <c r="L28" s="82">
        <f>SUM(L22:L27)</f>
        <v>-323100525.53999996</v>
      </c>
      <c r="N28" s="83"/>
      <c r="O28" s="85"/>
    </row>
    <row r="29" spans="1:15" x14ac:dyDescent="0.2">
      <c r="A29" s="86" t="s">
        <v>135</v>
      </c>
      <c r="B29" s="87"/>
      <c r="C29" s="80"/>
      <c r="D29" s="88"/>
      <c r="E29" s="80"/>
      <c r="F29" s="88"/>
      <c r="G29" s="83"/>
      <c r="H29" s="83"/>
      <c r="I29" s="83"/>
      <c r="J29" s="88"/>
      <c r="K29" s="83"/>
      <c r="L29" s="91"/>
      <c r="N29" s="83"/>
      <c r="O29" s="85"/>
    </row>
    <row r="30" spans="1:15" x14ac:dyDescent="0.2">
      <c r="A30" s="77" t="s">
        <v>157</v>
      </c>
      <c r="B30" s="78"/>
      <c r="C30" s="80"/>
      <c r="D30" s="83">
        <f>D19+D28</f>
        <v>1096390736.4699998</v>
      </c>
      <c r="E30" s="80"/>
      <c r="F30" s="83">
        <f>F19+F28</f>
        <v>-30610.45</v>
      </c>
      <c r="G30" s="83"/>
      <c r="H30" s="83"/>
      <c r="I30" s="83"/>
      <c r="J30" s="83">
        <f>J19+J28</f>
        <v>2118873.6999999997</v>
      </c>
      <c r="K30" s="83"/>
      <c r="L30" s="83">
        <f>L19+L28</f>
        <v>1102739853.3999996</v>
      </c>
      <c r="N30" s="83"/>
      <c r="O30" s="85"/>
    </row>
    <row r="31" spans="1:15" x14ac:dyDescent="0.2">
      <c r="A31" s="98" t="s">
        <v>158</v>
      </c>
      <c r="B31" s="47" t="s">
        <v>143</v>
      </c>
      <c r="C31" s="80"/>
      <c r="D31" s="88">
        <f>SUMIFS('[5]F.01 SAP (PCORP)'!D:D,'[5]F.01 SAP (PCORP)'!C:C,"Total Income Tax Expense")</f>
        <v>333880342.04000002</v>
      </c>
      <c r="E31" s="80"/>
      <c r="F31" s="88">
        <f>SUMIFS('[5]F.01 SAP (PMI)'!D:D,'[5]F.01 SAP (PMI)'!C:C,"Total Income Tax Expense")</f>
        <v>6349116.9299999997</v>
      </c>
      <c r="G31" s="83"/>
      <c r="H31" s="83"/>
      <c r="I31" s="83"/>
      <c r="J31" s="88">
        <f>SUMIFS('[5]F.01 SAP (Mining)'!D:D,'[5]F.01 SAP (Mining)'!C:C,"Total Income Tax Expense")</f>
        <v>0</v>
      </c>
      <c r="K31" s="83"/>
      <c r="L31" s="83">
        <f>SUM(J31,F31,D31,H31)</f>
        <v>340229458.97000003</v>
      </c>
      <c r="N31" s="84">
        <v>340229</v>
      </c>
      <c r="O31" s="85">
        <f t="shared" si="2"/>
        <v>0</v>
      </c>
    </row>
    <row r="32" spans="1:15" ht="12" thickBot="1" x14ac:dyDescent="0.25">
      <c r="A32" s="99" t="s">
        <v>159</v>
      </c>
      <c r="B32" s="100"/>
      <c r="C32" s="80"/>
      <c r="D32" s="101">
        <f>D30-D31</f>
        <v>762510394.42999983</v>
      </c>
      <c r="E32" s="80"/>
      <c r="F32" s="101">
        <f>F30-F31</f>
        <v>-6379727.3799999999</v>
      </c>
      <c r="G32" s="83"/>
      <c r="H32" s="83"/>
      <c r="I32" s="83"/>
      <c r="J32" s="101">
        <f>J30-J31</f>
        <v>2118873.6999999997</v>
      </c>
      <c r="K32" s="102"/>
      <c r="L32" s="101">
        <f>L30-L31</f>
        <v>762510394.42999959</v>
      </c>
      <c r="M32" s="103"/>
      <c r="N32" s="83"/>
      <c r="O32" s="85"/>
    </row>
    <row r="33" spans="1:14" ht="12" thickTop="1" x14ac:dyDescent="0.2">
      <c r="A33" s="99"/>
      <c r="B33" s="100"/>
      <c r="C33" s="80"/>
      <c r="D33" s="103"/>
      <c r="E33" s="80"/>
      <c r="F33" s="103"/>
      <c r="G33" s="104"/>
      <c r="H33" s="104"/>
      <c r="I33" s="104"/>
      <c r="J33" s="103"/>
      <c r="K33" s="104"/>
      <c r="L33" s="104"/>
    </row>
    <row r="34" spans="1:14" x14ac:dyDescent="0.2">
      <c r="A34" s="105" t="s">
        <v>16</v>
      </c>
      <c r="B34" s="106"/>
      <c r="C34" s="80"/>
      <c r="D34" s="103"/>
      <c r="E34" s="80"/>
      <c r="F34" s="103"/>
      <c r="G34" s="104"/>
      <c r="H34" s="104"/>
      <c r="I34" s="104"/>
      <c r="J34" s="103"/>
      <c r="K34" s="104"/>
      <c r="L34" s="104"/>
      <c r="N34" s="49"/>
    </row>
    <row r="35" spans="1:14" x14ac:dyDescent="0.2">
      <c r="A35" s="49" t="s">
        <v>109</v>
      </c>
      <c r="C35" s="80"/>
      <c r="D35" s="83">
        <f>VLOOKUP(A35,'[5]FERC Financials'!A:B,2,FALSE)</f>
        <v>762510394.42999995</v>
      </c>
      <c r="E35" s="80"/>
      <c r="F35" s="103"/>
      <c r="G35" s="104"/>
      <c r="H35" s="104"/>
      <c r="I35" s="104"/>
      <c r="J35" s="103"/>
      <c r="K35" s="104"/>
      <c r="L35" s="49"/>
      <c r="N35" s="49"/>
    </row>
    <row r="36" spans="1:14" x14ac:dyDescent="0.2">
      <c r="A36" s="107"/>
      <c r="C36" s="80"/>
      <c r="D36" s="103"/>
      <c r="E36" s="80"/>
      <c r="F36" s="103"/>
      <c r="G36" s="104"/>
      <c r="H36" s="104"/>
      <c r="I36" s="104"/>
      <c r="J36" s="103"/>
      <c r="K36" s="104"/>
      <c r="L36" s="49"/>
      <c r="N36" s="49"/>
    </row>
    <row r="37" spans="1:14" x14ac:dyDescent="0.2">
      <c r="A37" s="108" t="s">
        <v>160</v>
      </c>
      <c r="B37" s="109"/>
      <c r="C37" s="80"/>
      <c r="D37" s="110">
        <f>D32-D35</f>
        <v>0</v>
      </c>
      <c r="E37" s="80"/>
      <c r="F37" s="103"/>
      <c r="G37" s="104"/>
      <c r="H37" s="104"/>
      <c r="I37" s="104"/>
      <c r="J37" s="103"/>
      <c r="K37" s="104"/>
      <c r="L37" s="49"/>
      <c r="N37" s="49"/>
    </row>
    <row r="38" spans="1:14" x14ac:dyDescent="0.2">
      <c r="D38" s="79"/>
      <c r="F38" s="111"/>
      <c r="N38" s="49"/>
    </row>
    <row r="39" spans="1:14" x14ac:dyDescent="0.2">
      <c r="D39" s="79"/>
      <c r="F39" s="111"/>
      <c r="N39" s="49"/>
    </row>
    <row r="40" spans="1:14" x14ac:dyDescent="0.2">
      <c r="A40" s="322" t="s">
        <v>161</v>
      </c>
      <c r="B40" s="322"/>
      <c r="C40" s="322"/>
      <c r="D40" s="322"/>
      <c r="E40" s="322"/>
      <c r="F40" s="322"/>
      <c r="G40" s="322"/>
      <c r="H40" s="322"/>
      <c r="I40" s="322"/>
      <c r="J40" s="322"/>
      <c r="K40" s="322"/>
      <c r="L40" s="322"/>
      <c r="N40" s="49"/>
    </row>
    <row r="41" spans="1:14" x14ac:dyDescent="0.2">
      <c r="A41" s="322"/>
      <c r="B41" s="322"/>
      <c r="C41" s="322"/>
      <c r="D41" s="322"/>
      <c r="E41" s="322"/>
      <c r="F41" s="322"/>
      <c r="G41" s="322"/>
      <c r="H41" s="322"/>
      <c r="I41" s="322"/>
      <c r="J41" s="322"/>
      <c r="K41" s="322"/>
      <c r="L41" s="322"/>
      <c r="N41" s="49"/>
    </row>
    <row r="60" spans="1:14" x14ac:dyDescent="0.2">
      <c r="A60" s="112"/>
      <c r="B60" s="66"/>
      <c r="C60" s="112"/>
      <c r="D60" s="112"/>
      <c r="E60" s="112"/>
      <c r="F60" s="112"/>
      <c r="G60" s="112"/>
      <c r="H60" s="112"/>
      <c r="I60" s="112"/>
      <c r="K60" s="49"/>
      <c r="L60" s="49"/>
      <c r="N60" s="49"/>
    </row>
    <row r="61" spans="1:14" x14ac:dyDescent="0.2">
      <c r="A61" s="112"/>
      <c r="B61" s="66"/>
      <c r="C61" s="112"/>
      <c r="D61" s="112"/>
      <c r="E61" s="112"/>
      <c r="F61" s="112"/>
      <c r="G61" s="112"/>
      <c r="H61" s="112"/>
      <c r="I61" s="112"/>
      <c r="K61" s="49"/>
      <c r="L61" s="49"/>
      <c r="N61" s="49"/>
    </row>
    <row r="62" spans="1:14" x14ac:dyDescent="0.2">
      <c r="A62" s="112"/>
      <c r="B62" s="66"/>
      <c r="C62" s="112"/>
      <c r="D62" s="112"/>
      <c r="E62" s="112"/>
      <c r="F62" s="112"/>
      <c r="G62" s="112"/>
      <c r="H62" s="112"/>
      <c r="I62" s="112"/>
      <c r="K62" s="49"/>
      <c r="L62" s="49"/>
      <c r="N62" s="49"/>
    </row>
    <row r="63" spans="1:14" x14ac:dyDescent="0.2">
      <c r="A63" s="112"/>
      <c r="B63" s="66"/>
      <c r="C63" s="112"/>
      <c r="D63" s="112"/>
      <c r="E63" s="112"/>
      <c r="F63" s="112"/>
      <c r="G63" s="112"/>
      <c r="H63" s="112"/>
      <c r="I63" s="112"/>
      <c r="K63" s="49"/>
      <c r="L63" s="49"/>
      <c r="N63" s="49"/>
    </row>
    <row r="64" spans="1:14" x14ac:dyDescent="0.2">
      <c r="A64" s="112"/>
      <c r="B64" s="66"/>
      <c r="C64" s="112"/>
      <c r="D64" s="112"/>
      <c r="E64" s="112"/>
      <c r="F64" s="112"/>
      <c r="G64" s="112"/>
      <c r="H64" s="112"/>
      <c r="I64" s="112"/>
      <c r="K64" s="49"/>
      <c r="L64" s="49"/>
      <c r="N64" s="49"/>
    </row>
  </sheetData>
  <mergeCells count="1">
    <mergeCell ref="A40:L41"/>
  </mergeCells>
  <pageMargins left="0.17" right="0.17" top="0.5" bottom="1" header="0.5" footer="0.5"/>
  <pageSetup scale="50" orientation="landscape" r:id="rId1"/>
  <headerFooter alignWithMargins="0">
    <oddFooter>&amp;L&amp;6&amp;F&amp;C&amp;A&amp;R&amp;9Printed/tied-out: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00"/>
  <sheetViews>
    <sheetView zoomScale="80" zoomScaleNormal="80" workbookViewId="0">
      <pane ySplit="7" topLeftCell="A8" activePane="bottomLeft" state="frozen"/>
      <selection activeCell="H25" sqref="H25"/>
      <selection pane="bottomLeft" activeCell="H25" sqref="H25"/>
    </sheetView>
  </sheetViews>
  <sheetFormatPr defaultRowHeight="15" x14ac:dyDescent="0.25"/>
  <cols>
    <col min="1" max="1" width="4.1640625" style="114" customWidth="1"/>
    <col min="2" max="2" width="62.5" style="114" customWidth="1"/>
    <col min="3" max="3" width="26.5" style="114" bestFit="1" customWidth="1"/>
    <col min="4" max="4" width="23.5" style="114" bestFit="1" customWidth="1"/>
    <col min="5" max="5" width="16.6640625" style="114" bestFit="1" customWidth="1"/>
    <col min="6" max="6" width="12" style="114" bestFit="1" customWidth="1"/>
    <col min="7" max="7" width="15.6640625" style="114" bestFit="1" customWidth="1"/>
    <col min="8" max="8" width="16.83203125" style="114" bestFit="1" customWidth="1"/>
    <col min="9" max="16384" width="9.33203125" style="114"/>
  </cols>
  <sheetData>
    <row r="1" spans="1:8" ht="18" x14ac:dyDescent="0.25">
      <c r="A1" s="113" t="s">
        <v>0</v>
      </c>
    </row>
    <row r="2" spans="1:8" ht="18" x14ac:dyDescent="0.25">
      <c r="A2" s="113" t="s">
        <v>162</v>
      </c>
    </row>
    <row r="3" spans="1:8" x14ac:dyDescent="0.25">
      <c r="A3" s="115"/>
      <c r="B3" s="115"/>
      <c r="C3" s="115"/>
      <c r="D3" s="115"/>
      <c r="E3" s="115"/>
      <c r="F3" s="115"/>
    </row>
    <row r="4" spans="1:8" x14ac:dyDescent="0.25">
      <c r="A4" s="115"/>
      <c r="B4" s="115"/>
      <c r="C4" s="115"/>
      <c r="D4" s="115"/>
      <c r="E4" s="115"/>
      <c r="F4" s="115"/>
    </row>
    <row r="5" spans="1:8" x14ac:dyDescent="0.25">
      <c r="A5" s="115"/>
      <c r="B5" s="115"/>
      <c r="C5" s="116" t="s">
        <v>163</v>
      </c>
      <c r="D5" s="117"/>
      <c r="E5" s="115"/>
      <c r="F5" s="115"/>
    </row>
    <row r="6" spans="1:8" x14ac:dyDescent="0.25">
      <c r="A6" s="115"/>
      <c r="B6" s="115"/>
      <c r="C6" s="118" t="s">
        <v>164</v>
      </c>
      <c r="D6" s="118" t="s">
        <v>165</v>
      </c>
      <c r="E6" s="115"/>
      <c r="F6" s="115"/>
    </row>
    <row r="7" spans="1:8" x14ac:dyDescent="0.25">
      <c r="A7" s="115"/>
      <c r="B7" s="115"/>
      <c r="C7" s="119" t="s">
        <v>166</v>
      </c>
      <c r="D7" s="119" t="s">
        <v>167</v>
      </c>
      <c r="E7" s="119" t="s">
        <v>20</v>
      </c>
      <c r="F7" s="119" t="s">
        <v>168</v>
      </c>
    </row>
    <row r="8" spans="1:8" x14ac:dyDescent="0.25">
      <c r="A8" s="115"/>
      <c r="B8" s="115"/>
      <c r="C8" s="120"/>
      <c r="D8" s="120"/>
      <c r="E8" s="120"/>
      <c r="F8" s="115"/>
    </row>
    <row r="9" spans="1:8" x14ac:dyDescent="0.25">
      <c r="A9" s="115"/>
      <c r="B9" s="115" t="s">
        <v>169</v>
      </c>
      <c r="C9" s="121">
        <v>5201080711</v>
      </c>
      <c r="D9" s="121">
        <f>'[6]2016 JAM'!I73</f>
        <v>5201080710.5600004</v>
      </c>
      <c r="E9" s="122">
        <f>C9-D9</f>
        <v>0.43999958038330078</v>
      </c>
      <c r="F9" s="123"/>
    </row>
    <row r="10" spans="1:8" x14ac:dyDescent="0.25">
      <c r="A10" s="115"/>
      <c r="B10" s="115"/>
      <c r="C10" s="124"/>
      <c r="D10" s="124"/>
      <c r="E10" s="115"/>
      <c r="F10" s="118"/>
    </row>
    <row r="11" spans="1:8" x14ac:dyDescent="0.25">
      <c r="A11" s="115"/>
      <c r="B11" s="125" t="s">
        <v>170</v>
      </c>
      <c r="C11" s="126">
        <v>2446363957</v>
      </c>
      <c r="D11" s="126">
        <f>'[6]O&amp;M Breakdown '!B13</f>
        <v>2425234920.7661633</v>
      </c>
      <c r="E11" s="127">
        <f>C11-D11</f>
        <v>21129036.233836651</v>
      </c>
      <c r="F11" s="128" t="s">
        <v>5</v>
      </c>
      <c r="G11" s="129"/>
    </row>
    <row r="12" spans="1:8" x14ac:dyDescent="0.25">
      <c r="A12" s="115"/>
      <c r="B12" s="125" t="s">
        <v>171</v>
      </c>
      <c r="C12" s="126">
        <v>399131517</v>
      </c>
      <c r="D12" s="126">
        <f>'[6]O&amp;M Breakdown '!C13</f>
        <v>399131517.41999996</v>
      </c>
      <c r="E12" s="130">
        <f>C12-D12</f>
        <v>-0.41999995708465576</v>
      </c>
      <c r="F12" s="123"/>
      <c r="G12" s="131"/>
      <c r="H12" s="131"/>
    </row>
    <row r="13" spans="1:8" x14ac:dyDescent="0.25">
      <c r="A13" s="115"/>
      <c r="B13" s="125" t="s">
        <v>172</v>
      </c>
      <c r="C13" s="126">
        <v>709094974</v>
      </c>
      <c r="D13" s="126">
        <f>'[6]2016 JAM'!I89</f>
        <v>685576742.7099998</v>
      </c>
      <c r="E13" s="127">
        <f>C13-D13</f>
        <v>23518231.2900002</v>
      </c>
      <c r="F13" s="128" t="s">
        <v>6</v>
      </c>
    </row>
    <row r="14" spans="1:8" x14ac:dyDescent="0.25">
      <c r="A14" s="115"/>
      <c r="B14" s="125" t="s">
        <v>173</v>
      </c>
      <c r="C14" s="126">
        <v>38577000</v>
      </c>
      <c r="D14" s="126">
        <f>'[6]2016 JAM'!I1134</f>
        <v>39016448.749999993</v>
      </c>
      <c r="E14" s="126">
        <f t="shared" ref="E14:E16" si="0">C14-D14</f>
        <v>-439448.74999999255</v>
      </c>
      <c r="F14" s="128" t="s">
        <v>8</v>
      </c>
    </row>
    <row r="15" spans="1:8" x14ac:dyDescent="0.25">
      <c r="A15" s="115"/>
      <c r="B15" s="125" t="s">
        <v>174</v>
      </c>
      <c r="C15" s="126">
        <v>5083195</v>
      </c>
      <c r="D15" s="126">
        <f>'[6]2016 JAM'!I1148</f>
        <v>5083194.9000000004</v>
      </c>
      <c r="E15" s="126">
        <f t="shared" si="0"/>
        <v>9.999999962747097E-2</v>
      </c>
      <c r="F15" s="132"/>
    </row>
    <row r="16" spans="1:8" x14ac:dyDescent="0.25">
      <c r="A16" s="115"/>
      <c r="B16" s="125" t="s">
        <v>175</v>
      </c>
      <c r="C16" s="126">
        <v>0</v>
      </c>
      <c r="D16" s="126">
        <v>0</v>
      </c>
      <c r="E16" s="126">
        <f t="shared" si="0"/>
        <v>0</v>
      </c>
      <c r="F16" s="123"/>
    </row>
    <row r="17" spans="1:8" x14ac:dyDescent="0.25">
      <c r="A17" s="115"/>
      <c r="B17" s="125" t="s">
        <v>176</v>
      </c>
      <c r="C17" s="126">
        <v>150507</v>
      </c>
      <c r="D17" s="130">
        <f>'[6]Util Amort'!F96*1000</f>
        <v>124290.23999999999</v>
      </c>
      <c r="E17" s="127">
        <f>C17-D17</f>
        <v>26216.760000000009</v>
      </c>
      <c r="F17" s="128" t="s">
        <v>9</v>
      </c>
    </row>
    <row r="18" spans="1:8" x14ac:dyDescent="0.25">
      <c r="A18" s="115"/>
      <c r="B18" s="125" t="s">
        <v>177</v>
      </c>
      <c r="C18" s="126">
        <v>189632535</v>
      </c>
      <c r="D18" s="126">
        <f>'[6]2016 JAM'!I91</f>
        <v>189632534.75</v>
      </c>
      <c r="E18" s="126">
        <f>C18-D18</f>
        <v>0.25</v>
      </c>
      <c r="F18" s="132"/>
    </row>
    <row r="19" spans="1:8" x14ac:dyDescent="0.25">
      <c r="A19" s="125"/>
      <c r="B19" s="125" t="s">
        <v>178</v>
      </c>
      <c r="C19" s="126">
        <v>199451072</v>
      </c>
      <c r="D19" s="126">
        <f>'[6]2016 JAM'!I92</f>
        <v>226250162.53119677</v>
      </c>
      <c r="E19" s="126">
        <f t="shared" ref="E19:E29" si="1">C19-D19</f>
        <v>-26799090.531196773</v>
      </c>
      <c r="F19" s="128" t="s">
        <v>179</v>
      </c>
      <c r="G19" s="133"/>
      <c r="H19" s="133"/>
    </row>
    <row r="20" spans="1:8" x14ac:dyDescent="0.25">
      <c r="A20" s="125"/>
      <c r="B20" s="125" t="s">
        <v>180</v>
      </c>
      <c r="C20" s="126">
        <v>36762420</v>
      </c>
      <c r="D20" s="126">
        <f>'[6]2016 JAM'!I93</f>
        <v>39828328.249128513</v>
      </c>
      <c r="E20" s="126">
        <f t="shared" si="1"/>
        <v>-3065908.249128513</v>
      </c>
      <c r="F20" s="128" t="s">
        <v>179</v>
      </c>
      <c r="G20" s="133"/>
      <c r="H20" s="133"/>
    </row>
    <row r="21" spans="1:8" x14ac:dyDescent="0.25">
      <c r="A21" s="125"/>
      <c r="B21" s="125" t="s">
        <v>181</v>
      </c>
      <c r="C21" s="126">
        <v>749775939</v>
      </c>
      <c r="D21" s="126">
        <f>'[6]2016 JAM'!I1260</f>
        <v>460273751</v>
      </c>
      <c r="E21" s="126">
        <f t="shared" si="1"/>
        <v>289502188</v>
      </c>
      <c r="F21" s="128" t="s">
        <v>179</v>
      </c>
      <c r="G21" s="133"/>
      <c r="H21" s="133"/>
    </row>
    <row r="22" spans="1:8" x14ac:dyDescent="0.25">
      <c r="A22" s="125"/>
      <c r="B22" s="125" t="s">
        <v>182</v>
      </c>
      <c r="C22" s="126">
        <v>-645592915</v>
      </c>
      <c r="D22" s="126">
        <f>'[6]2016 JAM'!I1280</f>
        <v>-369412651.00005287</v>
      </c>
      <c r="E22" s="126">
        <f t="shared" si="1"/>
        <v>-276180263.99994713</v>
      </c>
      <c r="F22" s="128" t="s">
        <v>179</v>
      </c>
      <c r="G22" s="133"/>
      <c r="H22" s="133"/>
    </row>
    <row r="23" spans="1:8" x14ac:dyDescent="0.25">
      <c r="A23" s="125"/>
      <c r="B23" s="125" t="s">
        <v>183</v>
      </c>
      <c r="C23" s="126">
        <v>-4341401</v>
      </c>
      <c r="D23" s="126">
        <f>'[6]2016 JAM'!I95</f>
        <v>-4341401.0599999996</v>
      </c>
      <c r="E23" s="126">
        <f t="shared" si="1"/>
        <v>5.9999999590218067E-2</v>
      </c>
      <c r="F23" s="134"/>
    </row>
    <row r="24" spans="1:8" x14ac:dyDescent="0.25">
      <c r="A24" s="125"/>
      <c r="B24" s="125" t="s">
        <v>184</v>
      </c>
      <c r="C24" s="126">
        <v>-188</v>
      </c>
      <c r="D24" s="126">
        <f>'[6]2016 JAM'!I258</f>
        <v>-187.82</v>
      </c>
      <c r="E24" s="126">
        <f t="shared" si="1"/>
        <v>-0.18000000000000682</v>
      </c>
      <c r="F24" s="132"/>
    </row>
    <row r="25" spans="1:8" x14ac:dyDescent="0.25">
      <c r="A25" s="125"/>
      <c r="B25" s="125" t="s">
        <v>185</v>
      </c>
      <c r="C25" s="126"/>
      <c r="D25" s="126">
        <f>'[6]2016 JAM'!I248+'[6]2016 JAM'!I253+'[6]2016 JAM'!I275</f>
        <v>-1747577.94</v>
      </c>
      <c r="E25" s="126">
        <f t="shared" si="1"/>
        <v>1747577.94</v>
      </c>
      <c r="F25" s="128" t="s">
        <v>186</v>
      </c>
    </row>
    <row r="26" spans="1:8" x14ac:dyDescent="0.25">
      <c r="A26" s="125"/>
      <c r="B26" s="125" t="s">
        <v>187</v>
      </c>
      <c r="C26" s="126">
        <v>0</v>
      </c>
      <c r="D26" s="126">
        <v>0</v>
      </c>
      <c r="E26" s="126">
        <f t="shared" si="1"/>
        <v>0</v>
      </c>
      <c r="F26" s="123"/>
    </row>
    <row r="27" spans="1:8" x14ac:dyDescent="0.25">
      <c r="A27" s="125"/>
      <c r="B27" s="125" t="s">
        <v>188</v>
      </c>
      <c r="C27" s="135">
        <f>SUM(C11:C26)</f>
        <v>4124088612</v>
      </c>
      <c r="D27" s="135">
        <f>SUM(D11:D26)</f>
        <v>4094650073.4964352</v>
      </c>
      <c r="E27" s="135">
        <f>SUM(E11:E26)</f>
        <v>29438538.503564484</v>
      </c>
      <c r="F27" s="132"/>
    </row>
    <row r="28" spans="1:8" x14ac:dyDescent="0.25">
      <c r="A28" s="125"/>
      <c r="B28" s="125"/>
      <c r="C28" s="126"/>
      <c r="D28" s="126"/>
      <c r="E28" s="125"/>
      <c r="F28" s="132"/>
    </row>
    <row r="29" spans="1:8" ht="15.75" thickBot="1" x14ac:dyDescent="0.3">
      <c r="A29" s="125"/>
      <c r="B29" s="125" t="s">
        <v>189</v>
      </c>
      <c r="C29" s="136">
        <f>C9-C27</f>
        <v>1076992099</v>
      </c>
      <c r="D29" s="136">
        <f>D9-D27</f>
        <v>1106430637.0635653</v>
      </c>
      <c r="E29" s="136">
        <f t="shared" si="1"/>
        <v>-29438538.063565254</v>
      </c>
      <c r="F29" s="132"/>
    </row>
    <row r="30" spans="1:8" ht="15.75" thickTop="1" x14ac:dyDescent="0.25">
      <c r="A30" s="125"/>
      <c r="B30" s="125"/>
      <c r="C30" s="125"/>
      <c r="D30" s="125"/>
      <c r="E30" s="125"/>
      <c r="F30" s="132"/>
    </row>
    <row r="31" spans="1:8" x14ac:dyDescent="0.25">
      <c r="A31" s="125"/>
      <c r="B31" s="125"/>
      <c r="C31" s="127"/>
      <c r="D31" s="125"/>
      <c r="E31" s="125"/>
      <c r="F31" s="132"/>
    </row>
    <row r="32" spans="1:8" x14ac:dyDescent="0.25">
      <c r="A32" s="125"/>
      <c r="B32" s="137" t="s">
        <v>190</v>
      </c>
      <c r="C32" s="127"/>
      <c r="D32" s="125"/>
      <c r="E32" s="125"/>
      <c r="F32" s="132"/>
    </row>
    <row r="33" spans="1:7" x14ac:dyDescent="0.25">
      <c r="A33" s="125"/>
      <c r="B33" s="138" t="s">
        <v>191</v>
      </c>
      <c r="C33" s="125"/>
      <c r="D33" s="125"/>
      <c r="E33" s="125"/>
      <c r="F33" s="132"/>
    </row>
    <row r="34" spans="1:7" x14ac:dyDescent="0.25">
      <c r="A34" s="125"/>
      <c r="B34" s="139" t="s">
        <v>192</v>
      </c>
      <c r="C34" s="125"/>
      <c r="D34" s="140"/>
      <c r="E34" s="140"/>
      <c r="F34" s="132"/>
    </row>
    <row r="35" spans="1:7" x14ac:dyDescent="0.25">
      <c r="A35" s="125"/>
      <c r="B35" s="139" t="s">
        <v>193</v>
      </c>
      <c r="C35" s="125"/>
      <c r="D35" s="140"/>
      <c r="E35" s="141"/>
      <c r="F35" s="132"/>
    </row>
    <row r="36" spans="1:7" x14ac:dyDescent="0.25">
      <c r="A36" s="125"/>
      <c r="B36" s="139" t="s">
        <v>194</v>
      </c>
      <c r="C36" s="125"/>
      <c r="D36" s="140"/>
      <c r="E36" s="130">
        <f>'[6]Nonutil O&amp;M'!G37+'[6]Nonutil O&amp;M'!G38</f>
        <v>22112744.380000003</v>
      </c>
      <c r="F36" s="132"/>
    </row>
    <row r="37" spans="1:7" x14ac:dyDescent="0.25">
      <c r="A37" s="125"/>
      <c r="B37" s="139" t="s">
        <v>195</v>
      </c>
      <c r="C37" s="125"/>
      <c r="D37" s="140"/>
      <c r="E37" s="140"/>
      <c r="F37" s="132"/>
    </row>
    <row r="38" spans="1:7" x14ac:dyDescent="0.25">
      <c r="A38" s="125"/>
      <c r="B38" s="142" t="s">
        <v>196</v>
      </c>
      <c r="C38" s="125"/>
      <c r="D38" s="140"/>
      <c r="E38" s="140"/>
      <c r="F38" s="132"/>
    </row>
    <row r="39" spans="1:7" x14ac:dyDescent="0.25">
      <c r="A39" s="125"/>
      <c r="B39" s="143" t="s">
        <v>197</v>
      </c>
      <c r="C39" s="125"/>
      <c r="D39" s="130">
        <f>'[6]Nonutil O&amp;M'!G39</f>
        <v>-727391.19000000006</v>
      </c>
      <c r="E39" s="140"/>
      <c r="F39" s="132"/>
    </row>
    <row r="40" spans="1:7" x14ac:dyDescent="0.25">
      <c r="A40" s="125"/>
      <c r="B40" s="143" t="s">
        <v>198</v>
      </c>
      <c r="C40" s="125"/>
      <c r="D40" s="130">
        <f>'[6]Nonutil O&amp;M'!G40</f>
        <v>-663563.41</v>
      </c>
      <c r="E40" s="140"/>
      <c r="F40" s="132"/>
    </row>
    <row r="41" spans="1:7" x14ac:dyDescent="0.25">
      <c r="A41" s="125"/>
      <c r="B41" s="143" t="s">
        <v>199</v>
      </c>
      <c r="C41" s="125"/>
      <c r="D41" s="144">
        <f>'[6]Nonutil O&amp;M'!G41</f>
        <v>-28664.899999999998</v>
      </c>
      <c r="E41" s="140"/>
      <c r="F41" s="132"/>
    </row>
    <row r="42" spans="1:7" x14ac:dyDescent="0.25">
      <c r="A42" s="125"/>
      <c r="B42" s="125"/>
      <c r="C42" s="125"/>
      <c r="D42" s="140"/>
      <c r="E42" s="122">
        <f>SUM(D39:D41)</f>
        <v>-1419619.5</v>
      </c>
      <c r="F42" s="132"/>
    </row>
    <row r="43" spans="1:7" x14ac:dyDescent="0.25">
      <c r="A43" s="125"/>
      <c r="B43" s="145" t="s">
        <v>200</v>
      </c>
      <c r="C43" s="125"/>
      <c r="D43" s="140"/>
      <c r="E43" s="122">
        <f>'[6]Nonutil O&amp;M'!G42</f>
        <v>38.47</v>
      </c>
      <c r="F43" s="132"/>
    </row>
    <row r="44" spans="1:7" x14ac:dyDescent="0.25">
      <c r="A44" s="125"/>
      <c r="B44" s="145" t="s">
        <v>201</v>
      </c>
      <c r="C44" s="125"/>
      <c r="D44" s="140"/>
      <c r="E44" s="122">
        <f>'[6]Nonutil O&amp;M'!G43</f>
        <v>49912.92</v>
      </c>
      <c r="F44" s="132"/>
    </row>
    <row r="45" spans="1:7" x14ac:dyDescent="0.25">
      <c r="A45" s="125"/>
      <c r="B45" s="146" t="s">
        <v>202</v>
      </c>
      <c r="C45" s="125"/>
      <c r="D45" s="140"/>
      <c r="E45" s="122">
        <f>-'[6]2016 JAM'!I604</f>
        <v>503555.33383675851</v>
      </c>
      <c r="F45" s="132"/>
    </row>
    <row r="46" spans="1:7" x14ac:dyDescent="0.25">
      <c r="A46" s="125"/>
      <c r="B46" s="147" t="s">
        <v>203</v>
      </c>
      <c r="C46" s="140"/>
      <c r="D46" s="140"/>
      <c r="F46" s="148"/>
      <c r="G46" s="133"/>
    </row>
    <row r="47" spans="1:7" x14ac:dyDescent="0.25">
      <c r="A47" s="125"/>
      <c r="B47" s="147" t="s">
        <v>204</v>
      </c>
      <c r="C47" s="140"/>
      <c r="D47" s="140"/>
      <c r="F47" s="148"/>
      <c r="G47" s="133"/>
    </row>
    <row r="48" spans="1:7" x14ac:dyDescent="0.25">
      <c r="A48" s="125"/>
      <c r="B48" s="147" t="s">
        <v>205</v>
      </c>
      <c r="C48" s="140"/>
      <c r="D48" s="140"/>
      <c r="E48" s="126">
        <f>-('[6]Interwest O&amp;M'!F36+'[6]Interwest O&amp;M'!F37)*1000</f>
        <v>-117595.11</v>
      </c>
      <c r="F48" s="148"/>
      <c r="G48" s="133"/>
    </row>
    <row r="49" spans="1:8" ht="15.75" thickBot="1" x14ac:dyDescent="0.3">
      <c r="A49" s="125"/>
      <c r="B49" s="149"/>
      <c r="C49" s="150"/>
      <c r="D49" s="150"/>
      <c r="E49" s="151">
        <f>SUM(E36:E48)</f>
        <v>21129036.493836761</v>
      </c>
      <c r="F49" s="152"/>
      <c r="G49" s="153"/>
    </row>
    <row r="50" spans="1:8" ht="15.75" thickTop="1" x14ac:dyDescent="0.25">
      <c r="A50" s="125"/>
      <c r="B50" s="150"/>
      <c r="C50" s="150"/>
      <c r="D50" s="150"/>
      <c r="E50" s="154"/>
      <c r="F50" s="152"/>
      <c r="G50" s="133"/>
    </row>
    <row r="51" spans="1:8" x14ac:dyDescent="0.25">
      <c r="A51" s="125"/>
      <c r="B51" s="155" t="s">
        <v>206</v>
      </c>
      <c r="C51" s="125"/>
      <c r="D51" s="125"/>
      <c r="E51" s="125"/>
      <c r="F51" s="132"/>
      <c r="G51" s="133"/>
    </row>
    <row r="52" spans="1:8" x14ac:dyDescent="0.25">
      <c r="A52" s="125"/>
      <c r="B52" s="156" t="s">
        <v>207</v>
      </c>
      <c r="C52" s="125"/>
      <c r="D52" s="125"/>
      <c r="E52" s="126">
        <f>'[6]Nonutil Depn'!G37</f>
        <v>26459013.550000001</v>
      </c>
      <c r="G52" s="133"/>
    </row>
    <row r="53" spans="1:8" x14ac:dyDescent="0.25">
      <c r="A53" s="125"/>
      <c r="B53" s="156" t="s">
        <v>208</v>
      </c>
      <c r="C53" s="125"/>
      <c r="D53" s="125"/>
      <c r="E53" s="126">
        <f>'[6]Nonutil Depn'!G38</f>
        <v>-1277950.28</v>
      </c>
      <c r="G53" s="133"/>
    </row>
    <row r="54" spans="1:8" x14ac:dyDescent="0.25">
      <c r="A54" s="125"/>
      <c r="B54" s="156" t="s">
        <v>209</v>
      </c>
      <c r="C54" s="125"/>
      <c r="D54" s="125"/>
      <c r="E54" s="126">
        <f>'[7] Nonutil depn'!F45*1000</f>
        <v>303631.32</v>
      </c>
      <c r="F54" s="132"/>
      <c r="G54" s="133"/>
    </row>
    <row r="55" spans="1:8" x14ac:dyDescent="0.25">
      <c r="A55" s="125"/>
      <c r="B55" s="156" t="s">
        <v>210</v>
      </c>
      <c r="C55" s="125"/>
      <c r="D55" s="125"/>
      <c r="E55" s="126">
        <f>'[6]Nonutil Depn'!G44</f>
        <v>-1966463.01</v>
      </c>
      <c r="F55" s="148"/>
      <c r="G55" s="133"/>
    </row>
    <row r="56" spans="1:8" x14ac:dyDescent="0.25">
      <c r="A56" s="125"/>
      <c r="B56" s="125"/>
      <c r="C56" s="125"/>
      <c r="D56" s="157"/>
      <c r="E56" s="158">
        <f>SUM(E52:E55)</f>
        <v>23518231.579999998</v>
      </c>
      <c r="F56" s="159"/>
    </row>
    <row r="57" spans="1:8" x14ac:dyDescent="0.25">
      <c r="A57" s="125"/>
      <c r="B57" s="137" t="s">
        <v>211</v>
      </c>
      <c r="C57" s="125"/>
      <c r="D57" s="157"/>
      <c r="E57" s="157"/>
      <c r="F57" s="159"/>
    </row>
    <row r="58" spans="1:8" x14ac:dyDescent="0.25">
      <c r="A58" s="125"/>
      <c r="B58" s="156" t="s">
        <v>212</v>
      </c>
      <c r="C58" s="125"/>
      <c r="D58" s="157"/>
      <c r="E58" s="157">
        <f>'[6]Nonutil Amort'!F36*1000</f>
        <v>-439448.81</v>
      </c>
      <c r="F58" s="159"/>
    </row>
    <row r="59" spans="1:8" x14ac:dyDescent="0.25">
      <c r="A59" s="125"/>
      <c r="B59" s="125"/>
      <c r="C59" s="125"/>
      <c r="D59" s="157"/>
      <c r="E59" s="157"/>
      <c r="F59" s="159"/>
    </row>
    <row r="60" spans="1:8" x14ac:dyDescent="0.25">
      <c r="A60" s="125"/>
      <c r="B60" s="137" t="s">
        <v>213</v>
      </c>
      <c r="C60" s="125"/>
      <c r="D60" s="157"/>
      <c r="E60" s="157">
        <f>'[6]Nonutil Amort'!F37*1000</f>
        <v>26216.280000000002</v>
      </c>
      <c r="F60" s="159"/>
    </row>
    <row r="61" spans="1:8" x14ac:dyDescent="0.25">
      <c r="A61" s="125"/>
      <c r="B61" s="139"/>
      <c r="C61" s="125"/>
      <c r="D61" s="125"/>
      <c r="E61" s="125"/>
      <c r="F61" s="132"/>
    </row>
    <row r="62" spans="1:8" x14ac:dyDescent="0.25">
      <c r="A62" s="125"/>
      <c r="B62" s="160" t="s">
        <v>214</v>
      </c>
      <c r="C62" s="150"/>
      <c r="D62" s="125"/>
      <c r="E62" s="150"/>
      <c r="F62" s="132"/>
      <c r="G62" s="133"/>
      <c r="H62" s="133"/>
    </row>
    <row r="63" spans="1:8" x14ac:dyDescent="0.25">
      <c r="A63" s="125"/>
      <c r="B63" s="161" t="s">
        <v>215</v>
      </c>
      <c r="C63" s="162"/>
      <c r="D63" s="163" t="s">
        <v>168</v>
      </c>
      <c r="E63" s="164" t="s">
        <v>216</v>
      </c>
      <c r="F63" s="162"/>
      <c r="G63" s="162"/>
      <c r="H63" s="165"/>
    </row>
    <row r="64" spans="1:8" x14ac:dyDescent="0.25">
      <c r="A64" s="125"/>
      <c r="B64" s="166" t="s">
        <v>59</v>
      </c>
      <c r="C64" s="167"/>
      <c r="D64" s="168" t="s">
        <v>217</v>
      </c>
      <c r="E64" s="169">
        <f>C19</f>
        <v>199451072</v>
      </c>
      <c r="F64" s="170"/>
      <c r="G64" s="171"/>
      <c r="H64" s="165"/>
    </row>
    <row r="65" spans="1:8" x14ac:dyDescent="0.25">
      <c r="A65" s="125"/>
      <c r="B65" s="166" t="s">
        <v>218</v>
      </c>
      <c r="C65" s="167"/>
      <c r="D65" s="172" t="s">
        <v>217</v>
      </c>
      <c r="E65" s="171">
        <f>C20</f>
        <v>36762420</v>
      </c>
      <c r="F65" s="170"/>
      <c r="G65" s="171"/>
      <c r="H65" s="165"/>
    </row>
    <row r="66" spans="1:8" ht="15.75" customHeight="1" x14ac:dyDescent="0.25">
      <c r="A66" s="125"/>
      <c r="B66" s="166" t="s">
        <v>219</v>
      </c>
      <c r="C66" s="167"/>
      <c r="D66" s="172" t="s">
        <v>217</v>
      </c>
      <c r="E66" s="171">
        <f>C21</f>
        <v>749775939</v>
      </c>
      <c r="F66" s="170"/>
      <c r="G66" s="171"/>
      <c r="H66" s="165"/>
    </row>
    <row r="67" spans="1:8" x14ac:dyDescent="0.25">
      <c r="A67" s="125"/>
      <c r="B67" s="166" t="s">
        <v>220</v>
      </c>
      <c r="C67" s="167"/>
      <c r="D67" s="173" t="s">
        <v>217</v>
      </c>
      <c r="E67" s="171">
        <f>C22</f>
        <v>-645592915</v>
      </c>
      <c r="F67" s="170"/>
      <c r="G67" s="171"/>
      <c r="H67" s="165"/>
    </row>
    <row r="68" spans="1:8" x14ac:dyDescent="0.25">
      <c r="A68" s="125"/>
      <c r="B68" s="166" t="s">
        <v>221</v>
      </c>
      <c r="C68" s="167"/>
      <c r="D68" s="174" t="s">
        <v>217</v>
      </c>
      <c r="E68" s="175">
        <f>C23</f>
        <v>-4341401</v>
      </c>
      <c r="F68" s="170"/>
      <c r="G68" s="171"/>
      <c r="H68" s="165"/>
    </row>
    <row r="69" spans="1:8" x14ac:dyDescent="0.25">
      <c r="A69" s="125"/>
      <c r="B69" s="166" t="s">
        <v>222</v>
      </c>
      <c r="C69" s="176"/>
      <c r="E69" s="177">
        <f>SUBTOTAL(9,E64:E68)</f>
        <v>336055115</v>
      </c>
      <c r="F69" s="176"/>
      <c r="G69" s="178"/>
      <c r="H69" s="165"/>
    </row>
    <row r="70" spans="1:8" x14ac:dyDescent="0.25">
      <c r="A70" s="125"/>
      <c r="B70" s="179"/>
      <c r="C70" s="179"/>
      <c r="D70" s="179"/>
      <c r="E70" s="179"/>
      <c r="F70" s="178"/>
      <c r="G70" s="178"/>
      <c r="H70" s="165"/>
    </row>
    <row r="71" spans="1:8" x14ac:dyDescent="0.25">
      <c r="A71" s="125"/>
      <c r="B71" s="161" t="s">
        <v>223</v>
      </c>
      <c r="C71" s="176"/>
      <c r="D71" s="180" t="s">
        <v>168</v>
      </c>
      <c r="E71" s="164" t="s">
        <v>216</v>
      </c>
      <c r="F71" s="181"/>
      <c r="G71" s="162"/>
      <c r="H71" s="165"/>
    </row>
    <row r="72" spans="1:8" x14ac:dyDescent="0.25">
      <c r="A72" s="125"/>
      <c r="B72" s="166" t="s">
        <v>178</v>
      </c>
      <c r="C72" s="178"/>
      <c r="D72" s="174" t="s">
        <v>224</v>
      </c>
      <c r="E72" s="178">
        <f>'[6]2016 JAM'!I92</f>
        <v>226250162.53119677</v>
      </c>
      <c r="F72" s="167"/>
      <c r="G72" s="167"/>
      <c r="H72" s="165"/>
    </row>
    <row r="73" spans="1:8" x14ac:dyDescent="0.25">
      <c r="A73" s="125"/>
      <c r="B73" s="166" t="s">
        <v>225</v>
      </c>
      <c r="C73" s="178"/>
      <c r="D73" s="174" t="s">
        <v>224</v>
      </c>
      <c r="E73" s="178">
        <f>'[6]2016 JAM'!I93</f>
        <v>39828328.249128513</v>
      </c>
      <c r="F73" s="167"/>
      <c r="G73" s="167"/>
      <c r="H73" s="165"/>
    </row>
    <row r="74" spans="1:8" x14ac:dyDescent="0.25">
      <c r="A74" s="125"/>
      <c r="B74" s="166" t="s">
        <v>226</v>
      </c>
      <c r="C74" s="178"/>
      <c r="D74" s="174" t="s">
        <v>227</v>
      </c>
      <c r="E74" s="178">
        <f>'[6]2016 JAM'!I1260</f>
        <v>460273751</v>
      </c>
      <c r="F74" s="167"/>
      <c r="G74" s="167"/>
      <c r="H74" s="165"/>
    </row>
    <row r="75" spans="1:8" x14ac:dyDescent="0.25">
      <c r="A75" s="125"/>
      <c r="B75" s="166" t="s">
        <v>228</v>
      </c>
      <c r="C75" s="178"/>
      <c r="D75" s="174" t="s">
        <v>229</v>
      </c>
      <c r="E75" s="178">
        <f>'[6]2016 JAM'!I1280</f>
        <v>-369412651.00005287</v>
      </c>
      <c r="F75" s="167"/>
      <c r="G75" s="167"/>
      <c r="H75" s="165"/>
    </row>
    <row r="76" spans="1:8" x14ac:dyDescent="0.25">
      <c r="A76" s="125"/>
      <c r="B76" s="166" t="s">
        <v>230</v>
      </c>
      <c r="C76" s="178"/>
      <c r="D76" s="174" t="s">
        <v>224</v>
      </c>
      <c r="E76" s="177">
        <f>'[6]2016 JAM'!I95</f>
        <v>-4341401.0599999996</v>
      </c>
      <c r="F76" s="167"/>
      <c r="G76" s="167"/>
      <c r="H76" s="165"/>
    </row>
    <row r="77" spans="1:8" x14ac:dyDescent="0.25">
      <c r="A77" s="125"/>
      <c r="B77" s="178" t="s">
        <v>231</v>
      </c>
      <c r="C77" s="176"/>
      <c r="D77" s="182"/>
      <c r="E77" s="183">
        <f>SUBTOTAL(9,E72:E76)</f>
        <v>352598189.72027242</v>
      </c>
      <c r="F77" s="167"/>
      <c r="G77" s="167"/>
      <c r="H77" s="165"/>
    </row>
    <row r="78" spans="1:8" x14ac:dyDescent="0.25">
      <c r="A78" s="125"/>
      <c r="B78" s="166" t="s">
        <v>232</v>
      </c>
      <c r="C78" s="178"/>
      <c r="D78" s="178"/>
      <c r="E78" s="184">
        <v>0</v>
      </c>
      <c r="F78" s="182"/>
      <c r="G78" s="167"/>
      <c r="H78" s="165"/>
    </row>
    <row r="79" spans="1:8" x14ac:dyDescent="0.25">
      <c r="A79" s="125"/>
      <c r="B79" s="185" t="s">
        <v>233</v>
      </c>
      <c r="C79" s="176"/>
      <c r="D79" s="176"/>
      <c r="E79" s="186">
        <f>E77+E78</f>
        <v>352598189.72027242</v>
      </c>
      <c r="F79" s="187"/>
      <c r="G79" s="167"/>
      <c r="H79" s="165"/>
    </row>
    <row r="80" spans="1:8" x14ac:dyDescent="0.25">
      <c r="A80" s="323"/>
      <c r="B80" s="178"/>
      <c r="C80" s="178"/>
      <c r="D80" s="178"/>
      <c r="E80" s="179"/>
      <c r="F80" s="178"/>
      <c r="G80" s="178"/>
      <c r="H80" s="165"/>
    </row>
    <row r="81" spans="1:10" ht="15.75" thickBot="1" x14ac:dyDescent="0.3">
      <c r="A81" s="323"/>
      <c r="B81" s="178" t="s">
        <v>234</v>
      </c>
      <c r="C81" s="178"/>
      <c r="D81" s="178"/>
      <c r="E81" s="188">
        <f>E79-E69</f>
        <v>16543074.720272422</v>
      </c>
      <c r="F81" s="187"/>
      <c r="G81" s="167"/>
      <c r="H81" s="165"/>
    </row>
    <row r="82" spans="1:10" ht="15.75" thickTop="1" x14ac:dyDescent="0.25">
      <c r="A82" s="323"/>
      <c r="B82" s="178"/>
      <c r="C82" s="178"/>
      <c r="D82" s="178"/>
      <c r="E82" s="179"/>
      <c r="F82" s="178"/>
      <c r="G82" s="179"/>
      <c r="H82" s="189"/>
    </row>
    <row r="83" spans="1:10" x14ac:dyDescent="0.25">
      <c r="B83" s="178" t="s">
        <v>235</v>
      </c>
      <c r="C83" s="176"/>
      <c r="D83" s="176"/>
      <c r="E83" s="176"/>
      <c r="F83" s="190"/>
      <c r="G83" s="190"/>
      <c r="H83" s="191"/>
      <c r="I83" s="167"/>
    </row>
    <row r="84" spans="1:10" x14ac:dyDescent="0.25">
      <c r="B84" s="166" t="s">
        <v>236</v>
      </c>
      <c r="C84" s="178"/>
      <c r="D84" s="178"/>
      <c r="E84" s="192">
        <v>15486140</v>
      </c>
      <c r="F84" s="182"/>
      <c r="G84" s="167"/>
      <c r="H84" s="178"/>
      <c r="I84" s="167"/>
    </row>
    <row r="85" spans="1:10" x14ac:dyDescent="0.25">
      <c r="B85" s="166" t="s">
        <v>237</v>
      </c>
      <c r="C85" s="178"/>
      <c r="D85" s="178"/>
      <c r="E85" s="193">
        <v>7372433</v>
      </c>
      <c r="F85" s="182"/>
      <c r="G85" s="167"/>
      <c r="H85" s="178"/>
      <c r="I85" s="167"/>
    </row>
    <row r="86" spans="1:10" x14ac:dyDescent="0.25">
      <c r="B86" s="166" t="s">
        <v>238</v>
      </c>
      <c r="C86" s="178"/>
      <c r="D86" s="178"/>
      <c r="E86" s="193">
        <v>0</v>
      </c>
      <c r="F86" s="182"/>
      <c r="G86" s="167"/>
      <c r="H86" s="178"/>
      <c r="I86" s="167"/>
    </row>
    <row r="87" spans="1:10" x14ac:dyDescent="0.25">
      <c r="B87" s="166" t="s">
        <v>239</v>
      </c>
      <c r="C87" s="178"/>
      <c r="D87" s="178"/>
      <c r="E87" s="193">
        <v>-229587</v>
      </c>
      <c r="F87" s="182"/>
      <c r="G87" s="167"/>
      <c r="H87" s="178"/>
      <c r="I87" s="167"/>
    </row>
    <row r="88" spans="1:10" x14ac:dyDescent="0.25">
      <c r="B88" s="166" t="s">
        <v>240</v>
      </c>
      <c r="C88" s="178"/>
      <c r="D88" s="178"/>
      <c r="E88" s="193">
        <v>0</v>
      </c>
      <c r="F88" s="182"/>
      <c r="G88" s="167"/>
      <c r="H88" s="178"/>
      <c r="I88" s="167"/>
    </row>
    <row r="89" spans="1:10" x14ac:dyDescent="0.25">
      <c r="B89" s="166" t="s">
        <v>241</v>
      </c>
      <c r="C89" s="178"/>
      <c r="D89" s="178"/>
      <c r="E89" s="193">
        <v>3671071</v>
      </c>
      <c r="F89" s="182"/>
      <c r="G89" s="167"/>
      <c r="H89" s="178"/>
      <c r="I89" s="167"/>
    </row>
    <row r="90" spans="1:10" x14ac:dyDescent="0.25">
      <c r="B90" s="166" t="s">
        <v>242</v>
      </c>
      <c r="C90" s="178"/>
      <c r="D90" s="178"/>
      <c r="E90" s="193">
        <v>0</v>
      </c>
      <c r="F90" s="182"/>
      <c r="G90" s="167"/>
      <c r="H90" s="178"/>
      <c r="I90" s="167"/>
    </row>
    <row r="91" spans="1:10" x14ac:dyDescent="0.25">
      <c r="B91" s="166" t="s">
        <v>243</v>
      </c>
      <c r="C91" s="178"/>
      <c r="D91" s="178"/>
      <c r="E91" s="193">
        <v>-1691002</v>
      </c>
      <c r="F91" s="182"/>
      <c r="G91" s="167"/>
      <c r="H91" s="178"/>
      <c r="I91" s="167"/>
    </row>
    <row r="92" spans="1:10" x14ac:dyDescent="0.25">
      <c r="B92" s="166" t="s">
        <v>244</v>
      </c>
      <c r="C92" s="178"/>
      <c r="D92" s="178"/>
      <c r="E92" s="193">
        <v>-6253</v>
      </c>
      <c r="F92" s="182"/>
      <c r="G92" s="167"/>
      <c r="H92" s="178"/>
      <c r="I92" s="167"/>
    </row>
    <row r="93" spans="1:10" x14ac:dyDescent="0.25">
      <c r="B93" s="166" t="s">
        <v>245</v>
      </c>
      <c r="C93" s="178"/>
      <c r="D93" s="178"/>
      <c r="E93" s="171">
        <v>-554922</v>
      </c>
      <c r="F93" s="182"/>
      <c r="G93" s="167"/>
      <c r="H93" s="178"/>
      <c r="I93" s="167"/>
    </row>
    <row r="94" spans="1:10" x14ac:dyDescent="0.25">
      <c r="B94" s="166" t="s">
        <v>246</v>
      </c>
      <c r="C94" s="178"/>
      <c r="D94" s="178"/>
      <c r="E94" s="171">
        <v>-7504805</v>
      </c>
      <c r="F94" s="182"/>
      <c r="G94" s="167"/>
      <c r="H94" s="178"/>
      <c r="I94" s="167"/>
    </row>
    <row r="95" spans="1:10" ht="15.75" thickBot="1" x14ac:dyDescent="0.3">
      <c r="B95" s="178" t="s">
        <v>247</v>
      </c>
      <c r="C95" s="176"/>
      <c r="D95" s="178"/>
      <c r="E95" s="194">
        <f>SUM(E84:E94)</f>
        <v>16543075</v>
      </c>
      <c r="F95" s="187"/>
      <c r="G95" s="167"/>
      <c r="H95" s="176"/>
      <c r="I95" s="167"/>
    </row>
    <row r="96" spans="1:10" ht="15.75" thickTop="1" x14ac:dyDescent="0.25">
      <c r="B96" s="176"/>
      <c r="C96" s="176"/>
      <c r="D96" s="178"/>
      <c r="E96" s="178"/>
      <c r="F96" s="178"/>
      <c r="G96" s="187"/>
      <c r="H96" s="176"/>
      <c r="I96" s="176"/>
      <c r="J96" s="167"/>
    </row>
    <row r="97" spans="2:8" x14ac:dyDescent="0.25">
      <c r="B97" s="195" t="s">
        <v>248</v>
      </c>
      <c r="C97" s="162"/>
      <c r="D97" s="162"/>
      <c r="H97" s="162"/>
    </row>
    <row r="98" spans="2:8" x14ac:dyDescent="0.25">
      <c r="B98" s="196" t="s">
        <v>249</v>
      </c>
      <c r="C98" s="197"/>
      <c r="D98" s="171"/>
      <c r="H98" s="121"/>
    </row>
    <row r="99" spans="2:8" x14ac:dyDescent="0.25">
      <c r="B99" s="196" t="s">
        <v>250</v>
      </c>
      <c r="C99" s="197"/>
      <c r="D99" s="178"/>
      <c r="E99" s="121">
        <f>'[6]2016 JAM'!I275</f>
        <v>-1747577.94</v>
      </c>
    </row>
    <row r="100" spans="2:8" x14ac:dyDescent="0.25">
      <c r="B100" s="198"/>
      <c r="C100" s="197"/>
      <c r="D100" s="171"/>
      <c r="H100" s="121"/>
    </row>
  </sheetData>
  <mergeCells count="1">
    <mergeCell ref="A80:A82"/>
  </mergeCells>
  <pageMargins left="0.7" right="0.7" top="0.5" bottom="0.25" header="0.3" footer="0.3"/>
  <pageSetup scale="48" orientation="portrait" r:id="rId1"/>
  <headerFooter scaleWithDoc="0" alignWithMargins="0"/>
  <rowBreaks count="1" manualBreakCount="1">
    <brk id="5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topLeftCell="A22" workbookViewId="0">
      <selection activeCell="R15" sqref="R15"/>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61"/>
  <sheetViews>
    <sheetView topLeftCell="A16" zoomScaleNormal="100" zoomScaleSheetLayoutView="100" workbookViewId="0">
      <selection activeCell="I54" sqref="I54"/>
    </sheetView>
  </sheetViews>
  <sheetFormatPr defaultColWidth="10.6640625" defaultRowHeight="11.25" x14ac:dyDescent="0.2"/>
  <cols>
    <col min="1" max="1" width="5.83203125" style="206" customWidth="1"/>
    <col min="2" max="2" width="7.83203125" style="206" customWidth="1"/>
    <col min="3" max="3" width="35.83203125" style="206" customWidth="1"/>
    <col min="4" max="4" width="24.6640625" style="206" customWidth="1"/>
    <col min="5" max="9" width="17.83203125" style="206" customWidth="1"/>
    <col min="10" max="10" width="8.83203125" style="207" customWidth="1"/>
    <col min="11" max="11" width="8.83203125" style="206" customWidth="1"/>
    <col min="12" max="12" width="2.83203125" style="207" customWidth="1"/>
    <col min="13" max="13" width="15.83203125" style="206" bestFit="1" customWidth="1"/>
    <col min="14" max="14" width="11.1640625" style="206" bestFit="1" customWidth="1"/>
    <col min="15" max="16384" width="10.6640625" style="206"/>
  </cols>
  <sheetData>
    <row r="1" spans="1:12" ht="24" customHeight="1" x14ac:dyDescent="0.2">
      <c r="A1" s="199" t="s">
        <v>251</v>
      </c>
      <c r="B1" s="200" t="s">
        <v>252</v>
      </c>
      <c r="C1" s="201" t="s">
        <v>253</v>
      </c>
      <c r="D1" s="202" t="s">
        <v>254</v>
      </c>
      <c r="E1" s="199" t="str">
        <f>'[5]AA - Revenues'!E1</f>
        <v>3 Months Ended
March 31, 2016</v>
      </c>
      <c r="F1" s="199" t="str">
        <f>'[5]AA - Revenues'!F1</f>
        <v>3 Months Ended
June 30, 2016</v>
      </c>
      <c r="G1" s="199" t="str">
        <f>'[5]AA - Revenues'!G1</f>
        <v>3 Months Ended
Sept. 30, 2016</v>
      </c>
      <c r="H1" s="199" t="str">
        <f>'[5]AA - Revenues'!H1</f>
        <v>3 Months Ended
Dec. 31, 2016</v>
      </c>
      <c r="I1" s="203" t="s">
        <v>144</v>
      </c>
      <c r="J1" s="204" t="s">
        <v>255</v>
      </c>
      <c r="K1" s="205" t="s">
        <v>256</v>
      </c>
      <c r="L1" s="206"/>
    </row>
    <row r="2" spans="1:12" x14ac:dyDescent="0.2">
      <c r="A2" s="207"/>
      <c r="B2" s="208" t="s">
        <v>257</v>
      </c>
      <c r="D2" s="209" t="s">
        <v>258</v>
      </c>
      <c r="E2" s="88">
        <v>78336127.829999998</v>
      </c>
      <c r="F2" s="88">
        <v>80924097.410000011</v>
      </c>
      <c r="G2" s="88">
        <v>185906637.47999996</v>
      </c>
      <c r="H2" s="88">
        <f>I2-SUM(E2:G2)</f>
        <v>-11286520.679999948</v>
      </c>
      <c r="I2" s="88">
        <f>'[5]PacifiCorp YTD'!D31</f>
        <v>333880342.04000002</v>
      </c>
      <c r="J2" s="210"/>
      <c r="K2" s="88"/>
      <c r="L2" s="210"/>
    </row>
    <row r="3" spans="1:12" x14ac:dyDescent="0.2">
      <c r="A3" s="207"/>
      <c r="B3" s="207"/>
      <c r="C3" s="211"/>
      <c r="D3" s="211"/>
      <c r="E3" s="88"/>
      <c r="F3" s="88"/>
      <c r="G3" s="88"/>
      <c r="H3" s="88"/>
      <c r="I3" s="88"/>
      <c r="J3" s="212"/>
      <c r="K3" s="213"/>
      <c r="L3" s="212"/>
    </row>
    <row r="4" spans="1:12" x14ac:dyDescent="0.2">
      <c r="A4" s="207"/>
      <c r="B4" s="214" t="s">
        <v>259</v>
      </c>
      <c r="C4" s="211"/>
      <c r="D4" s="211"/>
      <c r="E4" s="88"/>
      <c r="F4" s="88"/>
      <c r="G4" s="88"/>
      <c r="H4" s="88"/>
      <c r="I4" s="88"/>
      <c r="K4" s="88"/>
    </row>
    <row r="5" spans="1:12" x14ac:dyDescent="0.2">
      <c r="A5" s="207"/>
      <c r="B5" s="215">
        <v>570007</v>
      </c>
      <c r="C5" s="211" t="s">
        <v>260</v>
      </c>
      <c r="D5" s="211"/>
      <c r="E5" s="88">
        <v>89169</v>
      </c>
      <c r="F5" s="88">
        <v>78665</v>
      </c>
      <c r="G5" s="88">
        <v>169440</v>
      </c>
      <c r="H5" s="88">
        <f>I5-SUM(E5:G5)</f>
        <v>-8142</v>
      </c>
      <c r="I5" s="88">
        <f>SUMIF('[5]F.01 SAP (PCORP)'!B:B,'CC- Taxes '!B5,'[5]F.01 SAP (PCORP)'!D:D)</f>
        <v>329132</v>
      </c>
      <c r="J5" s="216" t="s">
        <v>261</v>
      </c>
      <c r="K5" s="88" t="s">
        <v>262</v>
      </c>
      <c r="L5" s="217" t="s">
        <v>44</v>
      </c>
    </row>
    <row r="6" spans="1:12" x14ac:dyDescent="0.2">
      <c r="A6" s="207"/>
      <c r="B6" s="215">
        <v>570009</v>
      </c>
      <c r="C6" s="218" t="s">
        <v>263</v>
      </c>
      <c r="D6" s="218"/>
      <c r="E6" s="88">
        <v>-40418</v>
      </c>
      <c r="F6" s="88">
        <v>0</v>
      </c>
      <c r="G6" s="88">
        <v>-40418</v>
      </c>
      <c r="H6" s="88">
        <f t="shared" ref="H6:H17" si="0">I6-SUM(E6:G6)</f>
        <v>40418</v>
      </c>
      <c r="I6" s="88">
        <f>SUMIF('[5]F.01 SAP (PCORP)'!B:B,'CC- Taxes '!B6,'[5]F.01 SAP (PCORP)'!D:D)</f>
        <v>-40418</v>
      </c>
      <c r="J6" s="216" t="s">
        <v>261</v>
      </c>
      <c r="K6" s="88" t="s">
        <v>262</v>
      </c>
      <c r="L6" s="219"/>
    </row>
    <row r="7" spans="1:12" x14ac:dyDescent="0.2">
      <c r="A7" s="207"/>
      <c r="B7" s="215">
        <v>570017</v>
      </c>
      <c r="C7" s="211" t="s">
        <v>264</v>
      </c>
      <c r="D7" s="211"/>
      <c r="E7" s="88">
        <v>83891</v>
      </c>
      <c r="F7" s="88">
        <v>104192</v>
      </c>
      <c r="G7" s="88">
        <v>190209</v>
      </c>
      <c r="H7" s="88">
        <f t="shared" si="0"/>
        <v>23430</v>
      </c>
      <c r="I7" s="88">
        <f>SUMIF('[5]F.01 SAP (PCORP)'!B:B,'CC- Taxes '!B7,'[5]F.01 SAP (PCORP)'!D:D)</f>
        <v>401722</v>
      </c>
      <c r="J7" s="216" t="s">
        <v>261</v>
      </c>
      <c r="K7" s="88" t="s">
        <v>262</v>
      </c>
      <c r="L7" s="219"/>
    </row>
    <row r="8" spans="1:12" x14ac:dyDescent="0.2">
      <c r="A8" s="207"/>
      <c r="B8" s="215">
        <v>570019</v>
      </c>
      <c r="C8" s="218" t="s">
        <v>265</v>
      </c>
      <c r="D8" s="218"/>
      <c r="E8" s="88">
        <v>0</v>
      </c>
      <c r="F8" s="88">
        <v>0</v>
      </c>
      <c r="G8" s="88">
        <v>0</v>
      </c>
      <c r="H8" s="88">
        <f t="shared" si="0"/>
        <v>0</v>
      </c>
      <c r="I8" s="88">
        <f>SUMIF('[5]F.01 SAP (PCORP)'!B:B,'CC- Taxes '!B8,'[5]F.01 SAP (PCORP)'!D:D)</f>
        <v>0</v>
      </c>
      <c r="J8" s="216" t="s">
        <v>261</v>
      </c>
      <c r="K8" s="88" t="s">
        <v>262</v>
      </c>
      <c r="L8" s="219"/>
    </row>
    <row r="9" spans="1:12" x14ac:dyDescent="0.2">
      <c r="A9" s="207"/>
      <c r="B9" s="215">
        <v>575027</v>
      </c>
      <c r="C9" s="211" t="s">
        <v>266</v>
      </c>
      <c r="D9" s="211"/>
      <c r="E9" s="88">
        <v>19131</v>
      </c>
      <c r="F9" s="88">
        <v>16393</v>
      </c>
      <c r="G9" s="88">
        <v>35926</v>
      </c>
      <c r="H9" s="88">
        <f t="shared" si="0"/>
        <v>-2108</v>
      </c>
      <c r="I9" s="88">
        <f>SUMIF('[5]F.01 SAP (PCORP)'!B:B,'CC- Taxes '!B9,'[5]F.01 SAP (PCORP)'!D:D)</f>
        <v>69342</v>
      </c>
      <c r="J9" s="216" t="s">
        <v>261</v>
      </c>
      <c r="K9" s="88" t="s">
        <v>262</v>
      </c>
      <c r="L9" s="219"/>
    </row>
    <row r="10" spans="1:12" x14ac:dyDescent="0.2">
      <c r="A10" s="207"/>
      <c r="B10" s="215">
        <v>575037</v>
      </c>
      <c r="C10" s="211" t="s">
        <v>267</v>
      </c>
      <c r="D10" s="211"/>
      <c r="E10" s="88">
        <v>23902</v>
      </c>
      <c r="F10" s="88">
        <v>22175</v>
      </c>
      <c r="G10" s="88">
        <v>46621</v>
      </c>
      <c r="H10" s="88">
        <f t="shared" si="0"/>
        <v>-876</v>
      </c>
      <c r="I10" s="88">
        <f>SUMIF('[5]F.01 SAP (PCORP)'!B:B,'CC- Taxes '!B10,'[5]F.01 SAP (PCORP)'!D:D)</f>
        <v>91822</v>
      </c>
      <c r="J10" s="216" t="s">
        <v>261</v>
      </c>
      <c r="K10" s="88" t="s">
        <v>262</v>
      </c>
      <c r="L10" s="219"/>
    </row>
    <row r="11" spans="1:12" x14ac:dyDescent="0.2">
      <c r="A11" s="207"/>
      <c r="B11" s="215">
        <v>570047</v>
      </c>
      <c r="C11" s="218" t="s">
        <v>268</v>
      </c>
      <c r="D11" s="218"/>
      <c r="E11" s="88">
        <v>0</v>
      </c>
      <c r="F11" s="88">
        <v>0</v>
      </c>
      <c r="G11" s="88">
        <v>0</v>
      </c>
      <c r="H11" s="88">
        <f t="shared" si="0"/>
        <v>0</v>
      </c>
      <c r="I11" s="88">
        <f>SUMIF('[5]F.01 SAP (PCORP)'!B:B,'CC- Taxes '!B11,'[5]F.01 SAP (PCORP)'!D:D)</f>
        <v>0</v>
      </c>
      <c r="J11" s="216" t="s">
        <v>261</v>
      </c>
      <c r="K11" s="88" t="s">
        <v>262</v>
      </c>
      <c r="L11" s="219"/>
    </row>
    <row r="12" spans="1:12" x14ac:dyDescent="0.2">
      <c r="A12" s="207"/>
      <c r="B12" s="215">
        <v>570049</v>
      </c>
      <c r="C12" s="211" t="s">
        <v>269</v>
      </c>
      <c r="D12" s="211"/>
      <c r="E12" s="88">
        <v>0</v>
      </c>
      <c r="F12" s="88">
        <v>-838360</v>
      </c>
      <c r="G12" s="88">
        <v>0</v>
      </c>
      <c r="H12" s="88">
        <f t="shared" si="0"/>
        <v>0</v>
      </c>
      <c r="I12" s="88">
        <f>SUMIF('[5]F.01 SAP (PCORP)'!B:B,'CC- Taxes '!B12,'[5]F.01 SAP (PCORP)'!D:D)</f>
        <v>-838360</v>
      </c>
      <c r="J12" s="216" t="s">
        <v>261</v>
      </c>
      <c r="K12" s="88" t="s">
        <v>262</v>
      </c>
      <c r="L12" s="219"/>
    </row>
    <row r="13" spans="1:12" x14ac:dyDescent="0.2">
      <c r="A13" s="207"/>
      <c r="B13" s="215">
        <v>575057</v>
      </c>
      <c r="C13" s="218" t="s">
        <v>270</v>
      </c>
      <c r="D13" s="218"/>
      <c r="E13" s="88">
        <v>0</v>
      </c>
      <c r="F13" s="88">
        <v>0</v>
      </c>
      <c r="G13" s="88">
        <v>33658.699999999997</v>
      </c>
      <c r="H13" s="88">
        <f t="shared" si="0"/>
        <v>0</v>
      </c>
      <c r="I13" s="88">
        <f>SUMIF('[5]F.01 SAP (PCORP)'!B:B,'CC- Taxes '!B13,'[5]F.01 SAP (PCORP)'!D:D)</f>
        <v>33658.699999999997</v>
      </c>
      <c r="J13" s="216" t="s">
        <v>261</v>
      </c>
      <c r="K13" s="88" t="s">
        <v>262</v>
      </c>
      <c r="L13" s="219"/>
    </row>
    <row r="14" spans="1:12" x14ac:dyDescent="0.2">
      <c r="A14" s="207"/>
      <c r="B14" s="220">
        <v>575059</v>
      </c>
      <c r="C14" s="221" t="s">
        <v>271</v>
      </c>
      <c r="D14" s="218"/>
      <c r="E14" s="88">
        <v>0</v>
      </c>
      <c r="F14" s="88">
        <v>-154970.07</v>
      </c>
      <c r="G14" s="88">
        <v>-33658.699999999983</v>
      </c>
      <c r="H14" s="88">
        <f t="shared" si="0"/>
        <v>0</v>
      </c>
      <c r="I14" s="88">
        <f>SUMIF('[5]F.01 SAP (PCORP)'!B:B,'CC- Taxes '!B14,'[5]F.01 SAP (PCORP)'!D:D)</f>
        <v>-188628.77</v>
      </c>
      <c r="J14" s="216" t="s">
        <v>261</v>
      </c>
      <c r="K14" s="88" t="s">
        <v>262</v>
      </c>
      <c r="L14" s="219"/>
    </row>
    <row r="15" spans="1:12" x14ac:dyDescent="0.2">
      <c r="A15" s="207"/>
      <c r="B15" s="215">
        <v>570067</v>
      </c>
      <c r="C15" s="218" t="s">
        <v>272</v>
      </c>
      <c r="D15" s="218"/>
      <c r="E15" s="88">
        <v>0</v>
      </c>
      <c r="F15" s="88">
        <v>0</v>
      </c>
      <c r="G15" s="88">
        <v>0</v>
      </c>
      <c r="H15" s="88">
        <f t="shared" si="0"/>
        <v>0</v>
      </c>
      <c r="I15" s="88">
        <f>SUMIF('[5]F.01 SAP (PCORP)'!B:B,'CC- Taxes '!B15,'[5]F.01 SAP (PCORP)'!D:D)</f>
        <v>0</v>
      </c>
      <c r="J15" s="216" t="s">
        <v>261</v>
      </c>
      <c r="K15" s="88" t="s">
        <v>262</v>
      </c>
      <c r="L15" s="219"/>
    </row>
    <row r="16" spans="1:12" x14ac:dyDescent="0.2">
      <c r="A16" s="207"/>
      <c r="B16" s="215">
        <v>575029</v>
      </c>
      <c r="C16" s="218" t="s">
        <v>273</v>
      </c>
      <c r="D16" s="218"/>
      <c r="E16" s="88">
        <v>-5243</v>
      </c>
      <c r="F16" s="88">
        <v>0</v>
      </c>
      <c r="G16" s="88">
        <v>-5243</v>
      </c>
      <c r="H16" s="88">
        <f t="shared" si="0"/>
        <v>5243</v>
      </c>
      <c r="I16" s="88">
        <f>SUMIF('[5]F.01 SAP (PCORP)'!B:B,'CC- Taxes '!B16,'[5]F.01 SAP (PCORP)'!D:D)</f>
        <v>-5243</v>
      </c>
      <c r="J16" s="216" t="s">
        <v>261</v>
      </c>
      <c r="K16" s="88" t="s">
        <v>262</v>
      </c>
      <c r="L16" s="219"/>
    </row>
    <row r="17" spans="1:13" x14ac:dyDescent="0.2">
      <c r="A17" s="207"/>
      <c r="B17" s="215">
        <v>575039</v>
      </c>
      <c r="C17" s="222" t="s">
        <v>274</v>
      </c>
      <c r="D17" s="218"/>
      <c r="E17" s="88">
        <f t="shared" ref="E17" si="1">I17</f>
        <v>0</v>
      </c>
      <c r="F17" s="88">
        <v>0</v>
      </c>
      <c r="G17" s="88">
        <v>0</v>
      </c>
      <c r="H17" s="88">
        <f t="shared" si="0"/>
        <v>0</v>
      </c>
      <c r="I17" s="88">
        <f>SUMIF('[5]F.01 SAP (PCORP)'!B:B,'CC- Taxes '!B17,'[5]F.01 SAP (PCORP)'!D:D)</f>
        <v>0</v>
      </c>
      <c r="J17" s="216" t="s">
        <v>261</v>
      </c>
      <c r="K17" s="88" t="s">
        <v>262</v>
      </c>
      <c r="L17" s="219"/>
    </row>
    <row r="18" spans="1:13" x14ac:dyDescent="0.2">
      <c r="A18" s="207"/>
      <c r="B18" s="223"/>
      <c r="C18" s="218"/>
      <c r="D18" s="218"/>
      <c r="E18" s="88"/>
      <c r="F18" s="224"/>
      <c r="G18" s="88"/>
      <c r="H18" s="88"/>
      <c r="I18" s="88"/>
      <c r="J18" s="219"/>
      <c r="K18" s="88"/>
      <c r="L18" s="219"/>
    </row>
    <row r="19" spans="1:13" x14ac:dyDescent="0.2">
      <c r="A19" s="207"/>
      <c r="B19" s="214" t="s">
        <v>275</v>
      </c>
      <c r="E19" s="90">
        <f>-SUM(E5:E17)</f>
        <v>-170432</v>
      </c>
      <c r="F19" s="90">
        <f>-SUM(F5:F17)</f>
        <v>771905.07000000007</v>
      </c>
      <c r="G19" s="90">
        <f>-SUM(G5:G17)</f>
        <v>-396535</v>
      </c>
      <c r="H19" s="90">
        <f>-SUM(H5:H17)</f>
        <v>-57965</v>
      </c>
      <c r="I19" s="90">
        <f>-SUM(I5:I17)</f>
        <v>146973.07</v>
      </c>
      <c r="K19" s="88"/>
    </row>
    <row r="20" spans="1:13" x14ac:dyDescent="0.2">
      <c r="A20" s="207"/>
      <c r="E20" s="225"/>
      <c r="F20" s="225"/>
      <c r="G20" s="225"/>
      <c r="H20" s="225"/>
      <c r="I20" s="225"/>
      <c r="K20" s="88"/>
    </row>
    <row r="21" spans="1:13" x14ac:dyDescent="0.2">
      <c r="A21" s="207"/>
      <c r="B21" s="214" t="s">
        <v>276</v>
      </c>
      <c r="E21" s="226">
        <f>E19+E2</f>
        <v>78165695.829999998</v>
      </c>
      <c r="F21" s="226">
        <f>F19+F2</f>
        <v>81696002.480000004</v>
      </c>
      <c r="G21" s="226">
        <f>G19+G2</f>
        <v>185510102.47999996</v>
      </c>
      <c r="H21" s="226">
        <f>H19+H2</f>
        <v>-11344485.679999948</v>
      </c>
      <c r="I21" s="226">
        <f>I19+I2</f>
        <v>334027315.11000001</v>
      </c>
      <c r="K21" s="88"/>
    </row>
    <row r="22" spans="1:13" x14ac:dyDescent="0.2">
      <c r="A22" s="207"/>
      <c r="C22" s="88"/>
      <c r="D22" s="88"/>
      <c r="E22" s="88"/>
      <c r="F22" s="88"/>
      <c r="G22" s="88"/>
      <c r="H22" s="88"/>
      <c r="I22" s="88"/>
      <c r="K22" s="88"/>
    </row>
    <row r="23" spans="1:13" x14ac:dyDescent="0.2">
      <c r="A23" s="207"/>
      <c r="B23" s="227" t="s">
        <v>277</v>
      </c>
      <c r="E23" s="88"/>
      <c r="F23" s="88"/>
      <c r="G23" s="88"/>
      <c r="H23" s="88"/>
      <c r="I23" s="88"/>
      <c r="J23" s="228"/>
      <c r="K23" s="88"/>
      <c r="L23" s="228"/>
      <c r="M23" s="229"/>
    </row>
    <row r="24" spans="1:13" x14ac:dyDescent="0.2">
      <c r="A24" s="207"/>
      <c r="B24" s="230" t="s">
        <v>59</v>
      </c>
      <c r="E24" s="88">
        <v>72362645.920000002</v>
      </c>
      <c r="F24" s="88">
        <v>45501290.679999992</v>
      </c>
      <c r="G24" s="88">
        <v>154243414.31999999</v>
      </c>
      <c r="H24" s="88">
        <f>I24-SUM(E24:G24)</f>
        <v>-72656278.569999963</v>
      </c>
      <c r="I24" s="83">
        <f>SUMIFS('[5]FERC Financials'!B:B,'[5]FERC Financials'!A:A,'CC- Taxes '!B24)</f>
        <v>199451072.34999999</v>
      </c>
      <c r="K24" s="88"/>
      <c r="M24" s="104"/>
    </row>
    <row r="25" spans="1:13" x14ac:dyDescent="0.2">
      <c r="A25" s="207"/>
      <c r="B25" s="230" t="s">
        <v>61</v>
      </c>
      <c r="E25" s="88">
        <v>11697369.01</v>
      </c>
      <c r="F25" s="88">
        <v>8091391.7299999986</v>
      </c>
      <c r="G25" s="88">
        <v>25994289.380000003</v>
      </c>
      <c r="H25" s="88">
        <f t="shared" ref="H25:H34" si="2">I25-SUM(E25:G25)</f>
        <v>-9020630.2900000066</v>
      </c>
      <c r="I25" s="83">
        <f>SUMIFS('[5]FERC Financials'!B:B,'[5]FERC Financials'!A:A,'CC- Taxes '!B25)</f>
        <v>36762419.829999998</v>
      </c>
      <c r="K25" s="88"/>
      <c r="M25" s="104"/>
    </row>
    <row r="26" spans="1:13" x14ac:dyDescent="0.2">
      <c r="A26" s="207"/>
      <c r="B26" s="230" t="s">
        <v>62</v>
      </c>
      <c r="E26" s="88">
        <v>112828870.79000001</v>
      </c>
      <c r="F26" s="88">
        <v>196920945.94</v>
      </c>
      <c r="G26" s="88">
        <v>282562580.25999999</v>
      </c>
      <c r="H26" s="88">
        <f t="shared" si="2"/>
        <v>157463541.68999994</v>
      </c>
      <c r="I26" s="83">
        <f>SUMIFS('[5]FERC Financials'!B:B,'[5]FERC Financials'!A:A,'CC- Taxes '!B26)</f>
        <v>749775938.67999995</v>
      </c>
      <c r="J26" s="228"/>
      <c r="K26" s="88"/>
      <c r="L26" s="228"/>
      <c r="M26" s="231"/>
    </row>
    <row r="27" spans="1:13" x14ac:dyDescent="0.2">
      <c r="A27" s="207"/>
      <c r="B27" s="230" t="s">
        <v>63</v>
      </c>
      <c r="E27" s="88">
        <v>-118061390.38</v>
      </c>
      <c r="F27" s="88">
        <v>-168736715.19999999</v>
      </c>
      <c r="G27" s="88">
        <v>-273728858.19</v>
      </c>
      <c r="H27" s="88">
        <f t="shared" si="2"/>
        <v>-85065951.629999995</v>
      </c>
      <c r="I27" s="83">
        <f>-SUMIFS('[5]FERC Financials'!B:B,'[5]FERC Financials'!A:A,'CC- Taxes '!B27)</f>
        <v>-645592915.39999998</v>
      </c>
      <c r="K27" s="88"/>
      <c r="M27" s="104"/>
    </row>
    <row r="28" spans="1:13" x14ac:dyDescent="0.2">
      <c r="A28" s="207"/>
      <c r="B28" s="230" t="s">
        <v>64</v>
      </c>
      <c r="E28" s="88">
        <v>-1085350.27</v>
      </c>
      <c r="F28" s="88">
        <v>-1085350.2599999998</v>
      </c>
      <c r="G28" s="88">
        <v>-2170700.5300000003</v>
      </c>
      <c r="H28" s="88">
        <f t="shared" si="2"/>
        <v>0</v>
      </c>
      <c r="I28" s="83">
        <f>SUMIFS('[5]FERC Financials'!B:B,'[5]FERC Financials'!A:A,'CC- Taxes '!B28)</f>
        <v>-4341401.0599999996</v>
      </c>
      <c r="K28" s="88"/>
      <c r="M28" s="104"/>
    </row>
    <row r="29" spans="1:13" x14ac:dyDescent="0.2">
      <c r="A29" s="207"/>
      <c r="B29" s="230" t="s">
        <v>90</v>
      </c>
      <c r="E29" s="88">
        <v>507025.68</v>
      </c>
      <c r="F29" s="88">
        <v>-39921141.149999999</v>
      </c>
      <c r="G29" s="88">
        <v>-1046807.8599999994</v>
      </c>
      <c r="H29" s="88">
        <f t="shared" si="2"/>
        <v>-1142479.2600000054</v>
      </c>
      <c r="I29" s="83">
        <f>SUMIFS('[5]FERC Financials'!B:B,'[5]FERC Financials'!A:A,'CC- Taxes '!B29)</f>
        <v>-41603402.590000004</v>
      </c>
      <c r="K29" s="88"/>
      <c r="M29" s="104"/>
    </row>
    <row r="30" spans="1:13" x14ac:dyDescent="0.2">
      <c r="A30" s="207"/>
      <c r="B30" s="230" t="s">
        <v>91</v>
      </c>
      <c r="E30" s="88">
        <v>68896.350000000006</v>
      </c>
      <c r="F30" s="88">
        <v>-5424620.04</v>
      </c>
      <c r="G30" s="88">
        <v>-142243.83999999985</v>
      </c>
      <c r="H30" s="88">
        <f t="shared" si="2"/>
        <v>-155243.87000000011</v>
      </c>
      <c r="I30" s="83">
        <f>SUMIFS('[5]FERC Financials'!B:B,'[5]FERC Financials'!A:A,'CC- Taxes '!B30)</f>
        <v>-5653211.4000000004</v>
      </c>
      <c r="K30" s="88"/>
      <c r="M30" s="104"/>
    </row>
    <row r="31" spans="1:13" x14ac:dyDescent="0.2">
      <c r="A31" s="207"/>
      <c r="B31" s="230" t="s">
        <v>92</v>
      </c>
      <c r="E31" s="88">
        <v>35354811.549999997</v>
      </c>
      <c r="F31" s="88">
        <v>75780082.150000006</v>
      </c>
      <c r="G31" s="88">
        <v>51565927.799999997</v>
      </c>
      <c r="H31" s="88">
        <f t="shared" si="2"/>
        <v>-13885323.020000011</v>
      </c>
      <c r="I31" s="83">
        <f>SUMIFS('[5]FERC Financials'!B:B,'[5]FERC Financials'!A:A,'CC- Taxes '!B31)</f>
        <v>148815498.47999999</v>
      </c>
      <c r="K31" s="88"/>
      <c r="M31" s="104"/>
    </row>
    <row r="32" spans="1:13" x14ac:dyDescent="0.2">
      <c r="A32" s="207"/>
      <c r="B32" s="230" t="s">
        <v>93</v>
      </c>
      <c r="E32" s="88">
        <v>-35454428.890000001</v>
      </c>
      <c r="F32" s="88">
        <v>-29377142.450000003</v>
      </c>
      <c r="G32" s="88">
        <v>-51662006.019999996</v>
      </c>
      <c r="H32" s="88">
        <f t="shared" si="2"/>
        <v>13218361.799999997</v>
      </c>
      <c r="I32" s="83">
        <f>-SUMIFS('[5]FERC Financials'!B:B,'[5]FERC Financials'!A:A,'CC- Taxes '!B32)</f>
        <v>-103275215.56</v>
      </c>
      <c r="K32" s="88"/>
      <c r="M32" s="104"/>
    </row>
    <row r="33" spans="1:13" x14ac:dyDescent="0.2">
      <c r="A33" s="207"/>
      <c r="B33" s="230" t="s">
        <v>94</v>
      </c>
      <c r="E33" s="88">
        <v>0</v>
      </c>
      <c r="F33" s="88">
        <v>0</v>
      </c>
      <c r="G33" s="88">
        <v>0</v>
      </c>
      <c r="H33" s="88">
        <f t="shared" si="2"/>
        <v>0</v>
      </c>
      <c r="I33" s="83">
        <f>SUMIFS('[5]FERC Financials'!B:B,'[5]FERC Financials'!A:A,'CC- Taxes '!B33)</f>
        <v>0</v>
      </c>
      <c r="K33" s="88"/>
      <c r="M33" s="104"/>
    </row>
    <row r="34" spans="1:13" x14ac:dyDescent="0.2">
      <c r="A34" s="207"/>
      <c r="B34" s="230" t="s">
        <v>95</v>
      </c>
      <c r="E34" s="88">
        <v>-52753.93</v>
      </c>
      <c r="F34" s="88">
        <v>-52738.920000000006</v>
      </c>
      <c r="G34" s="88">
        <v>-105492.84</v>
      </c>
      <c r="H34" s="88">
        <f t="shared" si="2"/>
        <v>-100482.52999999997</v>
      </c>
      <c r="I34" s="83">
        <f>-SUMIFS('[5]FERC Financials'!B:B,'[5]FERC Financials'!A:A,'CC- Taxes '!B34)</f>
        <v>-311468.21999999997</v>
      </c>
      <c r="K34" s="88"/>
      <c r="M34" s="104"/>
    </row>
    <row r="35" spans="1:13" x14ac:dyDescent="0.2">
      <c r="A35" s="207"/>
      <c r="K35" s="88"/>
      <c r="M35" s="104"/>
    </row>
    <row r="36" spans="1:13" x14ac:dyDescent="0.2">
      <c r="B36" s="232" t="s">
        <v>144</v>
      </c>
      <c r="E36" s="90">
        <f>SUM(E24:E34)</f>
        <v>78165695.830000028</v>
      </c>
      <c r="F36" s="90">
        <f>SUM(F24:F34)</f>
        <v>81696002.480000004</v>
      </c>
      <c r="G36" s="90">
        <f>SUM(G24:G34)</f>
        <v>185510102.47999999</v>
      </c>
      <c r="H36" s="90">
        <f>SUM(H24:H34)</f>
        <v>-11344485.680000046</v>
      </c>
      <c r="I36" s="90">
        <f>SUM(I24:I34)</f>
        <v>334027315.10999995</v>
      </c>
      <c r="K36" s="88"/>
      <c r="M36" s="83"/>
    </row>
    <row r="37" spans="1:13" x14ac:dyDescent="0.2">
      <c r="E37" s="88"/>
      <c r="F37" s="88"/>
      <c r="G37" s="88"/>
      <c r="H37" s="88"/>
      <c r="I37" s="88"/>
      <c r="J37" s="228"/>
      <c r="K37" s="88"/>
      <c r="L37" s="228"/>
      <c r="M37" s="229"/>
    </row>
    <row r="38" spans="1:13" ht="12" thickBot="1" x14ac:dyDescent="0.25">
      <c r="B38" s="214" t="s">
        <v>278</v>
      </c>
      <c r="C38" s="233"/>
      <c r="D38" s="233"/>
      <c r="E38" s="234">
        <f>+E21-E36</f>
        <v>0</v>
      </c>
      <c r="F38" s="234">
        <f>+F21-F36</f>
        <v>0</v>
      </c>
      <c r="G38" s="234">
        <f>+G21-G36</f>
        <v>0</v>
      </c>
      <c r="H38" s="235">
        <f>+H21-H36</f>
        <v>9.8720192909240723E-8</v>
      </c>
      <c r="I38" s="234">
        <f>+I21-I36</f>
        <v>0</v>
      </c>
      <c r="J38" s="219"/>
      <c r="K38" s="88"/>
      <c r="L38" s="219"/>
    </row>
    <row r="39" spans="1:13" ht="12" thickTop="1" x14ac:dyDescent="0.2">
      <c r="E39" s="88"/>
      <c r="F39" s="104"/>
      <c r="G39" s="88"/>
      <c r="H39" s="88"/>
      <c r="I39" s="88"/>
      <c r="K39" s="88"/>
    </row>
    <row r="40" spans="1:13" x14ac:dyDescent="0.2">
      <c r="D40" s="236"/>
      <c r="F40" s="237"/>
      <c r="H40" s="238" t="s">
        <v>279</v>
      </c>
      <c r="I40" s="88">
        <f>SUM(I5:I17)</f>
        <v>-146973.07</v>
      </c>
      <c r="J40" s="239" t="s">
        <v>44</v>
      </c>
    </row>
    <row r="41" spans="1:13" x14ac:dyDescent="0.2">
      <c r="A41" s="240"/>
      <c r="B41" s="240"/>
      <c r="C41" s="240"/>
      <c r="D41" s="241"/>
      <c r="E41" s="240"/>
      <c r="F41" s="242"/>
      <c r="G41" s="240"/>
      <c r="H41" s="240"/>
      <c r="I41" s="243"/>
      <c r="J41" s="244"/>
      <c r="K41" s="240"/>
    </row>
    <row r="42" spans="1:13" x14ac:dyDescent="0.2">
      <c r="D42" s="236"/>
      <c r="F42" s="237"/>
      <c r="H42" s="237"/>
      <c r="I42" s="245"/>
      <c r="J42" s="246"/>
      <c r="K42" s="88"/>
    </row>
    <row r="43" spans="1:13" x14ac:dyDescent="0.2">
      <c r="B43" s="246" t="s">
        <v>280</v>
      </c>
      <c r="D43" s="247" t="s">
        <v>281</v>
      </c>
      <c r="E43" s="88">
        <v>48042542.460000001</v>
      </c>
      <c r="F43" s="88">
        <v>46312341.720000006</v>
      </c>
      <c r="G43" s="88">
        <v>94652543.949999988</v>
      </c>
      <c r="H43" s="88">
        <f>I43-SUM(E43:G43)</f>
        <v>625106.62000000477</v>
      </c>
      <c r="I43" s="88">
        <f>'[5]PacifiCorp YTD'!D16</f>
        <v>189632534.75</v>
      </c>
      <c r="J43" s="248"/>
      <c r="K43" s="88"/>
    </row>
    <row r="44" spans="1:13" x14ac:dyDescent="0.2">
      <c r="E44" s="88"/>
      <c r="F44" s="88"/>
      <c r="G44" s="88"/>
      <c r="H44" s="88"/>
      <c r="I44" s="88"/>
    </row>
    <row r="45" spans="1:13" x14ac:dyDescent="0.2">
      <c r="B45" s="214" t="s">
        <v>282</v>
      </c>
      <c r="E45" s="88"/>
      <c r="F45" s="88"/>
      <c r="G45" s="88"/>
      <c r="H45" s="88"/>
      <c r="I45" s="88"/>
    </row>
    <row r="46" spans="1:13" x14ac:dyDescent="0.2">
      <c r="B46" s="249">
        <v>583900</v>
      </c>
      <c r="C46" s="206" t="s">
        <v>283</v>
      </c>
      <c r="E46" s="83">
        <v>86371.07</v>
      </c>
      <c r="F46" s="88">
        <v>63072.06</v>
      </c>
      <c r="G46" s="88">
        <v>148392.32000000001</v>
      </c>
      <c r="H46" s="88">
        <f>I46-SUM(E46:G46)</f>
        <v>-16936.080000000016</v>
      </c>
      <c r="I46" s="88">
        <f>SUMIF('[5]F.01 SAP (PCORP)'!B:B,'CC- Taxes '!B46,'[5]F.01 SAP (PCORP)'!D:D)</f>
        <v>280899.37</v>
      </c>
      <c r="J46" s="250" t="str">
        <f>[5]notes!A19</f>
        <v>(8)</v>
      </c>
      <c r="K46" s="206" t="s">
        <v>156</v>
      </c>
    </row>
    <row r="47" spans="1:13" x14ac:dyDescent="0.2">
      <c r="B47" s="249"/>
      <c r="E47" s="83"/>
      <c r="F47" s="83"/>
      <c r="G47" s="83"/>
      <c r="H47" s="83"/>
      <c r="I47" s="88"/>
      <c r="J47" s="216"/>
    </row>
    <row r="48" spans="1:13" x14ac:dyDescent="0.2">
      <c r="B48" s="214" t="s">
        <v>275</v>
      </c>
      <c r="E48" s="90">
        <f>SUM(E46:E46)</f>
        <v>86371.07</v>
      </c>
      <c r="F48" s="90">
        <f>SUM(F46:F46)</f>
        <v>63072.06</v>
      </c>
      <c r="G48" s="90">
        <f>SUM(G46:G46)</f>
        <v>148392.32000000001</v>
      </c>
      <c r="H48" s="90">
        <f>SUM(H46:H46)</f>
        <v>-16936.080000000016</v>
      </c>
      <c r="I48" s="90">
        <f>SUM(I46:I46)</f>
        <v>280899.37</v>
      </c>
      <c r="J48" s="216"/>
    </row>
    <row r="49" spans="2:12" x14ac:dyDescent="0.2">
      <c r="E49" s="88"/>
      <c r="F49" s="88"/>
      <c r="G49" s="88"/>
      <c r="H49" s="88"/>
      <c r="I49" s="88"/>
      <c r="J49" s="216"/>
    </row>
    <row r="50" spans="2:12" x14ac:dyDescent="0.2">
      <c r="B50" s="214" t="s">
        <v>276</v>
      </c>
      <c r="E50" s="226">
        <f>E48+E43</f>
        <v>48128913.530000001</v>
      </c>
      <c r="F50" s="226">
        <f>F48+F43</f>
        <v>46375413.780000009</v>
      </c>
      <c r="G50" s="226">
        <f>G48+G43</f>
        <v>94800936.269999981</v>
      </c>
      <c r="H50" s="226">
        <f>H48+H43</f>
        <v>608170.54000000469</v>
      </c>
      <c r="I50" s="226">
        <f>I48+I43</f>
        <v>189913434.12</v>
      </c>
      <c r="J50" s="251"/>
      <c r="K50" s="229"/>
    </row>
    <row r="51" spans="2:12" x14ac:dyDescent="0.2">
      <c r="B51" s="214"/>
      <c r="E51" s="83"/>
      <c r="F51" s="83"/>
      <c r="G51" s="83"/>
      <c r="H51" s="83"/>
      <c r="I51" s="83"/>
      <c r="J51" s="251"/>
      <c r="K51" s="229"/>
    </row>
    <row r="52" spans="2:12" x14ac:dyDescent="0.2">
      <c r="B52" s="227" t="s">
        <v>277</v>
      </c>
      <c r="E52" s="83"/>
      <c r="F52" s="83"/>
      <c r="G52" s="83"/>
      <c r="H52" s="83"/>
      <c r="I52" s="83"/>
      <c r="J52" s="251"/>
      <c r="K52" s="229"/>
    </row>
    <row r="53" spans="2:12" x14ac:dyDescent="0.2">
      <c r="B53" s="230" t="s">
        <v>284</v>
      </c>
      <c r="E53" s="83">
        <v>48042542.460000001</v>
      </c>
      <c r="F53" s="88">
        <v>46312341.720000006</v>
      </c>
      <c r="G53" s="88">
        <v>94652543.949999988</v>
      </c>
      <c r="H53" s="88">
        <f>I53-SUM(E53:G53)</f>
        <v>625106.62000000477</v>
      </c>
      <c r="I53" s="83">
        <f>SUMIFS('[5]FERC Financials'!B:B,'[5]FERC Financials'!A:A,'CC- Taxes '!B53)</f>
        <v>189632534.75</v>
      </c>
    </row>
    <row r="54" spans="2:12" x14ac:dyDescent="0.2">
      <c r="B54" s="206" t="s">
        <v>89</v>
      </c>
      <c r="E54" s="83">
        <v>86371.07</v>
      </c>
      <c r="F54" s="88">
        <v>63072.06</v>
      </c>
      <c r="G54" s="88">
        <v>148392.32000000001</v>
      </c>
      <c r="H54" s="88">
        <f>I54-SUM(E54:G54)</f>
        <v>-16936.080000000016</v>
      </c>
      <c r="I54" s="83">
        <f>SUMIFS('[5]FERC Financials'!B:B,'[5]FERC Financials'!A:A,'CC- Taxes '!B54)</f>
        <v>280899.37</v>
      </c>
    </row>
    <row r="55" spans="2:12" x14ac:dyDescent="0.2">
      <c r="E55" s="83"/>
      <c r="F55" s="88"/>
      <c r="G55" s="88"/>
      <c r="H55" s="88"/>
      <c r="I55" s="83"/>
    </row>
    <row r="56" spans="2:12" x14ac:dyDescent="0.2">
      <c r="B56" s="206" t="s">
        <v>144</v>
      </c>
      <c r="E56" s="90">
        <f>SUM(E53:E54)</f>
        <v>48128913.530000001</v>
      </c>
      <c r="F56" s="90">
        <f>SUM(F53:F54)</f>
        <v>46375413.780000009</v>
      </c>
      <c r="G56" s="90">
        <f>SUM(G53:G54)</f>
        <v>94800936.269999981</v>
      </c>
      <c r="H56" s="90">
        <f>SUM(H53:H54)</f>
        <v>608170.54000000469</v>
      </c>
      <c r="I56" s="90">
        <f>SUM(I53:I54)</f>
        <v>189913434.12</v>
      </c>
    </row>
    <row r="57" spans="2:12" x14ac:dyDescent="0.2">
      <c r="B57" s="232"/>
      <c r="E57" s="88"/>
      <c r="F57" s="88"/>
      <c r="G57" s="88"/>
      <c r="H57" s="88"/>
      <c r="I57" s="88"/>
    </row>
    <row r="58" spans="2:12" ht="12" thickBot="1" x14ac:dyDescent="0.25">
      <c r="B58" s="99" t="s">
        <v>278</v>
      </c>
      <c r="E58" s="234">
        <f>E50-E56</f>
        <v>0</v>
      </c>
      <c r="F58" s="234">
        <f>F50-F56</f>
        <v>0</v>
      </c>
      <c r="G58" s="234">
        <f>G50-G56</f>
        <v>0</v>
      </c>
      <c r="H58" s="234">
        <f>H50-H56</f>
        <v>0</v>
      </c>
      <c r="I58" s="234">
        <f>I50-I56</f>
        <v>0</v>
      </c>
    </row>
    <row r="59" spans="2:12" ht="12" thickTop="1" x14ac:dyDescent="0.2">
      <c r="J59" s="206"/>
      <c r="L59" s="206"/>
    </row>
    <row r="61" spans="2:12" x14ac:dyDescent="0.2">
      <c r="J61" s="206"/>
      <c r="L61" s="206"/>
    </row>
  </sheetData>
  <hyperlinks>
    <hyperlink ref="J5" location="notes!A21" display="notes!A21"/>
    <hyperlink ref="J6:J17" location="notes!A21" display="notes!A21"/>
    <hyperlink ref="J14" location="notes!A21" display="notes!A21"/>
  </hyperlinks>
  <pageMargins left="0.25" right="0.25" top="0.26" bottom="0.4" header="0.17" footer="0.17"/>
  <pageSetup scale="74" orientation="landscape" r:id="rId1"/>
  <headerFooter alignWithMargins="0">
    <oddFooter>&amp;L&amp;6&amp;F&amp;C&amp;8&amp;A&amp;R&amp;8Printed/Tied-out: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33"/>
  <sheetViews>
    <sheetView zoomScaleNormal="100" zoomScaleSheetLayoutView="100" workbookViewId="0">
      <selection activeCell="H25" sqref="H25"/>
    </sheetView>
  </sheetViews>
  <sheetFormatPr defaultRowHeight="11.25" x14ac:dyDescent="0.2"/>
  <cols>
    <col min="1" max="1" width="5.83203125" style="256" customWidth="1"/>
    <col min="2" max="2" width="7.83203125" style="290" customWidth="1"/>
    <col min="3" max="3" width="35.83203125" style="256" customWidth="1"/>
    <col min="4" max="4" width="24.83203125" style="256" customWidth="1"/>
    <col min="5" max="5" width="17.83203125" style="256" customWidth="1"/>
    <col min="6" max="8" width="17.83203125" style="310" customWidth="1"/>
    <col min="9" max="9" width="15.83203125" style="295" customWidth="1"/>
    <col min="10" max="10" width="8.83203125" style="296" customWidth="1"/>
    <col min="11" max="11" width="8.83203125" style="290" customWidth="1"/>
    <col min="12" max="12" width="3.1640625" style="256" customWidth="1"/>
    <col min="13" max="13" width="7.83203125" style="256" customWidth="1"/>
    <col min="14" max="14" width="15.83203125" style="256" bestFit="1" customWidth="1"/>
    <col min="15" max="15" width="17" style="256" bestFit="1" customWidth="1"/>
    <col min="16" max="16384" width="9.33203125" style="256"/>
  </cols>
  <sheetData>
    <row r="1" spans="1:12" s="206" customFormat="1" ht="24" customHeight="1" x14ac:dyDescent="0.2">
      <c r="A1" s="199" t="s">
        <v>251</v>
      </c>
      <c r="B1" s="200" t="s">
        <v>252</v>
      </c>
      <c r="C1" s="201" t="s">
        <v>253</v>
      </c>
      <c r="D1" s="202" t="s">
        <v>254</v>
      </c>
      <c r="E1" s="199" t="str">
        <f>'[5]AA - Revenues'!E1</f>
        <v>3 Months Ended
March 31, 2016</v>
      </c>
      <c r="F1" s="199" t="str">
        <f>'[5]AA - Revenues'!F1</f>
        <v>3 Months Ended
June 30, 2016</v>
      </c>
      <c r="G1" s="199" t="str">
        <f>'[5]AA - Revenues'!G1</f>
        <v>3 Months Ended
Sept. 30, 2016</v>
      </c>
      <c r="H1" s="199" t="str">
        <f>'[5]AA - Revenues'!H1</f>
        <v>3 Months Ended
Dec. 31, 2016</v>
      </c>
      <c r="I1" s="203" t="s">
        <v>144</v>
      </c>
      <c r="J1" s="204" t="s">
        <v>255</v>
      </c>
      <c r="K1" s="205" t="s">
        <v>256</v>
      </c>
    </row>
    <row r="2" spans="1:12" x14ac:dyDescent="0.2">
      <c r="B2" s="208" t="s">
        <v>303</v>
      </c>
      <c r="C2" s="206"/>
      <c r="D2" s="247" t="s">
        <v>281</v>
      </c>
      <c r="E2" s="83">
        <v>-394067.62</v>
      </c>
      <c r="F2" s="83">
        <v>-543126.6</v>
      </c>
      <c r="G2" s="83">
        <v>-910394.52999999991</v>
      </c>
      <c r="H2" s="83">
        <f>I2-SUM(E2:G2)</f>
        <v>-1428088.7200000002</v>
      </c>
      <c r="I2" s="83">
        <f>-'[5]PacifiCorp YTD'!D27</f>
        <v>-3275677.47</v>
      </c>
      <c r="K2" s="249"/>
      <c r="L2" s="295"/>
    </row>
    <row r="3" spans="1:12" x14ac:dyDescent="0.2">
      <c r="B3" s="208"/>
      <c r="C3" s="206"/>
      <c r="D3" s="206"/>
      <c r="E3" s="83"/>
      <c r="F3" s="83"/>
      <c r="G3" s="83"/>
      <c r="H3" s="83"/>
      <c r="I3" s="83"/>
      <c r="K3" s="249"/>
    </row>
    <row r="4" spans="1:12" x14ac:dyDescent="0.2">
      <c r="B4" s="214" t="s">
        <v>259</v>
      </c>
      <c r="C4" s="229"/>
      <c r="D4" s="297"/>
      <c r="E4" s="297"/>
      <c r="F4" s="83"/>
      <c r="G4" s="83"/>
      <c r="H4" s="83"/>
      <c r="I4" s="83"/>
      <c r="J4" s="298"/>
    </row>
    <row r="5" spans="1:12" x14ac:dyDescent="0.2">
      <c r="B5" s="207">
        <v>385600</v>
      </c>
      <c r="C5" s="211" t="s">
        <v>304</v>
      </c>
      <c r="D5" s="297"/>
      <c r="E5" s="297">
        <v>-59148.43</v>
      </c>
      <c r="F5" s="83">
        <v>-66627.5</v>
      </c>
      <c r="G5" s="83">
        <v>-129649.03</v>
      </c>
      <c r="H5" s="83">
        <f>I5-SUM(E5:G5)</f>
        <v>-18023.790000000008</v>
      </c>
      <c r="I5" s="83">
        <f>SUMIF('[5]F.01 SAP (PCORP)'!B:B,'EE - Other Net &amp; Derivative P-L'!B5,'[5]F.01 SAP (PCORP)'!D:D)</f>
        <v>-273448.75</v>
      </c>
      <c r="J5" s="219" t="s">
        <v>305</v>
      </c>
      <c r="K5" s="290" t="s">
        <v>151</v>
      </c>
      <c r="L5" s="295"/>
    </row>
    <row r="6" spans="1:12" x14ac:dyDescent="0.2">
      <c r="B6" s="249">
        <v>583900</v>
      </c>
      <c r="C6" s="206" t="s">
        <v>283</v>
      </c>
      <c r="D6" s="297"/>
      <c r="E6" s="83">
        <v>86371.07</v>
      </c>
      <c r="F6" s="88">
        <v>63072.06</v>
      </c>
      <c r="G6" s="83">
        <v>148392.32000000001</v>
      </c>
      <c r="H6" s="83">
        <f>I6-SUM(E6:G6)</f>
        <v>-16936.080000000016</v>
      </c>
      <c r="I6" s="83">
        <f>SUMIF('[5]F.01 SAP (PCORP)'!B:B,'EE - Other Net &amp; Derivative P-L'!B6,'[5]F.01 SAP (PCORP)'!D:D)</f>
        <v>280899.37</v>
      </c>
      <c r="J6" s="250" t="str">
        <f>[5]notes!A19</f>
        <v>(8)</v>
      </c>
      <c r="K6" s="290" t="s">
        <v>143</v>
      </c>
    </row>
    <row r="7" spans="1:12" x14ac:dyDescent="0.2">
      <c r="B7" s="207"/>
      <c r="C7" s="211"/>
      <c r="D7" s="211"/>
      <c r="E7" s="83"/>
      <c r="F7" s="88"/>
      <c r="G7" s="83"/>
      <c r="H7" s="83"/>
      <c r="I7" s="88"/>
      <c r="J7" s="299"/>
      <c r="L7" s="295"/>
    </row>
    <row r="8" spans="1:12" x14ac:dyDescent="0.2">
      <c r="B8" s="214" t="s">
        <v>282</v>
      </c>
      <c r="C8" s="206"/>
      <c r="D8" s="206"/>
      <c r="E8" s="83"/>
      <c r="F8" s="83"/>
      <c r="G8" s="83"/>
      <c r="H8" s="83"/>
      <c r="I8" s="83"/>
      <c r="K8" s="249"/>
    </row>
    <row r="9" spans="1:12" ht="11.25" customHeight="1" x14ac:dyDescent="0.2">
      <c r="B9" s="251">
        <v>301876</v>
      </c>
      <c r="C9" s="229" t="s">
        <v>306</v>
      </c>
      <c r="D9" s="297"/>
      <c r="E9" s="297">
        <v>-147488.82999999999</v>
      </c>
      <c r="F9" s="83">
        <v>-17607.790000000008</v>
      </c>
      <c r="G9" s="83">
        <v>-290593.45999999996</v>
      </c>
      <c r="H9" s="83">
        <f>I9-SUM(E9:G9)</f>
        <v>128693.45999999996</v>
      </c>
      <c r="I9" s="83">
        <f>SUMIF('[5]F.01 SAP (PCORP)'!B:B,'EE - Other Net &amp; Derivative P-L'!B9,'[5]F.01 SAP (PCORP)'!D:D)</f>
        <v>-326996.62</v>
      </c>
      <c r="J9" s="268" t="s">
        <v>307</v>
      </c>
      <c r="K9" s="290" t="s">
        <v>134</v>
      </c>
    </row>
    <row r="10" spans="1:12" ht="12" customHeight="1" x14ac:dyDescent="0.2">
      <c r="B10" s="251">
        <v>301938</v>
      </c>
      <c r="C10" s="229" t="s">
        <v>308</v>
      </c>
      <c r="D10" s="297"/>
      <c r="E10" s="297">
        <v>-323026.71000000002</v>
      </c>
      <c r="F10" s="83">
        <v>-577230.5</v>
      </c>
      <c r="G10" s="83">
        <v>-363258.38</v>
      </c>
      <c r="H10" s="83">
        <f t="shared" ref="H10:H26" si="0">I10-SUM(E10:G10)</f>
        <v>-5939.1500000001397</v>
      </c>
      <c r="I10" s="83">
        <f>SUMIF('[5]F.01 SAP (PCORP)'!B:B,'EE - Other Net &amp; Derivative P-L'!B10,'[5]F.01 SAP (PCORP)'!D:D)</f>
        <v>-1269454.74</v>
      </c>
      <c r="J10" s="268" t="s">
        <v>307</v>
      </c>
      <c r="K10" s="290" t="s">
        <v>134</v>
      </c>
    </row>
    <row r="11" spans="1:12" x14ac:dyDescent="0.2">
      <c r="B11" s="249">
        <v>514401</v>
      </c>
      <c r="C11" s="229" t="s">
        <v>309</v>
      </c>
      <c r="D11" s="297"/>
      <c r="E11" s="297">
        <v>0</v>
      </c>
      <c r="F11" s="83">
        <v>0</v>
      </c>
      <c r="G11" s="83">
        <v>0</v>
      </c>
      <c r="H11" s="83">
        <f t="shared" si="0"/>
        <v>0</v>
      </c>
      <c r="I11" s="83">
        <f>SUMIF('[5]F.01 SAP (PCORP)'!B:B,'EE - Other Net &amp; Derivative P-L'!B11,'[5]F.01 SAP (PCORP)'!D:D)</f>
        <v>0</v>
      </c>
      <c r="J11" s="298" t="s">
        <v>8</v>
      </c>
      <c r="K11" s="290" t="s">
        <v>138</v>
      </c>
    </row>
    <row r="12" spans="1:12" x14ac:dyDescent="0.2">
      <c r="B12" s="249">
        <v>545266</v>
      </c>
      <c r="C12" s="229" t="s">
        <v>310</v>
      </c>
      <c r="D12" s="297"/>
      <c r="E12" s="297">
        <v>24914.52</v>
      </c>
      <c r="F12" s="83">
        <v>-4347.1100000000006</v>
      </c>
      <c r="G12" s="83">
        <v>25234.29</v>
      </c>
      <c r="H12" s="83">
        <f t="shared" si="0"/>
        <v>-23930.699999999997</v>
      </c>
      <c r="I12" s="83">
        <f>SUMIF('[5]F.01 SAP (PCORP)'!B:B,'EE - Other Net &amp; Derivative P-L'!B12,'[5]F.01 SAP (PCORP)'!D:D)</f>
        <v>21871</v>
      </c>
      <c r="J12" s="268" t="s">
        <v>311</v>
      </c>
      <c r="K12" s="290" t="s">
        <v>138</v>
      </c>
    </row>
    <row r="13" spans="1:12" x14ac:dyDescent="0.2">
      <c r="B13" s="249">
        <v>545267</v>
      </c>
      <c r="C13" s="229" t="s">
        <v>312</v>
      </c>
      <c r="D13" s="297"/>
      <c r="E13" s="297">
        <v>-102773.19</v>
      </c>
      <c r="F13" s="83">
        <v>0</v>
      </c>
      <c r="G13" s="83">
        <v>-102773.19</v>
      </c>
      <c r="H13" s="83">
        <f t="shared" si="0"/>
        <v>1097862.95</v>
      </c>
      <c r="I13" s="83">
        <f>SUMIF('[5]F.01 SAP (PCORP)'!B:B,'EE - Other Net &amp; Derivative P-L'!B13,'[5]F.01 SAP (PCORP)'!D:D)</f>
        <v>892316.57</v>
      </c>
      <c r="J13" s="268" t="s">
        <v>311</v>
      </c>
      <c r="K13" s="290" t="s">
        <v>138</v>
      </c>
    </row>
    <row r="14" spans="1:12" x14ac:dyDescent="0.2">
      <c r="B14" s="249">
        <v>545268</v>
      </c>
      <c r="C14" s="229" t="s">
        <v>313</v>
      </c>
      <c r="D14" s="297"/>
      <c r="E14" s="297">
        <v>182779.35</v>
      </c>
      <c r="F14" s="83">
        <v>121460.05999999997</v>
      </c>
      <c r="G14" s="83">
        <v>296635.19000000006</v>
      </c>
      <c r="H14" s="83">
        <f t="shared" si="0"/>
        <v>115427.49999999988</v>
      </c>
      <c r="I14" s="83">
        <f>SUMIF('[5]F.01 SAP (PCORP)'!B:B,'EE - Other Net &amp; Derivative P-L'!B14,'[5]F.01 SAP (PCORP)'!D:D)</f>
        <v>716302.1</v>
      </c>
      <c r="J14" s="268" t="s">
        <v>311</v>
      </c>
      <c r="K14" s="290" t="s">
        <v>138</v>
      </c>
    </row>
    <row r="15" spans="1:12" x14ac:dyDescent="0.2">
      <c r="B15" s="249">
        <v>554000</v>
      </c>
      <c r="C15" s="229" t="s">
        <v>314</v>
      </c>
      <c r="D15" s="297"/>
      <c r="E15" s="297">
        <v>-368124.11</v>
      </c>
      <c r="F15" s="83">
        <v>-883258.86</v>
      </c>
      <c r="G15" s="83">
        <v>-388173.06999999995</v>
      </c>
      <c r="H15" s="83">
        <f t="shared" si="0"/>
        <v>-137676.09999999986</v>
      </c>
      <c r="I15" s="83">
        <f>SUMIF('[5]F.01 SAP (PCORP)'!B:B,'EE - Other Net &amp; Derivative P-L'!B15,'[5]F.01 SAP (PCORP)'!D:D)</f>
        <v>-1777232.14</v>
      </c>
      <c r="J15" s="298" t="s">
        <v>186</v>
      </c>
      <c r="K15" s="290" t="s">
        <v>138</v>
      </c>
    </row>
    <row r="16" spans="1:12" x14ac:dyDescent="0.2">
      <c r="B16" s="249">
        <v>554100</v>
      </c>
      <c r="C16" s="229" t="s">
        <v>315</v>
      </c>
      <c r="D16" s="297"/>
      <c r="E16" s="297">
        <v>498.27</v>
      </c>
      <c r="F16" s="83">
        <v>4241.66</v>
      </c>
      <c r="G16" s="83">
        <v>513.79</v>
      </c>
      <c r="H16" s="83">
        <f t="shared" si="0"/>
        <v>24400.48</v>
      </c>
      <c r="I16" s="83">
        <f>SUMIF('[5]F.01 SAP (PCORP)'!B:B,'EE - Other Net &amp; Derivative P-L'!B16,'[5]F.01 SAP (PCORP)'!D:D)</f>
        <v>29654.2</v>
      </c>
      <c r="J16" s="298" t="s">
        <v>186</v>
      </c>
      <c r="K16" s="290" t="s">
        <v>138</v>
      </c>
    </row>
    <row r="17" spans="2:12" x14ac:dyDescent="0.2">
      <c r="B17" s="249">
        <v>507900</v>
      </c>
      <c r="C17" s="229" t="s">
        <v>308</v>
      </c>
      <c r="D17" s="297"/>
      <c r="E17" s="297">
        <v>0</v>
      </c>
      <c r="F17" s="83">
        <v>0</v>
      </c>
      <c r="G17" s="83">
        <v>0</v>
      </c>
      <c r="H17" s="83">
        <f t="shared" si="0"/>
        <v>0</v>
      </c>
      <c r="I17" s="83">
        <f>SUMIF('[5]F.01 SAP (PCORP)'!B:B,'EE - Other Net &amp; Derivative P-L'!B17,'[5]F.01 SAP (PCORP)'!D:D)</f>
        <v>0</v>
      </c>
      <c r="J17" s="268" t="s">
        <v>316</v>
      </c>
      <c r="K17" s="290" t="s">
        <v>138</v>
      </c>
      <c r="L17" s="295"/>
    </row>
    <row r="18" spans="2:12" x14ac:dyDescent="0.2">
      <c r="B18" s="207">
        <v>507901</v>
      </c>
      <c r="C18" s="218" t="s">
        <v>317</v>
      </c>
      <c r="D18" s="297"/>
      <c r="E18" s="297">
        <v>0</v>
      </c>
      <c r="F18" s="83">
        <v>0</v>
      </c>
      <c r="G18" s="83">
        <v>0</v>
      </c>
      <c r="H18" s="83">
        <f t="shared" si="0"/>
        <v>0</v>
      </c>
      <c r="I18" s="83">
        <f>SUMIF('[5]F.01 SAP (PCORP)'!B:B,'EE - Other Net &amp; Derivative P-L'!B18,'[5]F.01 SAP (PCORP)'!D:D)</f>
        <v>0</v>
      </c>
      <c r="J18" s="268" t="s">
        <v>316</v>
      </c>
      <c r="K18" s="290" t="s">
        <v>138</v>
      </c>
    </row>
    <row r="19" spans="2:12" x14ac:dyDescent="0.2">
      <c r="B19" s="249">
        <v>364105</v>
      </c>
      <c r="C19" s="300" t="s">
        <v>318</v>
      </c>
      <c r="D19" s="297"/>
      <c r="E19" s="297">
        <v>0</v>
      </c>
      <c r="F19" s="83">
        <v>0</v>
      </c>
      <c r="G19" s="83">
        <v>0</v>
      </c>
      <c r="H19" s="83">
        <f t="shared" si="0"/>
        <v>0</v>
      </c>
      <c r="I19" s="83">
        <f>SUMIF('[5]F.01 SAP (PCORP)'!B:B,'EE - Other Net &amp; Derivative P-L'!B19,'[5]F.01 SAP (PCORP)'!D:D)</f>
        <v>0</v>
      </c>
      <c r="J19" s="219" t="s">
        <v>319</v>
      </c>
      <c r="K19" s="290" t="s">
        <v>138</v>
      </c>
    </row>
    <row r="20" spans="2:12" x14ac:dyDescent="0.2">
      <c r="B20" s="249"/>
      <c r="C20" s="300"/>
      <c r="D20" s="297"/>
      <c r="E20" s="297"/>
      <c r="F20" s="83"/>
      <c r="G20" s="83"/>
      <c r="H20" s="83"/>
      <c r="I20" s="83"/>
      <c r="J20" s="219"/>
    </row>
    <row r="21" spans="2:12" x14ac:dyDescent="0.2">
      <c r="B21" s="256"/>
      <c r="C21" s="301" t="s">
        <v>320</v>
      </c>
      <c r="D21" s="297"/>
      <c r="E21" s="297">
        <v>42643.22</v>
      </c>
      <c r="F21" s="83">
        <v>18493.339999999997</v>
      </c>
      <c r="G21" s="83">
        <v>66795.640000000014</v>
      </c>
      <c r="H21" s="83">
        <f t="shared" si="0"/>
        <v>11063.600000000064</v>
      </c>
      <c r="I21" s="83">
        <f>'[5]426.1'!K69</f>
        <v>138995.80000000008</v>
      </c>
      <c r="J21" s="302" t="s">
        <v>9</v>
      </c>
      <c r="K21" s="249" t="s">
        <v>138</v>
      </c>
    </row>
    <row r="22" spans="2:12" x14ac:dyDescent="0.2">
      <c r="B22" s="256"/>
      <c r="C22" s="208" t="s">
        <v>321</v>
      </c>
      <c r="D22" s="297"/>
      <c r="E22" s="297">
        <v>250688.23000000007</v>
      </c>
      <c r="F22" s="83">
        <v>24810.109999999957</v>
      </c>
      <c r="G22" s="83">
        <v>303977.75</v>
      </c>
      <c r="H22" s="83">
        <f t="shared" si="0"/>
        <v>-164633.96000000008</v>
      </c>
      <c r="I22" s="83">
        <f>'[5]426.3 &amp; 426.4'!K66</f>
        <v>414842.13</v>
      </c>
      <c r="J22" s="302" t="s">
        <v>9</v>
      </c>
      <c r="K22" s="290" t="s">
        <v>138</v>
      </c>
    </row>
    <row r="23" spans="2:12" x14ac:dyDescent="0.2">
      <c r="B23" s="256"/>
      <c r="C23" s="208" t="s">
        <v>322</v>
      </c>
      <c r="D23" s="297"/>
      <c r="E23" s="297">
        <v>725317.76</v>
      </c>
      <c r="F23" s="83">
        <v>672993.90000000014</v>
      </c>
      <c r="G23" s="83">
        <v>6695961.1000000015</v>
      </c>
      <c r="H23" s="83">
        <f t="shared" si="0"/>
        <v>2931989.9999999981</v>
      </c>
      <c r="I23" s="83">
        <f>'[5]426.5'!K157</f>
        <v>11026262.76</v>
      </c>
      <c r="J23" s="302" t="s">
        <v>9</v>
      </c>
      <c r="K23" s="290" t="s">
        <v>138</v>
      </c>
    </row>
    <row r="24" spans="2:12" x14ac:dyDescent="0.2">
      <c r="B24" s="256"/>
      <c r="C24" s="208" t="s">
        <v>323</v>
      </c>
      <c r="D24" s="297"/>
      <c r="E24" s="297">
        <v>16592.989999999998</v>
      </c>
      <c r="F24" s="83">
        <v>17049.96</v>
      </c>
      <c r="G24" s="83">
        <v>59075.51</v>
      </c>
      <c r="H24" s="83">
        <f t="shared" si="0"/>
        <v>4059.2399999999907</v>
      </c>
      <c r="I24" s="83">
        <f>'[5]418'!K38</f>
        <v>96777.699999999983</v>
      </c>
      <c r="J24" s="302" t="s">
        <v>9</v>
      </c>
      <c r="K24" s="290" t="s">
        <v>138</v>
      </c>
    </row>
    <row r="25" spans="2:12" x14ac:dyDescent="0.2">
      <c r="B25" s="256"/>
      <c r="C25" s="208" t="s">
        <v>324</v>
      </c>
      <c r="D25" s="297"/>
      <c r="E25" s="297">
        <v>457645.41000000003</v>
      </c>
      <c r="F25" s="83">
        <v>631642.75000000012</v>
      </c>
      <c r="G25" s="83">
        <v>620371.43000000028</v>
      </c>
      <c r="H25" s="83">
        <f t="shared" si="0"/>
        <v>-142168.96999999997</v>
      </c>
      <c r="I25" s="303">
        <f>'[5]416'!K141</f>
        <v>1567490.6200000003</v>
      </c>
      <c r="J25" s="302" t="s">
        <v>9</v>
      </c>
      <c r="K25" s="290" t="s">
        <v>138</v>
      </c>
    </row>
    <row r="26" spans="2:12" x14ac:dyDescent="0.2">
      <c r="B26" s="256"/>
      <c r="C26" s="208" t="s">
        <v>325</v>
      </c>
      <c r="D26" s="297"/>
      <c r="E26" s="297">
        <v>-2190.15</v>
      </c>
      <c r="F26" s="83">
        <v>0</v>
      </c>
      <c r="G26" s="83">
        <v>-2190.15</v>
      </c>
      <c r="H26" s="83">
        <f t="shared" si="0"/>
        <v>2354.15</v>
      </c>
      <c r="I26" s="83">
        <f>'[5]421'!K9</f>
        <v>-2026.15</v>
      </c>
      <c r="J26" s="302" t="s">
        <v>9</v>
      </c>
      <c r="K26" s="290" t="s">
        <v>138</v>
      </c>
    </row>
    <row r="27" spans="2:12" x14ac:dyDescent="0.2">
      <c r="B27" s="249"/>
      <c r="C27" s="208"/>
      <c r="D27" s="297"/>
      <c r="E27" s="297"/>
      <c r="F27" s="83"/>
      <c r="G27" s="83"/>
      <c r="H27" s="83"/>
      <c r="I27" s="83"/>
      <c r="J27" s="302"/>
    </row>
    <row r="28" spans="2:12" x14ac:dyDescent="0.2">
      <c r="B28" s="256"/>
      <c r="C28" s="229"/>
      <c r="D28" s="297"/>
      <c r="E28" s="297"/>
      <c r="F28" s="83"/>
      <c r="G28" s="83"/>
      <c r="H28" s="83"/>
      <c r="I28" s="83"/>
      <c r="J28" s="298"/>
    </row>
    <row r="29" spans="2:12" ht="10.5" customHeight="1" x14ac:dyDescent="0.2">
      <c r="B29" s="214" t="s">
        <v>275</v>
      </c>
      <c r="C29" s="206"/>
      <c r="D29" s="206"/>
      <c r="E29" s="90">
        <f>SUM(E9:E26)-SUM(E5:E6)</f>
        <v>730254.12000000011</v>
      </c>
      <c r="F29" s="90">
        <f>SUM(F9:F26)-SUM(F5:F6)</f>
        <v>11802.959999999905</v>
      </c>
      <c r="G29" s="90">
        <f>SUM(G9:G26)-SUM(G5:G6)</f>
        <v>6902833.160000002</v>
      </c>
      <c r="H29" s="90">
        <f>SUM(H9:H26)-SUM(H5:H6)</f>
        <v>3876462.3699999978</v>
      </c>
      <c r="I29" s="90">
        <f>SUM(I9:I26)-SUM(I5:I6)</f>
        <v>11521352.610000001</v>
      </c>
      <c r="L29" s="295"/>
    </row>
    <row r="30" spans="2:12" x14ac:dyDescent="0.2">
      <c r="B30" s="206"/>
      <c r="C30" s="206"/>
      <c r="D30" s="206"/>
      <c r="E30" s="83"/>
      <c r="F30" s="83"/>
      <c r="G30" s="83"/>
      <c r="H30" s="83"/>
      <c r="I30" s="83"/>
      <c r="L30" s="295"/>
    </row>
    <row r="31" spans="2:12" x14ac:dyDescent="0.2">
      <c r="B31" s="214" t="s">
        <v>299</v>
      </c>
      <c r="C31" s="206"/>
      <c r="D31" s="206"/>
      <c r="E31" s="226">
        <f>+E29+E2</f>
        <v>336186.50000000012</v>
      </c>
      <c r="F31" s="226">
        <f>+F29+F2</f>
        <v>-531323.64000000013</v>
      </c>
      <c r="G31" s="226">
        <f>ROUND(+G29+G2,2)</f>
        <v>5992438.6299999999</v>
      </c>
      <c r="H31" s="226">
        <f>ROUND(+H29+H2,2)</f>
        <v>2448373.65</v>
      </c>
      <c r="I31" s="226">
        <f>+I29+I2</f>
        <v>8245675.1400000006</v>
      </c>
      <c r="L31" s="295"/>
    </row>
    <row r="32" spans="2:12" x14ac:dyDescent="0.2">
      <c r="B32" s="246"/>
      <c r="E32" s="83"/>
      <c r="F32" s="83"/>
      <c r="G32" s="83"/>
      <c r="H32" s="88"/>
      <c r="I32" s="83"/>
    </row>
    <row r="33" spans="2:15" x14ac:dyDescent="0.2">
      <c r="B33" s="227" t="s">
        <v>277</v>
      </c>
      <c r="E33" s="211"/>
      <c r="F33" s="211"/>
      <c r="G33" s="211"/>
      <c r="H33" s="211"/>
      <c r="I33" s="211"/>
    </row>
    <row r="34" spans="2:15" x14ac:dyDescent="0.2">
      <c r="B34" s="230" t="s">
        <v>70</v>
      </c>
      <c r="D34" s="289"/>
      <c r="E34" s="297">
        <v>396816.82</v>
      </c>
      <c r="F34" s="83">
        <v>645385.62999999989</v>
      </c>
      <c r="G34" s="83">
        <v>507665.79000000004</v>
      </c>
      <c r="H34" s="83">
        <f>I34-SUM(E34:G34)</f>
        <v>4743.1200000001118</v>
      </c>
      <c r="I34" s="88">
        <f>SUMIFS('[5]FERC Financials'!B:B,'[5]FERC Financials'!A:A,B34)</f>
        <v>1554611.36</v>
      </c>
      <c r="J34" s="304" t="s">
        <v>326</v>
      </c>
      <c r="K34" s="305"/>
      <c r="N34" s="289"/>
      <c r="O34" s="295"/>
    </row>
    <row r="35" spans="2:15" x14ac:dyDescent="0.2">
      <c r="B35" s="230" t="s">
        <v>72</v>
      </c>
      <c r="D35" s="289"/>
      <c r="E35" s="297">
        <v>-472334.26</v>
      </c>
      <c r="F35" s="83">
        <v>-634730.21</v>
      </c>
      <c r="G35" s="83">
        <v>-671383.04000000004</v>
      </c>
      <c r="H35" s="83">
        <f t="shared" ref="H35:H46" si="1">I35-SUM(E35:G35)</f>
        <v>160833.76</v>
      </c>
      <c r="I35" s="88">
        <f>-SUMIFS('[5]FERC Financials'!B:B,'[5]FERC Financials'!A:A,B35)</f>
        <v>-1617613.75</v>
      </c>
      <c r="J35" s="304" t="s">
        <v>326</v>
      </c>
      <c r="K35" s="305"/>
      <c r="O35" s="295"/>
    </row>
    <row r="36" spans="2:15" x14ac:dyDescent="0.2">
      <c r="B36" s="230" t="s">
        <v>73</v>
      </c>
      <c r="D36" s="289"/>
      <c r="E36" s="297">
        <v>0</v>
      </c>
      <c r="F36" s="83">
        <v>0</v>
      </c>
      <c r="G36" s="83">
        <v>0</v>
      </c>
      <c r="H36" s="83">
        <f t="shared" si="1"/>
        <v>0</v>
      </c>
      <c r="I36" s="88">
        <f>SUMIFS('[5]FERC Financials'!B:B,'[5]FERC Financials'!A:A,B36)</f>
        <v>0</v>
      </c>
      <c r="J36" s="304" t="s">
        <v>326</v>
      </c>
      <c r="K36" s="305"/>
      <c r="N36" s="289"/>
      <c r="O36" s="295"/>
    </row>
    <row r="37" spans="2:15" x14ac:dyDescent="0.2">
      <c r="B37" s="230" t="s">
        <v>74</v>
      </c>
      <c r="D37" s="289"/>
      <c r="E37" s="297">
        <v>-17025.27</v>
      </c>
      <c r="F37" s="83">
        <v>-17025.23</v>
      </c>
      <c r="G37" s="83">
        <v>-34050.600000000006</v>
      </c>
      <c r="H37" s="83">
        <f t="shared" si="1"/>
        <v>-4525.0199999999895</v>
      </c>
      <c r="I37" s="88">
        <f>-SUMIFS('[5]FERC Financials'!B:B,'[5]FERC Financials'!A:A,B37)</f>
        <v>-72626.12</v>
      </c>
      <c r="J37" s="304" t="s">
        <v>326</v>
      </c>
      <c r="K37" s="305"/>
      <c r="N37" s="289"/>
      <c r="O37" s="295"/>
    </row>
    <row r="38" spans="2:15" x14ac:dyDescent="0.2">
      <c r="B38" s="230" t="s">
        <v>75</v>
      </c>
      <c r="D38" s="289"/>
      <c r="E38" s="297">
        <v>120484.3</v>
      </c>
      <c r="F38" s="83">
        <v>-4174.1200000000099</v>
      </c>
      <c r="G38" s="83">
        <v>212426.39</v>
      </c>
      <c r="H38" s="83">
        <f t="shared" si="1"/>
        <v>-130561.59</v>
      </c>
      <c r="I38" s="88">
        <f>SUMIFS('[5]FERC Financials'!B:B,'[5]FERC Financials'!A:A,B38)</f>
        <v>198174.98</v>
      </c>
      <c r="J38" s="304" t="s">
        <v>326</v>
      </c>
      <c r="K38" s="305"/>
      <c r="N38" s="289"/>
      <c r="O38" s="295"/>
    </row>
    <row r="39" spans="2:15" x14ac:dyDescent="0.2">
      <c r="B39" s="230" t="s">
        <v>80</v>
      </c>
      <c r="D39" s="289"/>
      <c r="E39" s="297">
        <v>269955.34000000003</v>
      </c>
      <c r="F39" s="83">
        <v>300862.62999999995</v>
      </c>
      <c r="G39" s="83">
        <v>610489.48</v>
      </c>
      <c r="H39" s="83">
        <f t="shared" si="1"/>
        <v>-23548.329999999842</v>
      </c>
      <c r="I39" s="88">
        <f>SUMIFS('[5]FERC Financials'!B:B,'[5]FERC Financials'!A:A,B39)</f>
        <v>1157759.1200000001</v>
      </c>
      <c r="J39" s="304" t="s">
        <v>326</v>
      </c>
      <c r="K39" s="305"/>
      <c r="O39" s="295"/>
    </row>
    <row r="40" spans="2:15" x14ac:dyDescent="0.2">
      <c r="B40" s="230" t="s">
        <v>81</v>
      </c>
      <c r="D40" s="289"/>
      <c r="E40" s="297">
        <v>368124.11</v>
      </c>
      <c r="F40" s="83">
        <v>883258.86</v>
      </c>
      <c r="G40" s="83">
        <v>388173.06999999995</v>
      </c>
      <c r="H40" s="83">
        <f t="shared" si="1"/>
        <v>137676.09999999986</v>
      </c>
      <c r="I40" s="88">
        <f>SUMIFS('[5]FERC Financials'!B:B,'[5]FERC Financials'!A:A,B40)</f>
        <v>1777232.14</v>
      </c>
      <c r="J40" s="304" t="s">
        <v>326</v>
      </c>
      <c r="K40" s="305"/>
      <c r="O40" s="295"/>
    </row>
    <row r="41" spans="2:15" x14ac:dyDescent="0.2">
      <c r="B41" s="230" t="s">
        <v>82</v>
      </c>
      <c r="D41" s="289"/>
      <c r="E41" s="297">
        <v>-498.27</v>
      </c>
      <c r="F41" s="83">
        <v>-4241.66</v>
      </c>
      <c r="G41" s="83">
        <v>-513.79</v>
      </c>
      <c r="H41" s="83">
        <f t="shared" si="1"/>
        <v>-24400.48</v>
      </c>
      <c r="I41" s="88">
        <f>-SUMIFS('[5]FERC Financials'!B:B,'[5]FERC Financials'!A:A,B41)</f>
        <v>-29654.2</v>
      </c>
      <c r="J41" s="304" t="s">
        <v>326</v>
      </c>
      <c r="K41" s="305"/>
      <c r="M41" s="295"/>
      <c r="O41" s="295"/>
    </row>
    <row r="42" spans="2:15" x14ac:dyDescent="0.2">
      <c r="B42" s="230" t="s">
        <v>84</v>
      </c>
      <c r="D42" s="289"/>
      <c r="E42" s="297">
        <v>-557135.53</v>
      </c>
      <c r="F42" s="83">
        <v>-691134.34999999986</v>
      </c>
      <c r="G42" s="83">
        <v>-917830.66000000015</v>
      </c>
      <c r="H42" s="83">
        <f t="shared" si="1"/>
        <v>-151546.5299999998</v>
      </c>
      <c r="I42" s="88">
        <f>-SUMIFS('[5]FERC Financials'!B:B,'[5]FERC Financials'!A:A,B42)</f>
        <v>-2317647.0699999998</v>
      </c>
      <c r="J42" s="304" t="s">
        <v>326</v>
      </c>
      <c r="K42" s="305"/>
      <c r="O42" s="295"/>
    </row>
    <row r="43" spans="2:15" x14ac:dyDescent="0.2">
      <c r="B43" s="230" t="s">
        <v>85</v>
      </c>
      <c r="D43" s="289"/>
      <c r="E43" s="297">
        <v>972458.26</v>
      </c>
      <c r="F43" s="83">
        <v>1365610.84</v>
      </c>
      <c r="G43" s="83">
        <v>2033049.03</v>
      </c>
      <c r="H43" s="83">
        <f t="shared" si="1"/>
        <v>1697358.87</v>
      </c>
      <c r="I43" s="88">
        <f>-SUMIFS('[5]FERC Financials'!B:B,'[5]FERC Financials'!A:A,B43)</f>
        <v>6068477</v>
      </c>
      <c r="J43" s="304" t="s">
        <v>326</v>
      </c>
      <c r="K43" s="305"/>
      <c r="O43" s="295"/>
    </row>
    <row r="44" spans="2:15" x14ac:dyDescent="0.2">
      <c r="B44" s="230" t="s">
        <v>86</v>
      </c>
      <c r="D44" s="289"/>
      <c r="E44" s="297">
        <v>80</v>
      </c>
      <c r="F44" s="83">
        <v>-3884</v>
      </c>
      <c r="G44" s="83">
        <v>17584.669999999998</v>
      </c>
      <c r="H44" s="83">
        <f t="shared" si="1"/>
        <v>-39280.89</v>
      </c>
      <c r="I44" s="88">
        <f>-SUMIFS('[5]FERC Financials'!B:B,'[5]FERC Financials'!A:A,B44)</f>
        <v>-25500.22</v>
      </c>
      <c r="J44" s="304" t="s">
        <v>326</v>
      </c>
      <c r="K44" s="305"/>
      <c r="O44" s="295"/>
    </row>
    <row r="45" spans="2:15" x14ac:dyDescent="0.2">
      <c r="B45" s="230" t="s">
        <v>87</v>
      </c>
      <c r="D45" s="289"/>
      <c r="E45" s="297">
        <v>-483784.03</v>
      </c>
      <c r="F45" s="83">
        <v>-344542.53999999992</v>
      </c>
      <c r="G45" s="83">
        <v>-1035711.2300000001</v>
      </c>
      <c r="H45" s="83">
        <f t="shared" si="1"/>
        <v>153541.20999999996</v>
      </c>
      <c r="I45" s="88">
        <f>-SUMIFS('[5]FERC Financials'!B:B,'[5]FERC Financials'!A:A,B45)</f>
        <v>-1710496.59</v>
      </c>
      <c r="J45" s="304" t="s">
        <v>326</v>
      </c>
      <c r="K45" s="305"/>
      <c r="M45" s="103"/>
      <c r="O45" s="295"/>
    </row>
    <row r="46" spans="2:15" x14ac:dyDescent="0.2">
      <c r="B46" s="230" t="s">
        <v>88</v>
      </c>
      <c r="D46" s="289"/>
      <c r="E46" s="297">
        <v>-933327.97</v>
      </c>
      <c r="F46" s="83">
        <v>-964062.21</v>
      </c>
      <c r="G46" s="83">
        <v>-7102337.7400000002</v>
      </c>
      <c r="H46" s="83">
        <f t="shared" si="1"/>
        <v>-4228663.8699999992</v>
      </c>
      <c r="I46" s="88">
        <f>-SUMIFS('[5]FERC Financials'!B:B,'[5]FERC Financials'!A:A,B46)</f>
        <v>-13228391.789999999</v>
      </c>
      <c r="J46" s="304" t="s">
        <v>326</v>
      </c>
      <c r="K46" s="305"/>
      <c r="O46" s="295"/>
    </row>
    <row r="47" spans="2:15" x14ac:dyDescent="0.2">
      <c r="B47" s="230"/>
      <c r="D47" s="289"/>
      <c r="E47" s="297"/>
      <c r="F47" s="83"/>
      <c r="G47" s="83"/>
      <c r="H47" s="83"/>
      <c r="I47" s="88"/>
      <c r="J47" s="304"/>
      <c r="K47" s="305"/>
      <c r="O47" s="295"/>
    </row>
    <row r="48" spans="2:15" x14ac:dyDescent="0.2">
      <c r="B48" s="232" t="s">
        <v>144</v>
      </c>
      <c r="E48" s="90">
        <f>SUM(E34:E46)</f>
        <v>-336186.5</v>
      </c>
      <c r="F48" s="90">
        <f>SUM(F34:F46)</f>
        <v>531323.64000000013</v>
      </c>
      <c r="G48" s="90">
        <f>SUM(G34:G46)</f>
        <v>-5992438.6300000008</v>
      </c>
      <c r="H48" s="90">
        <f>SUM(H34:H46)</f>
        <v>-2448373.6499999985</v>
      </c>
      <c r="I48" s="90">
        <f>SUM(I34:I46)</f>
        <v>-8245675.1399999978</v>
      </c>
      <c r="J48" s="304"/>
      <c r="K48" s="305"/>
      <c r="L48" s="295"/>
      <c r="O48" s="295"/>
    </row>
    <row r="49" spans="2:15" x14ac:dyDescent="0.2">
      <c r="B49" s="208"/>
      <c r="E49" s="289"/>
      <c r="F49" s="289"/>
      <c r="G49" s="289"/>
      <c r="H49" s="289"/>
      <c r="I49" s="289"/>
      <c r="L49" s="289"/>
      <c r="O49" s="295"/>
    </row>
    <row r="50" spans="2:15" ht="12" thickBot="1" x14ac:dyDescent="0.25">
      <c r="B50" s="306" t="s">
        <v>278</v>
      </c>
      <c r="C50" s="233"/>
      <c r="D50" s="233"/>
      <c r="E50" s="307">
        <f>+E31+E48</f>
        <v>0</v>
      </c>
      <c r="F50" s="307">
        <f>+F31+F48</f>
        <v>0</v>
      </c>
      <c r="G50" s="307">
        <f>+G31+G48</f>
        <v>0</v>
      </c>
      <c r="H50" s="307">
        <f>+H31+H48</f>
        <v>0</v>
      </c>
      <c r="I50" s="308">
        <f>+I31+I48</f>
        <v>0</v>
      </c>
      <c r="J50" s="309"/>
      <c r="O50" s="295"/>
    </row>
    <row r="51" spans="2:15" ht="12" thickTop="1" x14ac:dyDescent="0.2">
      <c r="E51" s="310"/>
      <c r="G51" s="311"/>
      <c r="H51" s="311"/>
      <c r="I51" s="51"/>
      <c r="O51" s="295"/>
    </row>
    <row r="52" spans="2:15" x14ac:dyDescent="0.2">
      <c r="E52" s="310"/>
      <c r="H52" s="312" t="s">
        <v>327</v>
      </c>
      <c r="I52" s="289">
        <f>-SUM(I34:I46)</f>
        <v>8245675.1399999978</v>
      </c>
    </row>
    <row r="53" spans="2:15" x14ac:dyDescent="0.2">
      <c r="H53" s="312" t="s">
        <v>55</v>
      </c>
      <c r="I53" s="313">
        <f>'[5]DD - Depr &amp; Amort'!I28</f>
        <v>1344291.97</v>
      </c>
      <c r="J53" s="296" t="s">
        <v>328</v>
      </c>
    </row>
    <row r="54" spans="2:15" x14ac:dyDescent="0.2">
      <c r="H54" s="292" t="s">
        <v>76</v>
      </c>
      <c r="I54" s="294">
        <f>'[5]GG - Equity in Subs'!I13</f>
        <v>-17851890.699999999</v>
      </c>
    </row>
    <row r="55" spans="2:15" x14ac:dyDescent="0.2">
      <c r="E55" s="310"/>
      <c r="I55" s="289">
        <f>SUM(I52:I54)</f>
        <v>-8261923.5900000017</v>
      </c>
    </row>
    <row r="56" spans="2:15" x14ac:dyDescent="0.2">
      <c r="E56" s="310"/>
    </row>
    <row r="57" spans="2:15" x14ac:dyDescent="0.2">
      <c r="E57" s="310"/>
    </row>
    <row r="58" spans="2:15" x14ac:dyDescent="0.2">
      <c r="E58" s="310"/>
    </row>
    <row r="59" spans="2:15" x14ac:dyDescent="0.2">
      <c r="E59" s="314"/>
    </row>
    <row r="60" spans="2:15" x14ac:dyDescent="0.2">
      <c r="E60" s="314"/>
    </row>
    <row r="61" spans="2:15" x14ac:dyDescent="0.2">
      <c r="E61" s="314"/>
    </row>
    <row r="62" spans="2:15" x14ac:dyDescent="0.2">
      <c r="E62" s="310"/>
    </row>
    <row r="63" spans="2:15" x14ac:dyDescent="0.2">
      <c r="E63" s="310"/>
    </row>
    <row r="64" spans="2:15" x14ac:dyDescent="0.2">
      <c r="B64" s="256"/>
      <c r="E64" s="310"/>
      <c r="F64" s="256"/>
      <c r="G64" s="256"/>
      <c r="H64" s="256"/>
      <c r="I64" s="256"/>
      <c r="J64" s="290"/>
    </row>
    <row r="65" spans="2:10" x14ac:dyDescent="0.2">
      <c r="B65" s="256"/>
      <c r="E65" s="310"/>
      <c r="F65" s="256"/>
      <c r="G65" s="256"/>
      <c r="H65" s="256"/>
      <c r="I65" s="256"/>
      <c r="J65" s="290"/>
    </row>
    <row r="66" spans="2:10" x14ac:dyDescent="0.2">
      <c r="B66" s="256"/>
      <c r="E66" s="310"/>
      <c r="F66" s="256"/>
      <c r="G66" s="256"/>
      <c r="H66" s="256"/>
      <c r="I66" s="256"/>
      <c r="J66" s="290"/>
    </row>
    <row r="67" spans="2:10" x14ac:dyDescent="0.2">
      <c r="B67" s="256"/>
      <c r="E67" s="310"/>
      <c r="F67" s="256"/>
      <c r="G67" s="256"/>
      <c r="H67" s="256"/>
      <c r="I67" s="256"/>
      <c r="J67" s="290"/>
    </row>
    <row r="68" spans="2:10" x14ac:dyDescent="0.2">
      <c r="B68" s="256"/>
      <c r="E68" s="310"/>
      <c r="F68" s="256"/>
      <c r="G68" s="256"/>
      <c r="H68" s="256"/>
      <c r="I68" s="256"/>
      <c r="J68" s="290"/>
    </row>
    <row r="69" spans="2:10" x14ac:dyDescent="0.2">
      <c r="B69" s="256"/>
      <c r="E69" s="310"/>
      <c r="F69" s="256"/>
      <c r="G69" s="256"/>
      <c r="H69" s="256"/>
      <c r="I69" s="256"/>
      <c r="J69" s="290"/>
    </row>
    <row r="70" spans="2:10" x14ac:dyDescent="0.2">
      <c r="B70" s="256"/>
      <c r="E70" s="310"/>
      <c r="F70" s="256"/>
      <c r="G70" s="256"/>
      <c r="H70" s="256"/>
      <c r="I70" s="256"/>
      <c r="J70" s="290"/>
    </row>
    <row r="71" spans="2:10" x14ac:dyDescent="0.2">
      <c r="B71" s="256"/>
      <c r="E71" s="310"/>
      <c r="F71" s="256"/>
      <c r="G71" s="256"/>
      <c r="H71" s="256"/>
      <c r="I71" s="256"/>
      <c r="J71" s="290"/>
    </row>
    <row r="72" spans="2:10" x14ac:dyDescent="0.2">
      <c r="B72" s="256"/>
      <c r="E72" s="310"/>
      <c r="F72" s="256"/>
      <c r="G72" s="256"/>
      <c r="H72" s="256"/>
      <c r="I72" s="256"/>
      <c r="J72" s="290"/>
    </row>
    <row r="73" spans="2:10" x14ac:dyDescent="0.2">
      <c r="B73" s="256"/>
      <c r="E73" s="310"/>
      <c r="F73" s="256"/>
      <c r="G73" s="256"/>
      <c r="H73" s="256"/>
      <c r="I73" s="256"/>
      <c r="J73" s="290"/>
    </row>
    <row r="74" spans="2:10" x14ac:dyDescent="0.2">
      <c r="B74" s="256"/>
      <c r="E74" s="310"/>
      <c r="F74" s="256"/>
      <c r="G74" s="256"/>
      <c r="H74" s="256"/>
      <c r="I74" s="256"/>
      <c r="J74" s="290"/>
    </row>
    <row r="75" spans="2:10" x14ac:dyDescent="0.2">
      <c r="B75" s="256"/>
      <c r="E75" s="310"/>
      <c r="F75" s="256"/>
      <c r="G75" s="256"/>
      <c r="H75" s="256"/>
      <c r="I75" s="256"/>
      <c r="J75" s="290"/>
    </row>
    <row r="76" spans="2:10" x14ac:dyDescent="0.2">
      <c r="B76" s="256"/>
      <c r="E76" s="310"/>
      <c r="F76" s="256"/>
      <c r="G76" s="256"/>
      <c r="H76" s="256"/>
      <c r="I76" s="256"/>
      <c r="J76" s="290"/>
    </row>
    <row r="77" spans="2:10" x14ac:dyDescent="0.2">
      <c r="B77" s="256"/>
      <c r="E77" s="310"/>
      <c r="F77" s="256"/>
      <c r="G77" s="256"/>
      <c r="H77" s="256"/>
      <c r="I77" s="256"/>
      <c r="J77" s="290"/>
    </row>
    <row r="78" spans="2:10" x14ac:dyDescent="0.2">
      <c r="B78" s="256"/>
      <c r="E78" s="310"/>
      <c r="F78" s="256"/>
      <c r="G78" s="256"/>
      <c r="H78" s="256"/>
      <c r="I78" s="256"/>
      <c r="J78" s="290"/>
    </row>
    <row r="79" spans="2:10" x14ac:dyDescent="0.2">
      <c r="B79" s="256"/>
      <c r="E79" s="310"/>
      <c r="F79" s="256"/>
      <c r="G79" s="256"/>
      <c r="H79" s="256"/>
      <c r="I79" s="256"/>
      <c r="J79" s="290"/>
    </row>
    <row r="80" spans="2:10" x14ac:dyDescent="0.2">
      <c r="B80" s="256"/>
      <c r="E80" s="310"/>
      <c r="F80" s="256"/>
      <c r="G80" s="256"/>
      <c r="H80" s="256"/>
      <c r="I80" s="256"/>
      <c r="J80" s="290"/>
    </row>
    <row r="81" spans="2:10" x14ac:dyDescent="0.2">
      <c r="B81" s="256"/>
      <c r="E81" s="310"/>
      <c r="F81" s="256"/>
      <c r="G81" s="256"/>
      <c r="H81" s="256"/>
      <c r="I81" s="256"/>
      <c r="J81" s="290"/>
    </row>
    <row r="82" spans="2:10" x14ac:dyDescent="0.2">
      <c r="B82" s="256"/>
      <c r="E82" s="310"/>
      <c r="F82" s="256"/>
      <c r="G82" s="256"/>
      <c r="H82" s="256"/>
      <c r="I82" s="256"/>
      <c r="J82" s="290"/>
    </row>
    <row r="83" spans="2:10" x14ac:dyDescent="0.2">
      <c r="B83" s="256"/>
      <c r="E83" s="310"/>
      <c r="F83" s="256"/>
      <c r="G83" s="256"/>
      <c r="H83" s="256"/>
      <c r="I83" s="256"/>
      <c r="J83" s="290"/>
    </row>
    <row r="84" spans="2:10" x14ac:dyDescent="0.2">
      <c r="B84" s="256"/>
      <c r="E84" s="310"/>
      <c r="F84" s="256"/>
      <c r="G84" s="256"/>
      <c r="H84" s="256"/>
      <c r="I84" s="256"/>
      <c r="J84" s="290"/>
    </row>
    <row r="85" spans="2:10" x14ac:dyDescent="0.2">
      <c r="B85" s="256"/>
      <c r="E85" s="310"/>
      <c r="F85" s="256"/>
      <c r="G85" s="256"/>
      <c r="H85" s="256"/>
      <c r="I85" s="256"/>
      <c r="J85" s="290"/>
    </row>
    <row r="86" spans="2:10" x14ac:dyDescent="0.2">
      <c r="B86" s="256"/>
      <c r="E86" s="310"/>
      <c r="F86" s="256"/>
      <c r="G86" s="256"/>
      <c r="H86" s="256"/>
      <c r="I86" s="256"/>
      <c r="J86" s="290"/>
    </row>
    <row r="87" spans="2:10" x14ac:dyDescent="0.2">
      <c r="B87" s="256"/>
      <c r="E87" s="310"/>
      <c r="F87" s="256"/>
      <c r="G87" s="256"/>
      <c r="H87" s="256"/>
      <c r="I87" s="256"/>
      <c r="J87" s="290"/>
    </row>
    <row r="88" spans="2:10" x14ac:dyDescent="0.2">
      <c r="B88" s="256"/>
      <c r="E88" s="310"/>
      <c r="F88" s="256"/>
      <c r="G88" s="256"/>
      <c r="H88" s="256"/>
      <c r="I88" s="256"/>
      <c r="J88" s="290"/>
    </row>
    <row r="89" spans="2:10" x14ac:dyDescent="0.2">
      <c r="B89" s="256"/>
      <c r="E89" s="310"/>
      <c r="F89" s="256"/>
      <c r="G89" s="256"/>
      <c r="H89" s="256"/>
      <c r="I89" s="256"/>
      <c r="J89" s="290"/>
    </row>
    <row r="90" spans="2:10" x14ac:dyDescent="0.2">
      <c r="B90" s="256"/>
      <c r="E90" s="310"/>
      <c r="F90" s="256"/>
      <c r="G90" s="256"/>
      <c r="H90" s="256"/>
      <c r="I90" s="256"/>
      <c r="J90" s="290"/>
    </row>
    <row r="91" spans="2:10" x14ac:dyDescent="0.2">
      <c r="B91" s="256"/>
      <c r="E91" s="310"/>
      <c r="F91" s="256"/>
      <c r="G91" s="256"/>
      <c r="H91" s="256"/>
      <c r="I91" s="256"/>
      <c r="J91" s="290"/>
    </row>
    <row r="92" spans="2:10" x14ac:dyDescent="0.2">
      <c r="B92" s="256"/>
      <c r="E92" s="310"/>
      <c r="F92" s="256"/>
      <c r="G92" s="256"/>
      <c r="H92" s="256"/>
      <c r="I92" s="256"/>
      <c r="J92" s="290"/>
    </row>
    <row r="93" spans="2:10" x14ac:dyDescent="0.2">
      <c r="B93" s="256"/>
      <c r="E93" s="310"/>
      <c r="F93" s="256"/>
      <c r="G93" s="256"/>
      <c r="H93" s="256"/>
      <c r="I93" s="256"/>
      <c r="J93" s="290"/>
    </row>
    <row r="94" spans="2:10" x14ac:dyDescent="0.2">
      <c r="B94" s="256"/>
      <c r="E94" s="310"/>
      <c r="F94" s="256"/>
      <c r="G94" s="256"/>
      <c r="H94" s="256"/>
      <c r="I94" s="256"/>
      <c r="J94" s="290"/>
    </row>
    <row r="95" spans="2:10" x14ac:dyDescent="0.2">
      <c r="B95" s="256"/>
      <c r="E95" s="310"/>
      <c r="F95" s="256"/>
      <c r="G95" s="256"/>
      <c r="H95" s="256"/>
      <c r="I95" s="256"/>
      <c r="J95" s="290"/>
    </row>
    <row r="96" spans="2:10" x14ac:dyDescent="0.2">
      <c r="B96" s="256"/>
      <c r="E96" s="310"/>
      <c r="F96" s="256"/>
      <c r="G96" s="256"/>
      <c r="H96" s="256"/>
      <c r="I96" s="256"/>
      <c r="J96" s="290"/>
    </row>
    <row r="97" spans="2:10" x14ac:dyDescent="0.2">
      <c r="B97" s="256"/>
      <c r="E97" s="310"/>
      <c r="F97" s="256"/>
      <c r="G97" s="256"/>
      <c r="H97" s="256"/>
      <c r="I97" s="256"/>
      <c r="J97" s="290"/>
    </row>
    <row r="98" spans="2:10" x14ac:dyDescent="0.2">
      <c r="B98" s="256"/>
      <c r="E98" s="310"/>
      <c r="F98" s="256"/>
      <c r="G98" s="256"/>
      <c r="H98" s="256"/>
      <c r="I98" s="256"/>
      <c r="J98" s="290"/>
    </row>
    <row r="99" spans="2:10" x14ac:dyDescent="0.2">
      <c r="B99" s="256"/>
      <c r="E99" s="310"/>
      <c r="F99" s="256"/>
      <c r="G99" s="256"/>
      <c r="H99" s="256"/>
      <c r="I99" s="256"/>
      <c r="J99" s="290"/>
    </row>
    <row r="100" spans="2:10" x14ac:dyDescent="0.2">
      <c r="B100" s="256"/>
      <c r="E100" s="310"/>
      <c r="F100" s="256"/>
      <c r="G100" s="256"/>
      <c r="H100" s="256"/>
      <c r="I100" s="256"/>
      <c r="J100" s="290"/>
    </row>
    <row r="101" spans="2:10" x14ac:dyDescent="0.2">
      <c r="B101" s="256"/>
      <c r="E101" s="310"/>
      <c r="F101" s="256"/>
      <c r="G101" s="256"/>
      <c r="H101" s="256"/>
      <c r="I101" s="256"/>
      <c r="J101" s="290"/>
    </row>
    <row r="102" spans="2:10" x14ac:dyDescent="0.2">
      <c r="B102" s="256"/>
      <c r="E102" s="310"/>
      <c r="F102" s="256"/>
      <c r="G102" s="256"/>
      <c r="H102" s="256"/>
      <c r="I102" s="256"/>
      <c r="J102" s="290"/>
    </row>
    <row r="103" spans="2:10" x14ac:dyDescent="0.2">
      <c r="B103" s="256"/>
      <c r="E103" s="310"/>
      <c r="F103" s="256"/>
      <c r="G103" s="256"/>
      <c r="H103" s="256"/>
      <c r="I103" s="256"/>
      <c r="J103" s="290"/>
    </row>
    <row r="104" spans="2:10" x14ac:dyDescent="0.2">
      <c r="B104" s="256"/>
      <c r="E104" s="310"/>
      <c r="F104" s="256"/>
      <c r="G104" s="256"/>
      <c r="H104" s="256"/>
      <c r="I104" s="256"/>
      <c r="J104" s="290"/>
    </row>
    <row r="105" spans="2:10" x14ac:dyDescent="0.2">
      <c r="B105" s="256"/>
      <c r="E105" s="310"/>
      <c r="F105" s="256"/>
      <c r="G105" s="256"/>
      <c r="H105" s="256"/>
      <c r="I105" s="256"/>
      <c r="J105" s="290"/>
    </row>
    <row r="106" spans="2:10" x14ac:dyDescent="0.2">
      <c r="B106" s="256"/>
      <c r="E106" s="310"/>
      <c r="F106" s="256"/>
      <c r="G106" s="256"/>
      <c r="H106" s="256"/>
      <c r="I106" s="256"/>
      <c r="J106" s="290"/>
    </row>
    <row r="107" spans="2:10" x14ac:dyDescent="0.2">
      <c r="B107" s="256"/>
      <c r="E107" s="310"/>
      <c r="F107" s="256"/>
      <c r="G107" s="256"/>
      <c r="H107" s="256"/>
      <c r="I107" s="256"/>
      <c r="J107" s="290"/>
    </row>
    <row r="108" spans="2:10" x14ac:dyDescent="0.2">
      <c r="B108" s="256"/>
      <c r="E108" s="310"/>
      <c r="F108" s="256"/>
      <c r="G108" s="256"/>
      <c r="H108" s="256"/>
      <c r="I108" s="256"/>
      <c r="J108" s="290"/>
    </row>
    <row r="109" spans="2:10" x14ac:dyDescent="0.2">
      <c r="B109" s="256"/>
      <c r="E109" s="310"/>
      <c r="F109" s="256"/>
      <c r="G109" s="256"/>
      <c r="H109" s="256"/>
      <c r="I109" s="256"/>
      <c r="J109" s="290"/>
    </row>
    <row r="110" spans="2:10" x14ac:dyDescent="0.2">
      <c r="B110" s="256"/>
      <c r="E110" s="310"/>
      <c r="F110" s="256"/>
      <c r="G110" s="256"/>
      <c r="H110" s="256"/>
      <c r="I110" s="256"/>
      <c r="J110" s="290"/>
    </row>
    <row r="111" spans="2:10" x14ac:dyDescent="0.2">
      <c r="B111" s="256"/>
      <c r="E111" s="310"/>
      <c r="F111" s="256"/>
      <c r="G111" s="256"/>
      <c r="H111" s="256"/>
      <c r="I111" s="256"/>
      <c r="J111" s="290"/>
    </row>
    <row r="112" spans="2:10" x14ac:dyDescent="0.2">
      <c r="B112" s="256"/>
      <c r="E112" s="310"/>
      <c r="F112" s="256"/>
      <c r="G112" s="256"/>
      <c r="H112" s="256"/>
      <c r="I112" s="256"/>
      <c r="J112" s="290"/>
    </row>
    <row r="113" spans="2:10" x14ac:dyDescent="0.2">
      <c r="B113" s="256"/>
      <c r="E113" s="310"/>
      <c r="F113" s="256"/>
      <c r="G113" s="256"/>
      <c r="H113" s="256"/>
      <c r="I113" s="256"/>
      <c r="J113" s="290"/>
    </row>
    <row r="114" spans="2:10" x14ac:dyDescent="0.2">
      <c r="B114" s="256"/>
      <c r="E114" s="310"/>
      <c r="F114" s="256"/>
      <c r="G114" s="256"/>
      <c r="H114" s="256"/>
      <c r="I114" s="256"/>
      <c r="J114" s="290"/>
    </row>
    <row r="115" spans="2:10" x14ac:dyDescent="0.2">
      <c r="B115" s="256"/>
      <c r="E115" s="310"/>
      <c r="F115" s="256"/>
      <c r="G115" s="256"/>
      <c r="H115" s="256"/>
      <c r="I115" s="256"/>
      <c r="J115" s="290"/>
    </row>
    <row r="116" spans="2:10" x14ac:dyDescent="0.2">
      <c r="B116" s="256"/>
      <c r="E116" s="310"/>
      <c r="F116" s="256"/>
      <c r="G116" s="256"/>
      <c r="H116" s="256"/>
      <c r="I116" s="256"/>
      <c r="J116" s="290"/>
    </row>
    <row r="117" spans="2:10" x14ac:dyDescent="0.2">
      <c r="B117" s="256"/>
      <c r="E117" s="310"/>
      <c r="F117" s="256"/>
      <c r="G117" s="256"/>
      <c r="H117" s="256"/>
      <c r="I117" s="256"/>
      <c r="J117" s="290"/>
    </row>
    <row r="118" spans="2:10" x14ac:dyDescent="0.2">
      <c r="B118" s="256"/>
      <c r="E118" s="310"/>
      <c r="F118" s="256"/>
      <c r="G118" s="256"/>
      <c r="H118" s="256"/>
      <c r="I118" s="256"/>
      <c r="J118" s="290"/>
    </row>
    <row r="119" spans="2:10" x14ac:dyDescent="0.2">
      <c r="B119" s="256"/>
      <c r="E119" s="310"/>
      <c r="F119" s="256"/>
      <c r="G119" s="256"/>
      <c r="H119" s="256"/>
      <c r="I119" s="256"/>
      <c r="J119" s="290"/>
    </row>
    <row r="120" spans="2:10" x14ac:dyDescent="0.2">
      <c r="B120" s="256"/>
      <c r="E120" s="310"/>
      <c r="F120" s="256"/>
      <c r="G120" s="256"/>
      <c r="H120" s="256"/>
      <c r="I120" s="256"/>
      <c r="J120" s="290"/>
    </row>
    <row r="121" spans="2:10" x14ac:dyDescent="0.2">
      <c r="B121" s="256"/>
      <c r="E121" s="310"/>
      <c r="F121" s="256"/>
      <c r="G121" s="256"/>
      <c r="H121" s="256"/>
      <c r="I121" s="256"/>
      <c r="J121" s="290"/>
    </row>
    <row r="122" spans="2:10" x14ac:dyDescent="0.2">
      <c r="B122" s="256"/>
      <c r="E122" s="310"/>
      <c r="F122" s="256"/>
      <c r="G122" s="256"/>
      <c r="H122" s="256"/>
      <c r="I122" s="256"/>
      <c r="J122" s="290"/>
    </row>
    <row r="123" spans="2:10" x14ac:dyDescent="0.2">
      <c r="B123" s="256"/>
      <c r="E123" s="310"/>
      <c r="F123" s="256"/>
      <c r="G123" s="256"/>
      <c r="H123" s="256"/>
      <c r="I123" s="256"/>
      <c r="J123" s="290"/>
    </row>
    <row r="124" spans="2:10" x14ac:dyDescent="0.2">
      <c r="B124" s="256"/>
      <c r="E124" s="310"/>
      <c r="F124" s="256"/>
      <c r="G124" s="256"/>
      <c r="H124" s="256"/>
      <c r="I124" s="256"/>
      <c r="J124" s="290"/>
    </row>
    <row r="125" spans="2:10" x14ac:dyDescent="0.2">
      <c r="B125" s="256"/>
      <c r="E125" s="310"/>
      <c r="F125" s="256"/>
      <c r="G125" s="256"/>
      <c r="H125" s="256"/>
      <c r="I125" s="256"/>
      <c r="J125" s="290"/>
    </row>
    <row r="126" spans="2:10" x14ac:dyDescent="0.2">
      <c r="B126" s="256"/>
      <c r="E126" s="310"/>
      <c r="F126" s="256"/>
      <c r="G126" s="256"/>
      <c r="H126" s="256"/>
      <c r="I126" s="256"/>
      <c r="J126" s="290"/>
    </row>
    <row r="127" spans="2:10" x14ac:dyDescent="0.2">
      <c r="B127" s="256"/>
      <c r="E127" s="310"/>
      <c r="F127" s="256"/>
      <c r="G127" s="256"/>
      <c r="H127" s="256"/>
      <c r="I127" s="256"/>
      <c r="J127" s="290"/>
    </row>
    <row r="128" spans="2:10" x14ac:dyDescent="0.2">
      <c r="B128" s="256"/>
      <c r="E128" s="310"/>
      <c r="F128" s="256"/>
      <c r="G128" s="256"/>
      <c r="H128" s="256"/>
      <c r="I128" s="256"/>
      <c r="J128" s="290"/>
    </row>
    <row r="129" spans="2:10" x14ac:dyDescent="0.2">
      <c r="B129" s="256"/>
      <c r="E129" s="310"/>
      <c r="F129" s="256"/>
      <c r="G129" s="256"/>
      <c r="H129" s="256"/>
      <c r="I129" s="256"/>
      <c r="J129" s="290"/>
    </row>
    <row r="130" spans="2:10" x14ac:dyDescent="0.2">
      <c r="B130" s="256"/>
      <c r="E130" s="310"/>
      <c r="F130" s="256"/>
      <c r="G130" s="256"/>
      <c r="H130" s="256"/>
      <c r="I130" s="256"/>
      <c r="J130" s="290"/>
    </row>
    <row r="131" spans="2:10" x14ac:dyDescent="0.2">
      <c r="B131" s="256"/>
      <c r="E131" s="310"/>
      <c r="F131" s="256"/>
      <c r="G131" s="256"/>
      <c r="H131" s="256"/>
      <c r="I131" s="256"/>
      <c r="J131" s="290"/>
    </row>
    <row r="132" spans="2:10" x14ac:dyDescent="0.2">
      <c r="B132" s="256"/>
      <c r="E132" s="310"/>
      <c r="F132" s="256"/>
      <c r="G132" s="256"/>
      <c r="H132" s="256"/>
      <c r="I132" s="256"/>
      <c r="J132" s="290"/>
    </row>
    <row r="133" spans="2:10" x14ac:dyDescent="0.2">
      <c r="B133" s="256"/>
      <c r="E133" s="310"/>
      <c r="F133" s="256"/>
      <c r="G133" s="256"/>
      <c r="H133" s="256"/>
      <c r="I133" s="256"/>
      <c r="J133" s="290"/>
    </row>
    <row r="134" spans="2:10" x14ac:dyDescent="0.2">
      <c r="B134" s="256"/>
      <c r="E134" s="310"/>
      <c r="F134" s="256"/>
      <c r="G134" s="256"/>
      <c r="H134" s="256"/>
      <c r="I134" s="256"/>
      <c r="J134" s="290"/>
    </row>
    <row r="135" spans="2:10" x14ac:dyDescent="0.2">
      <c r="B135" s="256"/>
      <c r="E135" s="310"/>
      <c r="F135" s="256"/>
      <c r="G135" s="256"/>
      <c r="H135" s="256"/>
      <c r="I135" s="256"/>
      <c r="J135" s="290"/>
    </row>
    <row r="136" spans="2:10" x14ac:dyDescent="0.2">
      <c r="B136" s="256"/>
      <c r="E136" s="310"/>
      <c r="F136" s="256"/>
      <c r="G136" s="256"/>
      <c r="H136" s="256"/>
      <c r="I136" s="256"/>
      <c r="J136" s="290"/>
    </row>
    <row r="137" spans="2:10" x14ac:dyDescent="0.2">
      <c r="B137" s="256"/>
      <c r="E137" s="310"/>
      <c r="F137" s="256"/>
      <c r="G137" s="256"/>
      <c r="H137" s="256"/>
      <c r="I137" s="256"/>
      <c r="J137" s="290"/>
    </row>
    <row r="138" spans="2:10" x14ac:dyDescent="0.2">
      <c r="B138" s="256"/>
      <c r="E138" s="310"/>
      <c r="F138" s="256"/>
      <c r="G138" s="256"/>
      <c r="H138" s="256"/>
      <c r="I138" s="256"/>
      <c r="J138" s="290"/>
    </row>
    <row r="139" spans="2:10" x14ac:dyDescent="0.2">
      <c r="B139" s="256"/>
      <c r="E139" s="310"/>
      <c r="F139" s="256"/>
      <c r="G139" s="256"/>
      <c r="H139" s="256"/>
      <c r="I139" s="256"/>
      <c r="J139" s="290"/>
    </row>
    <row r="140" spans="2:10" x14ac:dyDescent="0.2">
      <c r="B140" s="256"/>
      <c r="E140" s="310"/>
      <c r="F140" s="256"/>
      <c r="G140" s="256"/>
      <c r="H140" s="256"/>
      <c r="I140" s="256"/>
      <c r="J140" s="290"/>
    </row>
    <row r="141" spans="2:10" x14ac:dyDescent="0.2">
      <c r="B141" s="256"/>
      <c r="E141" s="310"/>
      <c r="F141" s="256"/>
      <c r="G141" s="256"/>
      <c r="H141" s="256"/>
      <c r="I141" s="256"/>
      <c r="J141" s="290"/>
    </row>
    <row r="142" spans="2:10" x14ac:dyDescent="0.2">
      <c r="B142" s="256"/>
      <c r="E142" s="310"/>
      <c r="F142" s="256"/>
      <c r="G142" s="256"/>
      <c r="H142" s="256"/>
      <c r="I142" s="256"/>
      <c r="J142" s="290"/>
    </row>
    <row r="143" spans="2:10" x14ac:dyDescent="0.2">
      <c r="B143" s="256"/>
      <c r="E143" s="310"/>
      <c r="F143" s="256"/>
      <c r="G143" s="256"/>
      <c r="H143" s="256"/>
      <c r="I143" s="256"/>
      <c r="J143" s="290"/>
    </row>
    <row r="144" spans="2:10" x14ac:dyDescent="0.2">
      <c r="B144" s="256"/>
      <c r="E144" s="310"/>
      <c r="F144" s="256"/>
      <c r="G144" s="256"/>
      <c r="H144" s="256"/>
      <c r="I144" s="256"/>
      <c r="J144" s="290"/>
    </row>
    <row r="145" spans="2:10" x14ac:dyDescent="0.2">
      <c r="B145" s="256"/>
      <c r="E145" s="310"/>
      <c r="F145" s="256"/>
      <c r="G145" s="256"/>
      <c r="H145" s="256"/>
      <c r="I145" s="256"/>
      <c r="J145" s="290"/>
    </row>
    <row r="146" spans="2:10" x14ac:dyDescent="0.2">
      <c r="B146" s="256"/>
      <c r="E146" s="310"/>
      <c r="F146" s="256"/>
      <c r="G146" s="256"/>
      <c r="H146" s="256"/>
      <c r="I146" s="256"/>
      <c r="J146" s="290"/>
    </row>
    <row r="147" spans="2:10" x14ac:dyDescent="0.2">
      <c r="B147" s="256"/>
      <c r="E147" s="310"/>
      <c r="F147" s="256"/>
      <c r="G147" s="256"/>
      <c r="H147" s="256"/>
      <c r="I147" s="256"/>
      <c r="J147" s="290"/>
    </row>
    <row r="148" spans="2:10" x14ac:dyDescent="0.2">
      <c r="B148" s="256"/>
      <c r="E148" s="310"/>
      <c r="F148" s="256"/>
      <c r="G148" s="256"/>
      <c r="H148" s="256"/>
      <c r="I148" s="256"/>
      <c r="J148" s="290"/>
    </row>
    <row r="149" spans="2:10" x14ac:dyDescent="0.2">
      <c r="B149" s="256"/>
      <c r="E149" s="310"/>
      <c r="F149" s="256"/>
      <c r="G149" s="256"/>
      <c r="H149" s="256"/>
      <c r="I149" s="256"/>
      <c r="J149" s="290"/>
    </row>
    <row r="150" spans="2:10" x14ac:dyDescent="0.2">
      <c r="B150" s="256"/>
      <c r="E150" s="310"/>
      <c r="F150" s="256"/>
      <c r="G150" s="256"/>
      <c r="H150" s="256"/>
      <c r="I150" s="256"/>
      <c r="J150" s="290"/>
    </row>
    <row r="151" spans="2:10" x14ac:dyDescent="0.2">
      <c r="B151" s="256"/>
      <c r="E151" s="310"/>
      <c r="F151" s="256"/>
      <c r="G151" s="256"/>
      <c r="H151" s="256"/>
      <c r="I151" s="256"/>
      <c r="J151" s="290"/>
    </row>
    <row r="152" spans="2:10" x14ac:dyDescent="0.2">
      <c r="B152" s="256"/>
      <c r="E152" s="310"/>
      <c r="F152" s="256"/>
      <c r="G152" s="256"/>
      <c r="H152" s="256"/>
      <c r="I152" s="256"/>
      <c r="J152" s="290"/>
    </row>
    <row r="153" spans="2:10" x14ac:dyDescent="0.2">
      <c r="B153" s="256"/>
      <c r="E153" s="310"/>
      <c r="F153" s="256"/>
      <c r="G153" s="256"/>
      <c r="H153" s="256"/>
      <c r="I153" s="256"/>
      <c r="J153" s="290"/>
    </row>
    <row r="154" spans="2:10" x14ac:dyDescent="0.2">
      <c r="B154" s="256"/>
      <c r="E154" s="310"/>
      <c r="F154" s="256"/>
      <c r="G154" s="256"/>
      <c r="H154" s="256"/>
      <c r="I154" s="256"/>
      <c r="J154" s="290"/>
    </row>
    <row r="155" spans="2:10" x14ac:dyDescent="0.2">
      <c r="B155" s="256"/>
      <c r="E155" s="310"/>
      <c r="F155" s="256"/>
      <c r="G155" s="256"/>
      <c r="H155" s="256"/>
      <c r="I155" s="256"/>
      <c r="J155" s="290"/>
    </row>
    <row r="156" spans="2:10" x14ac:dyDescent="0.2">
      <c r="B156" s="256"/>
      <c r="E156" s="310"/>
      <c r="F156" s="256"/>
      <c r="G156" s="256"/>
      <c r="H156" s="256"/>
      <c r="I156" s="256"/>
      <c r="J156" s="290"/>
    </row>
    <row r="157" spans="2:10" x14ac:dyDescent="0.2">
      <c r="B157" s="256"/>
      <c r="E157" s="310"/>
      <c r="F157" s="256"/>
      <c r="G157" s="256"/>
      <c r="H157" s="256"/>
      <c r="I157" s="256"/>
      <c r="J157" s="290"/>
    </row>
    <row r="158" spans="2:10" x14ac:dyDescent="0.2">
      <c r="B158" s="256"/>
      <c r="E158" s="310"/>
      <c r="F158" s="256"/>
      <c r="G158" s="256"/>
      <c r="H158" s="256"/>
      <c r="I158" s="256"/>
      <c r="J158" s="290"/>
    </row>
    <row r="159" spans="2:10" x14ac:dyDescent="0.2">
      <c r="B159" s="256"/>
      <c r="E159" s="310"/>
      <c r="F159" s="256"/>
      <c r="G159" s="256"/>
      <c r="H159" s="256"/>
      <c r="I159" s="256"/>
      <c r="J159" s="290"/>
    </row>
    <row r="160" spans="2:10" x14ac:dyDescent="0.2">
      <c r="B160" s="256"/>
      <c r="E160" s="310"/>
      <c r="F160" s="256"/>
      <c r="G160" s="256"/>
      <c r="H160" s="256"/>
      <c r="I160" s="256"/>
      <c r="J160" s="290"/>
    </row>
    <row r="161" spans="2:10" x14ac:dyDescent="0.2">
      <c r="B161" s="256"/>
      <c r="E161" s="310"/>
      <c r="F161" s="256"/>
      <c r="G161" s="256"/>
      <c r="H161" s="256"/>
      <c r="I161" s="256"/>
      <c r="J161" s="290"/>
    </row>
    <row r="162" spans="2:10" x14ac:dyDescent="0.2">
      <c r="B162" s="256"/>
      <c r="E162" s="310"/>
      <c r="F162" s="256"/>
      <c r="G162" s="256"/>
      <c r="H162" s="256"/>
      <c r="I162" s="256"/>
      <c r="J162" s="290"/>
    </row>
    <row r="163" spans="2:10" x14ac:dyDescent="0.2">
      <c r="B163" s="256"/>
      <c r="E163" s="310"/>
      <c r="F163" s="256"/>
      <c r="G163" s="256"/>
      <c r="H163" s="256"/>
      <c r="I163" s="256"/>
      <c r="J163" s="290"/>
    </row>
    <row r="164" spans="2:10" x14ac:dyDescent="0.2">
      <c r="B164" s="256"/>
      <c r="E164" s="310"/>
      <c r="F164" s="256"/>
      <c r="G164" s="256"/>
      <c r="H164" s="256"/>
      <c r="I164" s="256"/>
      <c r="J164" s="290"/>
    </row>
    <row r="165" spans="2:10" x14ac:dyDescent="0.2">
      <c r="B165" s="256"/>
      <c r="E165" s="310"/>
      <c r="F165" s="256"/>
      <c r="G165" s="256"/>
      <c r="H165" s="256"/>
      <c r="I165" s="256"/>
      <c r="J165" s="290"/>
    </row>
    <row r="166" spans="2:10" x14ac:dyDescent="0.2">
      <c r="B166" s="256"/>
      <c r="E166" s="310"/>
      <c r="F166" s="256"/>
      <c r="G166" s="256"/>
      <c r="H166" s="256"/>
      <c r="I166" s="256"/>
      <c r="J166" s="290"/>
    </row>
    <row r="167" spans="2:10" x14ac:dyDescent="0.2">
      <c r="B167" s="256"/>
      <c r="E167" s="310"/>
      <c r="F167" s="256"/>
      <c r="G167" s="256"/>
      <c r="H167" s="256"/>
      <c r="I167" s="256"/>
      <c r="J167" s="290"/>
    </row>
    <row r="168" spans="2:10" x14ac:dyDescent="0.2">
      <c r="B168" s="256"/>
      <c r="E168" s="310"/>
      <c r="F168" s="256"/>
      <c r="G168" s="256"/>
      <c r="H168" s="256"/>
      <c r="I168" s="256"/>
      <c r="J168" s="290"/>
    </row>
    <row r="169" spans="2:10" x14ac:dyDescent="0.2">
      <c r="B169" s="256"/>
      <c r="E169" s="310"/>
      <c r="F169" s="256"/>
      <c r="G169" s="256"/>
      <c r="H169" s="256"/>
      <c r="I169" s="256"/>
      <c r="J169" s="290"/>
    </row>
    <row r="170" spans="2:10" x14ac:dyDescent="0.2">
      <c r="B170" s="256"/>
      <c r="E170" s="310"/>
      <c r="F170" s="256"/>
      <c r="G170" s="256"/>
      <c r="H170" s="256"/>
      <c r="I170" s="256"/>
      <c r="J170" s="290"/>
    </row>
    <row r="171" spans="2:10" x14ac:dyDescent="0.2">
      <c r="B171" s="256"/>
      <c r="E171" s="310"/>
      <c r="F171" s="256"/>
      <c r="G171" s="256"/>
      <c r="H171" s="256"/>
      <c r="I171" s="256"/>
      <c r="J171" s="290"/>
    </row>
    <row r="172" spans="2:10" x14ac:dyDescent="0.2">
      <c r="B172" s="256"/>
      <c r="E172" s="310"/>
      <c r="F172" s="256"/>
      <c r="G172" s="256"/>
      <c r="H172" s="256"/>
      <c r="I172" s="256"/>
      <c r="J172" s="290"/>
    </row>
    <row r="173" spans="2:10" x14ac:dyDescent="0.2">
      <c r="B173" s="256"/>
      <c r="E173" s="310"/>
      <c r="F173" s="256"/>
      <c r="G173" s="256"/>
      <c r="H173" s="256"/>
      <c r="I173" s="256"/>
      <c r="J173" s="290"/>
    </row>
    <row r="174" spans="2:10" x14ac:dyDescent="0.2">
      <c r="B174" s="256"/>
      <c r="E174" s="310"/>
      <c r="F174" s="256"/>
      <c r="G174" s="256"/>
      <c r="H174" s="256"/>
      <c r="I174" s="256"/>
      <c r="J174" s="290"/>
    </row>
    <row r="175" spans="2:10" x14ac:dyDescent="0.2">
      <c r="B175" s="256"/>
      <c r="E175" s="310"/>
      <c r="F175" s="256"/>
      <c r="G175" s="256"/>
      <c r="H175" s="256"/>
      <c r="I175" s="256"/>
      <c r="J175" s="290"/>
    </row>
    <row r="176" spans="2:10" x14ac:dyDescent="0.2">
      <c r="B176" s="256"/>
      <c r="E176" s="310"/>
      <c r="F176" s="256"/>
      <c r="G176" s="256"/>
      <c r="H176" s="256"/>
      <c r="I176" s="256"/>
      <c r="J176" s="290"/>
    </row>
    <row r="177" spans="2:10" x14ac:dyDescent="0.2">
      <c r="B177" s="256"/>
      <c r="E177" s="310"/>
      <c r="F177" s="256"/>
      <c r="G177" s="256"/>
      <c r="H177" s="256"/>
      <c r="I177" s="256"/>
      <c r="J177" s="290"/>
    </row>
    <row r="178" spans="2:10" x14ac:dyDescent="0.2">
      <c r="B178" s="256"/>
      <c r="E178" s="310"/>
      <c r="F178" s="256"/>
      <c r="G178" s="256"/>
      <c r="H178" s="256"/>
      <c r="I178" s="256"/>
      <c r="J178" s="290"/>
    </row>
    <row r="179" spans="2:10" x14ac:dyDescent="0.2">
      <c r="B179" s="256"/>
      <c r="E179" s="310"/>
      <c r="F179" s="256"/>
      <c r="G179" s="256"/>
      <c r="H179" s="256"/>
      <c r="I179" s="256"/>
      <c r="J179" s="290"/>
    </row>
    <row r="180" spans="2:10" x14ac:dyDescent="0.2">
      <c r="B180" s="256"/>
      <c r="E180" s="310"/>
      <c r="F180" s="256"/>
      <c r="G180" s="256"/>
      <c r="H180" s="256"/>
      <c r="I180" s="256"/>
      <c r="J180" s="290"/>
    </row>
    <row r="181" spans="2:10" x14ac:dyDescent="0.2">
      <c r="B181" s="256"/>
      <c r="E181" s="310"/>
      <c r="F181" s="256"/>
      <c r="G181" s="256"/>
      <c r="H181" s="256"/>
      <c r="I181" s="256"/>
      <c r="J181" s="290"/>
    </row>
    <row r="182" spans="2:10" x14ac:dyDescent="0.2">
      <c r="B182" s="256"/>
      <c r="E182" s="310"/>
      <c r="F182" s="256"/>
      <c r="G182" s="256"/>
      <c r="H182" s="256"/>
      <c r="I182" s="256"/>
      <c r="J182" s="290"/>
    </row>
    <row r="183" spans="2:10" x14ac:dyDescent="0.2">
      <c r="B183" s="256"/>
      <c r="E183" s="310"/>
      <c r="F183" s="256"/>
      <c r="G183" s="256"/>
      <c r="H183" s="256"/>
      <c r="I183" s="256"/>
      <c r="J183" s="290"/>
    </row>
    <row r="184" spans="2:10" x14ac:dyDescent="0.2">
      <c r="B184" s="256"/>
      <c r="E184" s="310"/>
      <c r="F184" s="256"/>
      <c r="G184" s="256"/>
      <c r="H184" s="256"/>
      <c r="I184" s="256"/>
      <c r="J184" s="290"/>
    </row>
    <row r="185" spans="2:10" x14ac:dyDescent="0.2">
      <c r="B185" s="256"/>
      <c r="E185" s="310"/>
      <c r="F185" s="256"/>
      <c r="G185" s="256"/>
      <c r="H185" s="256"/>
      <c r="I185" s="256"/>
      <c r="J185" s="290"/>
    </row>
    <row r="186" spans="2:10" x14ac:dyDescent="0.2">
      <c r="B186" s="256"/>
      <c r="E186" s="310"/>
      <c r="F186" s="256"/>
      <c r="G186" s="256"/>
      <c r="H186" s="256"/>
      <c r="I186" s="256"/>
      <c r="J186" s="290"/>
    </row>
    <row r="187" spans="2:10" x14ac:dyDescent="0.2">
      <c r="B187" s="256"/>
      <c r="E187" s="310"/>
      <c r="F187" s="256"/>
      <c r="G187" s="256"/>
      <c r="H187" s="256"/>
      <c r="I187" s="256"/>
      <c r="J187" s="290"/>
    </row>
    <row r="188" spans="2:10" x14ac:dyDescent="0.2">
      <c r="B188" s="256"/>
      <c r="E188" s="310"/>
      <c r="F188" s="256"/>
      <c r="G188" s="256"/>
      <c r="H188" s="256"/>
      <c r="I188" s="256"/>
      <c r="J188" s="290"/>
    </row>
    <row r="189" spans="2:10" x14ac:dyDescent="0.2">
      <c r="B189" s="256"/>
      <c r="E189" s="310"/>
      <c r="F189" s="256"/>
      <c r="G189" s="256"/>
      <c r="H189" s="256"/>
      <c r="I189" s="256"/>
      <c r="J189" s="290"/>
    </row>
    <row r="190" spans="2:10" x14ac:dyDescent="0.2">
      <c r="B190" s="256"/>
      <c r="E190" s="310"/>
      <c r="F190" s="256"/>
      <c r="G190" s="256"/>
      <c r="H190" s="256"/>
      <c r="I190" s="256"/>
      <c r="J190" s="290"/>
    </row>
    <row r="191" spans="2:10" x14ac:dyDescent="0.2">
      <c r="B191" s="256"/>
      <c r="E191" s="310"/>
      <c r="F191" s="256"/>
      <c r="G191" s="256"/>
      <c r="H191" s="256"/>
      <c r="I191" s="256"/>
      <c r="J191" s="290"/>
    </row>
    <row r="192" spans="2:10" x14ac:dyDescent="0.2">
      <c r="B192" s="256"/>
      <c r="E192" s="310"/>
      <c r="F192" s="256"/>
      <c r="G192" s="256"/>
      <c r="H192" s="256"/>
      <c r="I192" s="256"/>
      <c r="J192" s="290"/>
    </row>
    <row r="193" spans="2:10" x14ac:dyDescent="0.2">
      <c r="B193" s="256"/>
      <c r="E193" s="310"/>
      <c r="F193" s="256"/>
      <c r="G193" s="256"/>
      <c r="H193" s="256"/>
      <c r="I193" s="256"/>
      <c r="J193" s="290"/>
    </row>
    <row r="194" spans="2:10" x14ac:dyDescent="0.2">
      <c r="B194" s="256"/>
      <c r="E194" s="310"/>
      <c r="F194" s="256"/>
      <c r="G194" s="256"/>
      <c r="H194" s="256"/>
      <c r="I194" s="256"/>
      <c r="J194" s="290"/>
    </row>
    <row r="195" spans="2:10" x14ac:dyDescent="0.2">
      <c r="B195" s="256"/>
      <c r="E195" s="310"/>
      <c r="F195" s="256"/>
      <c r="G195" s="256"/>
      <c r="H195" s="256"/>
      <c r="I195" s="256"/>
      <c r="J195" s="290"/>
    </row>
    <row r="196" spans="2:10" x14ac:dyDescent="0.2">
      <c r="B196" s="256"/>
      <c r="E196" s="310"/>
      <c r="F196" s="256"/>
      <c r="G196" s="256"/>
      <c r="H196" s="256"/>
      <c r="I196" s="256"/>
      <c r="J196" s="290"/>
    </row>
    <row r="197" spans="2:10" x14ac:dyDescent="0.2">
      <c r="B197" s="256"/>
      <c r="E197" s="310"/>
      <c r="F197" s="256"/>
      <c r="G197" s="256"/>
      <c r="H197" s="256"/>
      <c r="I197" s="256"/>
      <c r="J197" s="290"/>
    </row>
    <row r="198" spans="2:10" x14ac:dyDescent="0.2">
      <c r="B198" s="256"/>
      <c r="E198" s="310"/>
      <c r="F198" s="256"/>
      <c r="G198" s="256"/>
      <c r="H198" s="256"/>
      <c r="I198" s="256"/>
      <c r="J198" s="290"/>
    </row>
    <row r="199" spans="2:10" x14ac:dyDescent="0.2">
      <c r="B199" s="256"/>
      <c r="E199" s="310"/>
      <c r="F199" s="256"/>
      <c r="G199" s="256"/>
      <c r="H199" s="256"/>
      <c r="I199" s="256"/>
      <c r="J199" s="290"/>
    </row>
    <row r="200" spans="2:10" x14ac:dyDescent="0.2">
      <c r="B200" s="256"/>
      <c r="E200" s="310"/>
      <c r="F200" s="256"/>
      <c r="G200" s="256"/>
      <c r="H200" s="256"/>
      <c r="I200" s="256"/>
      <c r="J200" s="290"/>
    </row>
    <row r="201" spans="2:10" x14ac:dyDescent="0.2">
      <c r="B201" s="256"/>
      <c r="E201" s="310"/>
      <c r="F201" s="256"/>
      <c r="G201" s="256"/>
      <c r="H201" s="256"/>
      <c r="I201" s="256"/>
      <c r="J201" s="290"/>
    </row>
    <row r="202" spans="2:10" x14ac:dyDescent="0.2">
      <c r="B202" s="256"/>
      <c r="E202" s="310"/>
      <c r="F202" s="256"/>
      <c r="G202" s="256"/>
      <c r="H202" s="256"/>
      <c r="I202" s="256"/>
      <c r="J202" s="290"/>
    </row>
    <row r="203" spans="2:10" x14ac:dyDescent="0.2">
      <c r="B203" s="256"/>
      <c r="E203" s="310"/>
      <c r="F203" s="256"/>
      <c r="G203" s="256"/>
      <c r="H203" s="256"/>
      <c r="I203" s="256"/>
      <c r="J203" s="290"/>
    </row>
    <row r="204" spans="2:10" x14ac:dyDescent="0.2">
      <c r="B204" s="256"/>
      <c r="E204" s="310"/>
      <c r="F204" s="256"/>
      <c r="G204" s="256"/>
      <c r="H204" s="256"/>
      <c r="I204" s="256"/>
      <c r="J204" s="290"/>
    </row>
    <row r="205" spans="2:10" x14ac:dyDescent="0.2">
      <c r="B205" s="256"/>
      <c r="E205" s="310"/>
      <c r="F205" s="256"/>
      <c r="G205" s="256"/>
      <c r="H205" s="256"/>
      <c r="I205" s="256"/>
      <c r="J205" s="290"/>
    </row>
    <row r="206" spans="2:10" x14ac:dyDescent="0.2">
      <c r="B206" s="256"/>
      <c r="E206" s="310"/>
      <c r="F206" s="256"/>
      <c r="G206" s="256"/>
      <c r="H206" s="256"/>
      <c r="I206" s="256"/>
      <c r="J206" s="290"/>
    </row>
    <row r="207" spans="2:10" x14ac:dyDescent="0.2">
      <c r="B207" s="256"/>
      <c r="E207" s="310"/>
      <c r="F207" s="256"/>
      <c r="G207" s="256"/>
      <c r="H207" s="256"/>
      <c r="I207" s="256"/>
      <c r="J207" s="290"/>
    </row>
    <row r="208" spans="2:10" x14ac:dyDescent="0.2">
      <c r="B208" s="256"/>
      <c r="E208" s="310"/>
      <c r="F208" s="256"/>
      <c r="G208" s="256"/>
      <c r="H208" s="256"/>
      <c r="I208" s="256"/>
      <c r="J208" s="290"/>
    </row>
    <row r="209" spans="2:10" x14ac:dyDescent="0.2">
      <c r="B209" s="256"/>
      <c r="E209" s="310"/>
      <c r="F209" s="256"/>
      <c r="G209" s="256"/>
      <c r="H209" s="256"/>
      <c r="I209" s="256"/>
      <c r="J209" s="290"/>
    </row>
    <row r="210" spans="2:10" x14ac:dyDescent="0.2">
      <c r="B210" s="256"/>
      <c r="E210" s="310"/>
      <c r="F210" s="256"/>
      <c r="G210" s="256"/>
      <c r="H210" s="256"/>
      <c r="I210" s="256"/>
      <c r="J210" s="290"/>
    </row>
    <row r="211" spans="2:10" x14ac:dyDescent="0.2">
      <c r="B211" s="256"/>
      <c r="E211" s="310"/>
      <c r="F211" s="256"/>
      <c r="G211" s="256"/>
      <c r="H211" s="256"/>
      <c r="I211" s="256"/>
      <c r="J211" s="290"/>
    </row>
    <row r="212" spans="2:10" x14ac:dyDescent="0.2">
      <c r="B212" s="256"/>
      <c r="E212" s="310"/>
      <c r="F212" s="256"/>
      <c r="G212" s="256"/>
      <c r="H212" s="256"/>
      <c r="I212" s="256"/>
      <c r="J212" s="290"/>
    </row>
    <row r="213" spans="2:10" x14ac:dyDescent="0.2">
      <c r="B213" s="256"/>
      <c r="E213" s="310"/>
      <c r="F213" s="256"/>
      <c r="G213" s="256"/>
      <c r="H213" s="256"/>
      <c r="I213" s="256"/>
      <c r="J213" s="290"/>
    </row>
    <row r="214" spans="2:10" x14ac:dyDescent="0.2">
      <c r="B214" s="256"/>
      <c r="E214" s="310"/>
      <c r="F214" s="256"/>
      <c r="G214" s="256"/>
      <c r="H214" s="256"/>
      <c r="I214" s="256"/>
      <c r="J214" s="290"/>
    </row>
    <row r="215" spans="2:10" x14ac:dyDescent="0.2">
      <c r="B215" s="256"/>
      <c r="E215" s="310"/>
      <c r="F215" s="256"/>
      <c r="G215" s="256"/>
      <c r="H215" s="256"/>
      <c r="I215" s="256"/>
      <c r="J215" s="290"/>
    </row>
    <row r="216" spans="2:10" x14ac:dyDescent="0.2">
      <c r="B216" s="256"/>
      <c r="E216" s="310"/>
      <c r="F216" s="256"/>
      <c r="G216" s="256"/>
      <c r="H216" s="256"/>
      <c r="I216" s="256"/>
      <c r="J216" s="290"/>
    </row>
    <row r="217" spans="2:10" x14ac:dyDescent="0.2">
      <c r="B217" s="256"/>
      <c r="E217" s="310"/>
      <c r="F217" s="256"/>
      <c r="G217" s="256"/>
      <c r="H217" s="256"/>
      <c r="I217" s="256"/>
      <c r="J217" s="290"/>
    </row>
    <row r="218" spans="2:10" x14ac:dyDescent="0.2">
      <c r="B218" s="256"/>
      <c r="E218" s="310"/>
      <c r="F218" s="256"/>
      <c r="G218" s="256"/>
      <c r="H218" s="256"/>
      <c r="I218" s="256"/>
      <c r="J218" s="290"/>
    </row>
    <row r="219" spans="2:10" x14ac:dyDescent="0.2">
      <c r="B219" s="256"/>
      <c r="E219" s="310"/>
      <c r="F219" s="256"/>
      <c r="G219" s="256"/>
      <c r="H219" s="256"/>
      <c r="I219" s="256"/>
      <c r="J219" s="290"/>
    </row>
    <row r="220" spans="2:10" x14ac:dyDescent="0.2">
      <c r="B220" s="256"/>
      <c r="E220" s="310"/>
      <c r="F220" s="256"/>
      <c r="G220" s="256"/>
      <c r="H220" s="256"/>
      <c r="I220" s="256"/>
      <c r="J220" s="290"/>
    </row>
    <row r="221" spans="2:10" x14ac:dyDescent="0.2">
      <c r="B221" s="256"/>
      <c r="E221" s="310"/>
      <c r="F221" s="256"/>
      <c r="G221" s="256"/>
      <c r="H221" s="256"/>
      <c r="I221" s="256"/>
      <c r="J221" s="290"/>
    </row>
    <row r="222" spans="2:10" x14ac:dyDescent="0.2">
      <c r="B222" s="256"/>
      <c r="E222" s="310"/>
      <c r="F222" s="256"/>
      <c r="G222" s="256"/>
      <c r="H222" s="256"/>
      <c r="I222" s="256"/>
      <c r="J222" s="290"/>
    </row>
    <row r="223" spans="2:10" x14ac:dyDescent="0.2">
      <c r="B223" s="256"/>
      <c r="E223" s="310"/>
      <c r="F223" s="256"/>
      <c r="G223" s="256"/>
      <c r="H223" s="256"/>
      <c r="I223" s="256"/>
      <c r="J223" s="290"/>
    </row>
    <row r="224" spans="2:10" x14ac:dyDescent="0.2">
      <c r="B224" s="256"/>
      <c r="E224" s="310"/>
      <c r="F224" s="256"/>
      <c r="G224" s="256"/>
      <c r="H224" s="256"/>
      <c r="I224" s="256"/>
      <c r="J224" s="290"/>
    </row>
    <row r="225" spans="2:10" x14ac:dyDescent="0.2">
      <c r="B225" s="256"/>
      <c r="E225" s="310"/>
      <c r="F225" s="256"/>
      <c r="G225" s="256"/>
      <c r="H225" s="256"/>
      <c r="I225" s="256"/>
      <c r="J225" s="290"/>
    </row>
    <row r="226" spans="2:10" x14ac:dyDescent="0.2">
      <c r="B226" s="256"/>
      <c r="E226" s="310"/>
      <c r="F226" s="256"/>
      <c r="G226" s="256"/>
      <c r="H226" s="256"/>
      <c r="I226" s="256"/>
      <c r="J226" s="290"/>
    </row>
    <row r="227" spans="2:10" x14ac:dyDescent="0.2">
      <c r="B227" s="256"/>
      <c r="E227" s="310"/>
      <c r="F227" s="256"/>
      <c r="G227" s="256"/>
      <c r="H227" s="256"/>
      <c r="I227" s="256"/>
      <c r="J227" s="290"/>
    </row>
    <row r="228" spans="2:10" x14ac:dyDescent="0.2">
      <c r="B228" s="256"/>
      <c r="E228" s="310"/>
      <c r="F228" s="256"/>
      <c r="G228" s="256"/>
      <c r="H228" s="256"/>
      <c r="I228" s="256"/>
      <c r="J228" s="290"/>
    </row>
    <row r="229" spans="2:10" x14ac:dyDescent="0.2">
      <c r="B229" s="256"/>
      <c r="E229" s="310"/>
      <c r="F229" s="256"/>
      <c r="G229" s="256"/>
      <c r="H229" s="256"/>
      <c r="I229" s="256"/>
      <c r="J229" s="290"/>
    </row>
    <row r="230" spans="2:10" x14ac:dyDescent="0.2">
      <c r="B230" s="256"/>
      <c r="E230" s="310"/>
      <c r="F230" s="256"/>
      <c r="G230" s="256"/>
      <c r="H230" s="256"/>
      <c r="I230" s="256"/>
      <c r="J230" s="290"/>
    </row>
    <row r="231" spans="2:10" x14ac:dyDescent="0.2">
      <c r="B231" s="256"/>
      <c r="E231" s="310"/>
      <c r="F231" s="256"/>
      <c r="G231" s="256"/>
      <c r="H231" s="256"/>
      <c r="I231" s="256"/>
      <c r="J231" s="290"/>
    </row>
    <row r="232" spans="2:10" x14ac:dyDescent="0.2">
      <c r="B232" s="256"/>
      <c r="E232" s="310"/>
      <c r="F232" s="256"/>
      <c r="G232" s="256"/>
      <c r="H232" s="256"/>
      <c r="I232" s="256"/>
      <c r="J232" s="290"/>
    </row>
    <row r="233" spans="2:10" x14ac:dyDescent="0.2">
      <c r="B233" s="256"/>
      <c r="E233" s="310"/>
      <c r="F233" s="256"/>
      <c r="G233" s="256"/>
      <c r="H233" s="256"/>
      <c r="I233" s="256"/>
      <c r="J233" s="290"/>
    </row>
    <row r="234" spans="2:10" x14ac:dyDescent="0.2">
      <c r="B234" s="256"/>
      <c r="E234" s="310"/>
      <c r="F234" s="256"/>
      <c r="G234" s="256"/>
      <c r="H234" s="256"/>
      <c r="I234" s="256"/>
      <c r="J234" s="290"/>
    </row>
    <row r="235" spans="2:10" x14ac:dyDescent="0.2">
      <c r="B235" s="256"/>
      <c r="E235" s="310"/>
      <c r="F235" s="256"/>
      <c r="G235" s="256"/>
      <c r="H235" s="256"/>
      <c r="I235" s="256"/>
      <c r="J235" s="290"/>
    </row>
    <row r="236" spans="2:10" x14ac:dyDescent="0.2">
      <c r="B236" s="256"/>
      <c r="E236" s="310"/>
      <c r="F236" s="256"/>
      <c r="G236" s="256"/>
      <c r="H236" s="256"/>
      <c r="I236" s="256"/>
      <c r="J236" s="290"/>
    </row>
    <row r="237" spans="2:10" x14ac:dyDescent="0.2">
      <c r="B237" s="256"/>
      <c r="E237" s="310"/>
      <c r="F237" s="256"/>
      <c r="G237" s="256"/>
      <c r="H237" s="256"/>
      <c r="I237" s="256"/>
      <c r="J237" s="290"/>
    </row>
    <row r="238" spans="2:10" x14ac:dyDescent="0.2">
      <c r="B238" s="256"/>
      <c r="E238" s="310"/>
      <c r="F238" s="256"/>
      <c r="G238" s="256"/>
      <c r="H238" s="256"/>
      <c r="I238" s="256"/>
      <c r="J238" s="290"/>
    </row>
    <row r="239" spans="2:10" x14ac:dyDescent="0.2">
      <c r="B239" s="256"/>
      <c r="E239" s="310"/>
      <c r="F239" s="256"/>
      <c r="G239" s="256"/>
      <c r="H239" s="256"/>
      <c r="I239" s="256"/>
      <c r="J239" s="290"/>
    </row>
    <row r="240" spans="2:10" x14ac:dyDescent="0.2">
      <c r="B240" s="256"/>
      <c r="E240" s="310"/>
      <c r="F240" s="256"/>
      <c r="G240" s="256"/>
      <c r="H240" s="256"/>
      <c r="I240" s="256"/>
      <c r="J240" s="290"/>
    </row>
    <row r="241" spans="2:10" x14ac:dyDescent="0.2">
      <c r="B241" s="256"/>
      <c r="E241" s="310"/>
      <c r="F241" s="256"/>
      <c r="G241" s="256"/>
      <c r="H241" s="256"/>
      <c r="I241" s="256"/>
      <c r="J241" s="290"/>
    </row>
    <row r="242" spans="2:10" x14ac:dyDescent="0.2">
      <c r="B242" s="256"/>
      <c r="E242" s="310"/>
      <c r="F242" s="256"/>
      <c r="G242" s="256"/>
      <c r="H242" s="256"/>
      <c r="I242" s="256"/>
      <c r="J242" s="290"/>
    </row>
    <row r="243" spans="2:10" x14ac:dyDescent="0.2">
      <c r="B243" s="256"/>
      <c r="E243" s="310"/>
      <c r="F243" s="256"/>
      <c r="G243" s="256"/>
      <c r="H243" s="256"/>
      <c r="I243" s="256"/>
      <c r="J243" s="290"/>
    </row>
    <row r="244" spans="2:10" x14ac:dyDescent="0.2">
      <c r="B244" s="256"/>
      <c r="E244" s="310"/>
      <c r="F244" s="256"/>
      <c r="G244" s="256"/>
      <c r="H244" s="256"/>
      <c r="I244" s="256"/>
      <c r="J244" s="290"/>
    </row>
    <row r="245" spans="2:10" x14ac:dyDescent="0.2">
      <c r="B245" s="256"/>
      <c r="E245" s="310"/>
      <c r="F245" s="256"/>
      <c r="G245" s="256"/>
      <c r="H245" s="256"/>
      <c r="I245" s="256"/>
      <c r="J245" s="290"/>
    </row>
    <row r="246" spans="2:10" x14ac:dyDescent="0.2">
      <c r="B246" s="256"/>
      <c r="E246" s="310"/>
      <c r="F246" s="256"/>
      <c r="G246" s="256"/>
      <c r="H246" s="256"/>
      <c r="I246" s="256"/>
      <c r="J246" s="290"/>
    </row>
    <row r="247" spans="2:10" x14ac:dyDescent="0.2">
      <c r="B247" s="256"/>
      <c r="E247" s="310"/>
      <c r="F247" s="256"/>
      <c r="G247" s="256"/>
      <c r="H247" s="256"/>
      <c r="I247" s="256"/>
      <c r="J247" s="290"/>
    </row>
    <row r="248" spans="2:10" x14ac:dyDescent="0.2">
      <c r="B248" s="256"/>
      <c r="E248" s="310"/>
      <c r="F248" s="256"/>
      <c r="G248" s="256"/>
      <c r="H248" s="256"/>
      <c r="I248" s="256"/>
      <c r="J248" s="290"/>
    </row>
    <row r="249" spans="2:10" x14ac:dyDescent="0.2">
      <c r="B249" s="256"/>
      <c r="E249" s="310"/>
      <c r="F249" s="256"/>
      <c r="G249" s="256"/>
      <c r="H249" s="256"/>
      <c r="I249" s="256"/>
      <c r="J249" s="290"/>
    </row>
    <row r="250" spans="2:10" x14ac:dyDescent="0.2">
      <c r="B250" s="256"/>
      <c r="E250" s="310"/>
      <c r="F250" s="256"/>
      <c r="G250" s="256"/>
      <c r="H250" s="256"/>
      <c r="I250" s="256"/>
      <c r="J250" s="290"/>
    </row>
    <row r="251" spans="2:10" x14ac:dyDescent="0.2">
      <c r="B251" s="256"/>
      <c r="E251" s="310"/>
      <c r="F251" s="256"/>
      <c r="G251" s="256"/>
      <c r="H251" s="256"/>
      <c r="I251" s="256"/>
      <c r="J251" s="290"/>
    </row>
    <row r="252" spans="2:10" x14ac:dyDescent="0.2">
      <c r="B252" s="256"/>
      <c r="E252" s="310"/>
      <c r="F252" s="256"/>
      <c r="G252" s="256"/>
      <c r="H252" s="256"/>
      <c r="I252" s="256"/>
      <c r="J252" s="290"/>
    </row>
    <row r="253" spans="2:10" x14ac:dyDescent="0.2">
      <c r="B253" s="256"/>
      <c r="E253" s="310"/>
      <c r="F253" s="256"/>
      <c r="G253" s="256"/>
      <c r="H253" s="256"/>
      <c r="I253" s="256"/>
      <c r="J253" s="290"/>
    </row>
    <row r="254" spans="2:10" x14ac:dyDescent="0.2">
      <c r="B254" s="256"/>
      <c r="E254" s="310"/>
      <c r="F254" s="256"/>
      <c r="G254" s="256"/>
      <c r="H254" s="256"/>
      <c r="I254" s="256"/>
      <c r="J254" s="290"/>
    </row>
    <row r="255" spans="2:10" x14ac:dyDescent="0.2">
      <c r="B255" s="256"/>
      <c r="E255" s="310"/>
      <c r="F255" s="256"/>
      <c r="G255" s="256"/>
      <c r="H255" s="256"/>
      <c r="I255" s="256"/>
      <c r="J255" s="290"/>
    </row>
    <row r="256" spans="2:10" x14ac:dyDescent="0.2">
      <c r="B256" s="256"/>
      <c r="E256" s="310"/>
      <c r="F256" s="256"/>
      <c r="G256" s="256"/>
      <c r="H256" s="256"/>
      <c r="I256" s="256"/>
      <c r="J256" s="290"/>
    </row>
    <row r="257" spans="2:10" x14ac:dyDescent="0.2">
      <c r="B257" s="256"/>
      <c r="E257" s="310"/>
      <c r="F257" s="256"/>
      <c r="G257" s="256"/>
      <c r="H257" s="256"/>
      <c r="I257" s="256"/>
      <c r="J257" s="290"/>
    </row>
    <row r="258" spans="2:10" x14ac:dyDescent="0.2">
      <c r="B258" s="256"/>
      <c r="E258" s="310"/>
      <c r="F258" s="256"/>
      <c r="G258" s="256"/>
      <c r="H258" s="256"/>
      <c r="I258" s="256"/>
      <c r="J258" s="290"/>
    </row>
    <row r="259" spans="2:10" x14ac:dyDescent="0.2">
      <c r="B259" s="256"/>
      <c r="E259" s="310"/>
      <c r="F259" s="256"/>
      <c r="G259" s="256"/>
      <c r="H259" s="256"/>
      <c r="I259" s="256"/>
      <c r="J259" s="290"/>
    </row>
    <row r="260" spans="2:10" x14ac:dyDescent="0.2">
      <c r="B260" s="256"/>
      <c r="E260" s="310"/>
      <c r="F260" s="256"/>
      <c r="G260" s="256"/>
      <c r="H260" s="256"/>
      <c r="I260" s="256"/>
      <c r="J260" s="290"/>
    </row>
    <row r="261" spans="2:10" x14ac:dyDescent="0.2">
      <c r="B261" s="256"/>
      <c r="E261" s="310"/>
      <c r="F261" s="256"/>
      <c r="G261" s="256"/>
      <c r="H261" s="256"/>
      <c r="I261" s="256"/>
      <c r="J261" s="290"/>
    </row>
    <row r="262" spans="2:10" x14ac:dyDescent="0.2">
      <c r="B262" s="256"/>
      <c r="E262" s="310"/>
      <c r="F262" s="256"/>
      <c r="G262" s="256"/>
      <c r="H262" s="256"/>
      <c r="I262" s="256"/>
      <c r="J262" s="290"/>
    </row>
    <row r="263" spans="2:10" x14ac:dyDescent="0.2">
      <c r="B263" s="256"/>
      <c r="E263" s="310"/>
      <c r="F263" s="256"/>
      <c r="G263" s="256"/>
      <c r="H263" s="256"/>
      <c r="I263" s="256"/>
      <c r="J263" s="290"/>
    </row>
    <row r="264" spans="2:10" x14ac:dyDescent="0.2">
      <c r="B264" s="256"/>
      <c r="E264" s="310"/>
      <c r="F264" s="256"/>
      <c r="G264" s="256"/>
      <c r="H264" s="256"/>
      <c r="I264" s="256"/>
      <c r="J264" s="290"/>
    </row>
    <row r="265" spans="2:10" x14ac:dyDescent="0.2">
      <c r="B265" s="256"/>
      <c r="E265" s="310"/>
      <c r="F265" s="256"/>
      <c r="G265" s="256"/>
      <c r="H265" s="256"/>
      <c r="I265" s="256"/>
      <c r="J265" s="290"/>
    </row>
    <row r="266" spans="2:10" x14ac:dyDescent="0.2">
      <c r="B266" s="256"/>
      <c r="E266" s="310"/>
      <c r="F266" s="256"/>
      <c r="G266" s="256"/>
      <c r="H266" s="256"/>
      <c r="I266" s="256"/>
      <c r="J266" s="290"/>
    </row>
    <row r="267" spans="2:10" x14ac:dyDescent="0.2">
      <c r="B267" s="256"/>
      <c r="E267" s="310"/>
      <c r="F267" s="256"/>
      <c r="G267" s="256"/>
      <c r="H267" s="256"/>
      <c r="I267" s="256"/>
      <c r="J267" s="290"/>
    </row>
    <row r="268" spans="2:10" x14ac:dyDescent="0.2">
      <c r="B268" s="256"/>
      <c r="E268" s="310"/>
      <c r="F268" s="256"/>
      <c r="G268" s="256"/>
      <c r="H268" s="256"/>
      <c r="I268" s="256"/>
      <c r="J268" s="290"/>
    </row>
    <row r="269" spans="2:10" x14ac:dyDescent="0.2">
      <c r="B269" s="256"/>
      <c r="E269" s="310"/>
      <c r="F269" s="256"/>
      <c r="G269" s="256"/>
      <c r="H269" s="256"/>
      <c r="I269" s="256"/>
      <c r="J269" s="290"/>
    </row>
    <row r="270" spans="2:10" x14ac:dyDescent="0.2">
      <c r="B270" s="256"/>
      <c r="E270" s="310"/>
      <c r="F270" s="256"/>
      <c r="G270" s="256"/>
      <c r="H270" s="256"/>
      <c r="I270" s="256"/>
      <c r="J270" s="290"/>
    </row>
    <row r="271" spans="2:10" x14ac:dyDescent="0.2">
      <c r="B271" s="256"/>
      <c r="E271" s="310"/>
      <c r="F271" s="256"/>
      <c r="G271" s="256"/>
      <c r="H271" s="256"/>
      <c r="I271" s="256"/>
      <c r="J271" s="290"/>
    </row>
    <row r="272" spans="2:10" x14ac:dyDescent="0.2">
      <c r="B272" s="256"/>
      <c r="E272" s="310"/>
      <c r="F272" s="256"/>
      <c r="G272" s="256"/>
      <c r="H272" s="256"/>
      <c r="I272" s="256"/>
      <c r="J272" s="290"/>
    </row>
    <row r="273" spans="2:10" x14ac:dyDescent="0.2">
      <c r="B273" s="256"/>
      <c r="E273" s="310"/>
      <c r="F273" s="256"/>
      <c r="G273" s="256"/>
      <c r="H273" s="256"/>
      <c r="I273" s="256"/>
      <c r="J273" s="290"/>
    </row>
    <row r="274" spans="2:10" x14ac:dyDescent="0.2">
      <c r="B274" s="256"/>
      <c r="E274" s="310"/>
      <c r="F274" s="256"/>
      <c r="G274" s="256"/>
      <c r="H274" s="256"/>
      <c r="I274" s="256"/>
      <c r="J274" s="290"/>
    </row>
    <row r="275" spans="2:10" x14ac:dyDescent="0.2">
      <c r="B275" s="256"/>
      <c r="E275" s="310"/>
      <c r="F275" s="256"/>
      <c r="G275" s="256"/>
      <c r="H275" s="256"/>
      <c r="I275" s="256"/>
      <c r="J275" s="290"/>
    </row>
    <row r="276" spans="2:10" x14ac:dyDescent="0.2">
      <c r="B276" s="256"/>
      <c r="E276" s="310"/>
      <c r="F276" s="256"/>
      <c r="G276" s="256"/>
      <c r="H276" s="256"/>
      <c r="I276" s="256"/>
      <c r="J276" s="290"/>
    </row>
    <row r="277" spans="2:10" x14ac:dyDescent="0.2">
      <c r="B277" s="256"/>
      <c r="E277" s="310"/>
      <c r="F277" s="256"/>
      <c r="G277" s="256"/>
      <c r="H277" s="256"/>
      <c r="I277" s="256"/>
      <c r="J277" s="290"/>
    </row>
    <row r="278" spans="2:10" x14ac:dyDescent="0.2">
      <c r="B278" s="256"/>
      <c r="E278" s="310"/>
      <c r="F278" s="256"/>
      <c r="G278" s="256"/>
      <c r="H278" s="256"/>
      <c r="I278" s="256"/>
      <c r="J278" s="290"/>
    </row>
    <row r="279" spans="2:10" x14ac:dyDescent="0.2">
      <c r="B279" s="256"/>
      <c r="E279" s="310"/>
      <c r="F279" s="256"/>
      <c r="G279" s="256"/>
      <c r="H279" s="256"/>
      <c r="I279" s="256"/>
      <c r="J279" s="290"/>
    </row>
    <row r="280" spans="2:10" x14ac:dyDescent="0.2">
      <c r="B280" s="256"/>
      <c r="E280" s="310"/>
      <c r="F280" s="256"/>
      <c r="G280" s="256"/>
      <c r="H280" s="256"/>
      <c r="I280" s="256"/>
      <c r="J280" s="290"/>
    </row>
    <row r="281" spans="2:10" x14ac:dyDescent="0.2">
      <c r="B281" s="256"/>
      <c r="E281" s="310"/>
      <c r="F281" s="256"/>
      <c r="G281" s="256"/>
      <c r="H281" s="256"/>
      <c r="I281" s="256"/>
      <c r="J281" s="290"/>
    </row>
    <row r="282" spans="2:10" x14ac:dyDescent="0.2">
      <c r="B282" s="256"/>
      <c r="E282" s="310"/>
      <c r="F282" s="256"/>
      <c r="G282" s="256"/>
      <c r="H282" s="256"/>
      <c r="I282" s="256"/>
      <c r="J282" s="290"/>
    </row>
    <row r="283" spans="2:10" x14ac:dyDescent="0.2">
      <c r="B283" s="256"/>
      <c r="E283" s="310"/>
      <c r="F283" s="256"/>
      <c r="G283" s="256"/>
      <c r="H283" s="256"/>
      <c r="I283" s="256"/>
      <c r="J283" s="290"/>
    </row>
    <row r="284" spans="2:10" x14ac:dyDescent="0.2">
      <c r="B284" s="256"/>
      <c r="E284" s="310"/>
      <c r="F284" s="256"/>
      <c r="G284" s="256"/>
      <c r="H284" s="256"/>
      <c r="I284" s="256"/>
      <c r="J284" s="290"/>
    </row>
    <row r="285" spans="2:10" x14ac:dyDescent="0.2">
      <c r="B285" s="256"/>
      <c r="E285" s="310"/>
      <c r="F285" s="256"/>
      <c r="G285" s="256"/>
      <c r="H285" s="256"/>
      <c r="I285" s="256"/>
      <c r="J285" s="290"/>
    </row>
    <row r="286" spans="2:10" x14ac:dyDescent="0.2">
      <c r="B286" s="256"/>
      <c r="E286" s="310"/>
      <c r="F286" s="256"/>
      <c r="G286" s="256"/>
      <c r="H286" s="256"/>
      <c r="I286" s="256"/>
      <c r="J286" s="290"/>
    </row>
    <row r="287" spans="2:10" x14ac:dyDescent="0.2">
      <c r="B287" s="256"/>
      <c r="E287" s="310"/>
      <c r="F287" s="256"/>
      <c r="G287" s="256"/>
      <c r="H287" s="256"/>
      <c r="I287" s="256"/>
      <c r="J287" s="290"/>
    </row>
    <row r="288" spans="2:10" x14ac:dyDescent="0.2">
      <c r="B288" s="256"/>
      <c r="E288" s="310"/>
      <c r="F288" s="256"/>
      <c r="G288" s="256"/>
      <c r="H288" s="256"/>
      <c r="I288" s="256"/>
      <c r="J288" s="290"/>
    </row>
    <row r="289" spans="2:10" x14ac:dyDescent="0.2">
      <c r="B289" s="256"/>
      <c r="E289" s="310"/>
      <c r="F289" s="256"/>
      <c r="G289" s="256"/>
      <c r="H289" s="256"/>
      <c r="I289" s="256"/>
      <c r="J289" s="290"/>
    </row>
    <row r="290" spans="2:10" x14ac:dyDescent="0.2">
      <c r="B290" s="256"/>
      <c r="E290" s="310"/>
      <c r="F290" s="256"/>
      <c r="G290" s="256"/>
      <c r="H290" s="256"/>
      <c r="I290" s="256"/>
      <c r="J290" s="290"/>
    </row>
    <row r="291" spans="2:10" x14ac:dyDescent="0.2">
      <c r="B291" s="256"/>
      <c r="E291" s="310"/>
      <c r="F291" s="256"/>
      <c r="G291" s="256"/>
      <c r="H291" s="256"/>
      <c r="I291" s="256"/>
      <c r="J291" s="290"/>
    </row>
    <row r="292" spans="2:10" x14ac:dyDescent="0.2">
      <c r="B292" s="256"/>
      <c r="E292" s="310"/>
      <c r="F292" s="256"/>
      <c r="G292" s="256"/>
      <c r="H292" s="256"/>
      <c r="I292" s="256"/>
      <c r="J292" s="290"/>
    </row>
    <row r="293" spans="2:10" x14ac:dyDescent="0.2">
      <c r="B293" s="256"/>
      <c r="E293" s="310"/>
      <c r="F293" s="256"/>
      <c r="G293" s="256"/>
      <c r="H293" s="256"/>
      <c r="I293" s="256"/>
      <c r="J293" s="290"/>
    </row>
    <row r="294" spans="2:10" x14ac:dyDescent="0.2">
      <c r="B294" s="256"/>
      <c r="E294" s="310"/>
      <c r="F294" s="256"/>
      <c r="G294" s="256"/>
      <c r="H294" s="256"/>
      <c r="I294" s="256"/>
      <c r="J294" s="290"/>
    </row>
    <row r="295" spans="2:10" x14ac:dyDescent="0.2">
      <c r="B295" s="256"/>
      <c r="E295" s="310"/>
      <c r="F295" s="256"/>
      <c r="G295" s="256"/>
      <c r="H295" s="256"/>
      <c r="I295" s="256"/>
      <c r="J295" s="290"/>
    </row>
    <row r="296" spans="2:10" x14ac:dyDescent="0.2">
      <c r="B296" s="256"/>
      <c r="E296" s="310"/>
      <c r="F296" s="256"/>
      <c r="G296" s="256"/>
      <c r="H296" s="256"/>
      <c r="I296" s="256"/>
      <c r="J296" s="290"/>
    </row>
    <row r="297" spans="2:10" x14ac:dyDescent="0.2">
      <c r="B297" s="256"/>
      <c r="E297" s="310"/>
      <c r="F297" s="256"/>
      <c r="G297" s="256"/>
      <c r="H297" s="256"/>
      <c r="I297" s="256"/>
      <c r="J297" s="290"/>
    </row>
    <row r="298" spans="2:10" x14ac:dyDescent="0.2">
      <c r="B298" s="256"/>
      <c r="E298" s="310"/>
      <c r="F298" s="256"/>
      <c r="G298" s="256"/>
      <c r="H298" s="256"/>
      <c r="I298" s="256"/>
      <c r="J298" s="290"/>
    </row>
    <row r="299" spans="2:10" x14ac:dyDescent="0.2">
      <c r="B299" s="256"/>
      <c r="E299" s="310"/>
      <c r="F299" s="256"/>
      <c r="G299" s="256"/>
      <c r="H299" s="256"/>
      <c r="I299" s="256"/>
      <c r="J299" s="290"/>
    </row>
    <row r="300" spans="2:10" x14ac:dyDescent="0.2">
      <c r="B300" s="256"/>
      <c r="E300" s="310"/>
      <c r="F300" s="256"/>
      <c r="G300" s="256"/>
      <c r="H300" s="256"/>
      <c r="I300" s="256"/>
      <c r="J300" s="290"/>
    </row>
    <row r="301" spans="2:10" x14ac:dyDescent="0.2">
      <c r="B301" s="256"/>
      <c r="E301" s="310"/>
      <c r="F301" s="256"/>
      <c r="G301" s="256"/>
      <c r="H301" s="256"/>
      <c r="I301" s="256"/>
      <c r="J301" s="290"/>
    </row>
    <row r="302" spans="2:10" x14ac:dyDescent="0.2">
      <c r="B302" s="256"/>
      <c r="E302" s="310"/>
      <c r="F302" s="256"/>
      <c r="G302" s="256"/>
      <c r="H302" s="256"/>
      <c r="I302" s="256"/>
      <c r="J302" s="290"/>
    </row>
    <row r="303" spans="2:10" x14ac:dyDescent="0.2">
      <c r="B303" s="256"/>
      <c r="E303" s="310"/>
      <c r="F303" s="256"/>
      <c r="G303" s="256"/>
      <c r="H303" s="256"/>
      <c r="I303" s="256"/>
      <c r="J303" s="290"/>
    </row>
    <row r="304" spans="2:10" x14ac:dyDescent="0.2">
      <c r="B304" s="256"/>
      <c r="E304" s="310"/>
      <c r="F304" s="256"/>
      <c r="G304" s="256"/>
      <c r="H304" s="256"/>
      <c r="I304" s="256"/>
      <c r="J304" s="290"/>
    </row>
    <row r="305" spans="2:10" x14ac:dyDescent="0.2">
      <c r="B305" s="256"/>
      <c r="E305" s="310"/>
      <c r="F305" s="256"/>
      <c r="G305" s="256"/>
      <c r="H305" s="256"/>
      <c r="I305" s="256"/>
      <c r="J305" s="290"/>
    </row>
    <row r="306" spans="2:10" x14ac:dyDescent="0.2">
      <c r="B306" s="256"/>
      <c r="E306" s="310"/>
      <c r="F306" s="256"/>
      <c r="G306" s="256"/>
      <c r="H306" s="256"/>
      <c r="I306" s="256"/>
      <c r="J306" s="290"/>
    </row>
    <row r="307" spans="2:10" x14ac:dyDescent="0.2">
      <c r="B307" s="256"/>
      <c r="E307" s="310"/>
      <c r="F307" s="256"/>
      <c r="G307" s="256"/>
      <c r="H307" s="256"/>
      <c r="I307" s="256"/>
      <c r="J307" s="290"/>
    </row>
    <row r="308" spans="2:10" x14ac:dyDescent="0.2">
      <c r="B308" s="256"/>
      <c r="E308" s="310"/>
      <c r="F308" s="256"/>
      <c r="G308" s="256"/>
      <c r="H308" s="256"/>
      <c r="I308" s="256"/>
      <c r="J308" s="290"/>
    </row>
    <row r="309" spans="2:10" x14ac:dyDescent="0.2">
      <c r="B309" s="256"/>
      <c r="E309" s="310"/>
      <c r="F309" s="256"/>
      <c r="G309" s="256"/>
      <c r="H309" s="256"/>
      <c r="I309" s="256"/>
      <c r="J309" s="290"/>
    </row>
    <row r="310" spans="2:10" x14ac:dyDescent="0.2">
      <c r="B310" s="256"/>
      <c r="E310" s="310"/>
      <c r="F310" s="256"/>
      <c r="G310" s="256"/>
      <c r="H310" s="256"/>
      <c r="I310" s="256"/>
      <c r="J310" s="290"/>
    </row>
    <row r="311" spans="2:10" x14ac:dyDescent="0.2">
      <c r="B311" s="256"/>
      <c r="E311" s="310"/>
      <c r="F311" s="256"/>
      <c r="G311" s="256"/>
      <c r="H311" s="256"/>
      <c r="I311" s="256"/>
      <c r="J311" s="290"/>
    </row>
    <row r="312" spans="2:10" x14ac:dyDescent="0.2">
      <c r="B312" s="256"/>
      <c r="E312" s="310"/>
      <c r="F312" s="256"/>
      <c r="G312" s="256"/>
      <c r="H312" s="256"/>
      <c r="I312" s="256"/>
      <c r="J312" s="290"/>
    </row>
    <row r="313" spans="2:10" x14ac:dyDescent="0.2">
      <c r="B313" s="256"/>
      <c r="E313" s="310"/>
      <c r="F313" s="256"/>
      <c r="G313" s="256"/>
      <c r="H313" s="256"/>
      <c r="I313" s="256"/>
      <c r="J313" s="290"/>
    </row>
    <row r="314" spans="2:10" x14ac:dyDescent="0.2">
      <c r="B314" s="256"/>
      <c r="E314" s="310"/>
      <c r="F314" s="256"/>
      <c r="G314" s="256"/>
      <c r="H314" s="256"/>
      <c r="I314" s="256"/>
      <c r="J314" s="290"/>
    </row>
    <row r="315" spans="2:10" x14ac:dyDescent="0.2">
      <c r="B315" s="256"/>
      <c r="E315" s="310"/>
      <c r="F315" s="256"/>
      <c r="G315" s="256"/>
      <c r="H315" s="256"/>
      <c r="I315" s="256"/>
      <c r="J315" s="290"/>
    </row>
    <row r="316" spans="2:10" x14ac:dyDescent="0.2">
      <c r="B316" s="256"/>
      <c r="E316" s="310"/>
      <c r="F316" s="256"/>
      <c r="G316" s="256"/>
      <c r="H316" s="256"/>
      <c r="I316" s="256"/>
      <c r="J316" s="290"/>
    </row>
    <row r="317" spans="2:10" x14ac:dyDescent="0.2">
      <c r="B317" s="256"/>
      <c r="E317" s="310"/>
      <c r="F317" s="256"/>
      <c r="G317" s="256"/>
      <c r="H317" s="256"/>
      <c r="I317" s="256"/>
      <c r="J317" s="290"/>
    </row>
    <row r="318" spans="2:10" x14ac:dyDescent="0.2">
      <c r="B318" s="256"/>
      <c r="E318" s="310"/>
      <c r="F318" s="256"/>
      <c r="G318" s="256"/>
      <c r="H318" s="256"/>
      <c r="I318" s="256"/>
      <c r="J318" s="290"/>
    </row>
    <row r="319" spans="2:10" x14ac:dyDescent="0.2">
      <c r="B319" s="256"/>
      <c r="E319" s="310"/>
      <c r="F319" s="256"/>
      <c r="G319" s="256"/>
      <c r="H319" s="256"/>
      <c r="I319" s="256"/>
      <c r="J319" s="290"/>
    </row>
    <row r="320" spans="2:10" x14ac:dyDescent="0.2">
      <c r="B320" s="256"/>
      <c r="E320" s="310"/>
      <c r="F320" s="256"/>
      <c r="G320" s="256"/>
      <c r="H320" s="256"/>
      <c r="I320" s="256"/>
      <c r="J320" s="290"/>
    </row>
    <row r="321" spans="2:10" x14ac:dyDescent="0.2">
      <c r="B321" s="256"/>
      <c r="E321" s="310"/>
      <c r="F321" s="256"/>
      <c r="G321" s="256"/>
      <c r="H321" s="256"/>
      <c r="I321" s="256"/>
      <c r="J321" s="290"/>
    </row>
    <row r="322" spans="2:10" x14ac:dyDescent="0.2">
      <c r="B322" s="256"/>
      <c r="E322" s="310"/>
      <c r="F322" s="256"/>
      <c r="G322" s="256"/>
      <c r="H322" s="256"/>
      <c r="I322" s="256"/>
      <c r="J322" s="290"/>
    </row>
    <row r="323" spans="2:10" x14ac:dyDescent="0.2">
      <c r="B323" s="256"/>
      <c r="E323" s="310"/>
      <c r="F323" s="256"/>
      <c r="G323" s="256"/>
      <c r="H323" s="256"/>
      <c r="I323" s="256"/>
      <c r="J323" s="290"/>
    </row>
    <row r="324" spans="2:10" x14ac:dyDescent="0.2">
      <c r="B324" s="256"/>
      <c r="E324" s="310"/>
      <c r="F324" s="256"/>
      <c r="G324" s="256"/>
      <c r="H324" s="256"/>
      <c r="I324" s="256"/>
      <c r="J324" s="290"/>
    </row>
    <row r="325" spans="2:10" x14ac:dyDescent="0.2">
      <c r="B325" s="256"/>
      <c r="E325" s="310"/>
      <c r="F325" s="256"/>
      <c r="G325" s="256"/>
      <c r="H325" s="256"/>
      <c r="I325" s="256"/>
      <c r="J325" s="290"/>
    </row>
    <row r="326" spans="2:10" x14ac:dyDescent="0.2">
      <c r="B326" s="256"/>
      <c r="E326" s="310"/>
      <c r="F326" s="256"/>
      <c r="G326" s="256"/>
      <c r="H326" s="256"/>
      <c r="I326" s="256"/>
      <c r="J326" s="290"/>
    </row>
    <row r="327" spans="2:10" x14ac:dyDescent="0.2">
      <c r="B327" s="256"/>
      <c r="E327" s="310"/>
      <c r="F327" s="256"/>
      <c r="G327" s="256"/>
      <c r="H327" s="256"/>
      <c r="I327" s="256"/>
      <c r="J327" s="290"/>
    </row>
    <row r="328" spans="2:10" x14ac:dyDescent="0.2">
      <c r="B328" s="256"/>
      <c r="E328" s="310"/>
      <c r="F328" s="256"/>
      <c r="G328" s="256"/>
      <c r="H328" s="256"/>
      <c r="I328" s="256"/>
      <c r="J328" s="290"/>
    </row>
    <row r="329" spans="2:10" x14ac:dyDescent="0.2">
      <c r="B329" s="256"/>
      <c r="E329" s="310"/>
      <c r="F329" s="256"/>
      <c r="G329" s="256"/>
      <c r="H329" s="256"/>
      <c r="I329" s="256"/>
      <c r="J329" s="290"/>
    </row>
    <row r="330" spans="2:10" x14ac:dyDescent="0.2">
      <c r="B330" s="256"/>
      <c r="E330" s="310"/>
      <c r="F330" s="256"/>
      <c r="G330" s="256"/>
      <c r="H330" s="256"/>
      <c r="I330" s="256"/>
      <c r="J330" s="290"/>
    </row>
    <row r="331" spans="2:10" x14ac:dyDescent="0.2">
      <c r="B331" s="256"/>
      <c r="E331" s="310"/>
      <c r="F331" s="256"/>
      <c r="G331" s="256"/>
      <c r="H331" s="256"/>
      <c r="I331" s="256"/>
      <c r="J331" s="290"/>
    </row>
    <row r="332" spans="2:10" x14ac:dyDescent="0.2">
      <c r="B332" s="256"/>
      <c r="E332" s="310"/>
      <c r="F332" s="256"/>
      <c r="G332" s="256"/>
      <c r="H332" s="256"/>
      <c r="I332" s="256"/>
      <c r="J332" s="290"/>
    </row>
    <row r="333" spans="2:10" x14ac:dyDescent="0.2">
      <c r="B333" s="256"/>
      <c r="E333" s="310"/>
      <c r="F333" s="256"/>
      <c r="G333" s="256"/>
      <c r="H333" s="256"/>
      <c r="I333" s="256"/>
      <c r="J333" s="290"/>
    </row>
    <row r="334" spans="2:10" x14ac:dyDescent="0.2">
      <c r="B334" s="256"/>
      <c r="E334" s="310"/>
      <c r="F334" s="256"/>
      <c r="G334" s="256"/>
      <c r="H334" s="256"/>
      <c r="I334" s="256"/>
      <c r="J334" s="290"/>
    </row>
    <row r="335" spans="2:10" x14ac:dyDescent="0.2">
      <c r="B335" s="256"/>
      <c r="E335" s="310"/>
      <c r="F335" s="256"/>
      <c r="G335" s="256"/>
      <c r="H335" s="256"/>
      <c r="I335" s="256"/>
      <c r="J335" s="290"/>
    </row>
    <row r="336" spans="2:10" x14ac:dyDescent="0.2">
      <c r="B336" s="256"/>
      <c r="E336" s="310"/>
      <c r="F336" s="256"/>
      <c r="G336" s="256"/>
      <c r="H336" s="256"/>
      <c r="I336" s="256"/>
      <c r="J336" s="290"/>
    </row>
    <row r="337" spans="2:10" x14ac:dyDescent="0.2">
      <c r="B337" s="256"/>
      <c r="E337" s="310"/>
      <c r="F337" s="256"/>
      <c r="G337" s="256"/>
      <c r="H337" s="256"/>
      <c r="I337" s="256"/>
      <c r="J337" s="290"/>
    </row>
    <row r="338" spans="2:10" x14ac:dyDescent="0.2">
      <c r="B338" s="256"/>
      <c r="E338" s="310"/>
      <c r="F338" s="256"/>
      <c r="G338" s="256"/>
      <c r="H338" s="256"/>
      <c r="I338" s="256"/>
      <c r="J338" s="290"/>
    </row>
    <row r="339" spans="2:10" x14ac:dyDescent="0.2">
      <c r="B339" s="256"/>
      <c r="E339" s="310"/>
      <c r="F339" s="256"/>
      <c r="G339" s="256"/>
      <c r="H339" s="256"/>
      <c r="I339" s="256"/>
      <c r="J339" s="290"/>
    </row>
    <row r="340" spans="2:10" x14ac:dyDescent="0.2">
      <c r="B340" s="256"/>
      <c r="E340" s="310"/>
      <c r="F340" s="256"/>
      <c r="G340" s="256"/>
      <c r="H340" s="256"/>
      <c r="I340" s="256"/>
      <c r="J340" s="290"/>
    </row>
    <row r="341" spans="2:10" x14ac:dyDescent="0.2">
      <c r="B341" s="256"/>
      <c r="E341" s="310"/>
      <c r="F341" s="256"/>
      <c r="G341" s="256"/>
      <c r="H341" s="256"/>
      <c r="I341" s="256"/>
      <c r="J341" s="290"/>
    </row>
    <row r="342" spans="2:10" x14ac:dyDescent="0.2">
      <c r="B342" s="256"/>
      <c r="E342" s="310"/>
      <c r="F342" s="256"/>
      <c r="G342" s="256"/>
      <c r="H342" s="256"/>
      <c r="I342" s="256"/>
      <c r="J342" s="290"/>
    </row>
    <row r="343" spans="2:10" x14ac:dyDescent="0.2">
      <c r="B343" s="256"/>
      <c r="E343" s="310"/>
      <c r="F343" s="256"/>
      <c r="G343" s="256"/>
      <c r="H343" s="256"/>
      <c r="I343" s="256"/>
      <c r="J343" s="290"/>
    </row>
    <row r="344" spans="2:10" x14ac:dyDescent="0.2">
      <c r="B344" s="256"/>
      <c r="E344" s="310"/>
      <c r="F344" s="256"/>
      <c r="G344" s="256"/>
      <c r="H344" s="256"/>
      <c r="I344" s="256"/>
      <c r="J344" s="290"/>
    </row>
    <row r="345" spans="2:10" x14ac:dyDescent="0.2">
      <c r="B345" s="256"/>
      <c r="E345" s="310"/>
      <c r="F345" s="256"/>
      <c r="G345" s="256"/>
      <c r="H345" s="256"/>
      <c r="I345" s="256"/>
      <c r="J345" s="290"/>
    </row>
    <row r="346" spans="2:10" x14ac:dyDescent="0.2">
      <c r="B346" s="256"/>
      <c r="E346" s="310"/>
      <c r="F346" s="256"/>
      <c r="G346" s="256"/>
      <c r="H346" s="256"/>
      <c r="I346" s="256"/>
      <c r="J346" s="290"/>
    </row>
    <row r="347" spans="2:10" x14ac:dyDescent="0.2">
      <c r="B347" s="256"/>
      <c r="E347" s="310"/>
      <c r="F347" s="256"/>
      <c r="G347" s="256"/>
      <c r="H347" s="256"/>
      <c r="I347" s="256"/>
      <c r="J347" s="290"/>
    </row>
    <row r="348" spans="2:10" x14ac:dyDescent="0.2">
      <c r="B348" s="256"/>
      <c r="E348" s="310"/>
      <c r="F348" s="256"/>
      <c r="G348" s="256"/>
      <c r="H348" s="256"/>
      <c r="I348" s="256"/>
      <c r="J348" s="290"/>
    </row>
    <row r="349" spans="2:10" x14ac:dyDescent="0.2">
      <c r="B349" s="256"/>
      <c r="E349" s="310"/>
      <c r="F349" s="256"/>
      <c r="G349" s="256"/>
      <c r="H349" s="256"/>
      <c r="I349" s="256"/>
      <c r="J349" s="290"/>
    </row>
    <row r="350" spans="2:10" x14ac:dyDescent="0.2">
      <c r="B350" s="256"/>
      <c r="E350" s="310"/>
      <c r="F350" s="256"/>
      <c r="G350" s="256"/>
      <c r="H350" s="256"/>
      <c r="I350" s="256"/>
      <c r="J350" s="290"/>
    </row>
    <row r="351" spans="2:10" x14ac:dyDescent="0.2">
      <c r="B351" s="256"/>
      <c r="E351" s="310"/>
      <c r="F351" s="256"/>
      <c r="G351" s="256"/>
      <c r="H351" s="256"/>
      <c r="I351" s="256"/>
      <c r="J351" s="290"/>
    </row>
    <row r="352" spans="2:10" x14ac:dyDescent="0.2">
      <c r="B352" s="256"/>
      <c r="E352" s="310"/>
      <c r="F352" s="256"/>
      <c r="G352" s="256"/>
      <c r="H352" s="256"/>
      <c r="I352" s="256"/>
      <c r="J352" s="290"/>
    </row>
    <row r="353" spans="2:10" x14ac:dyDescent="0.2">
      <c r="B353" s="256"/>
      <c r="E353" s="310"/>
      <c r="F353" s="256"/>
      <c r="G353" s="256"/>
      <c r="H353" s="256"/>
      <c r="I353" s="256"/>
      <c r="J353" s="290"/>
    </row>
    <row r="354" spans="2:10" x14ac:dyDescent="0.2">
      <c r="B354" s="256"/>
      <c r="E354" s="310"/>
      <c r="F354" s="256"/>
      <c r="G354" s="256"/>
      <c r="H354" s="256"/>
      <c r="I354" s="256"/>
      <c r="J354" s="290"/>
    </row>
    <row r="355" spans="2:10" x14ac:dyDescent="0.2">
      <c r="B355" s="256"/>
      <c r="E355" s="310"/>
      <c r="F355" s="256"/>
      <c r="G355" s="256"/>
      <c r="H355" s="256"/>
      <c r="I355" s="256"/>
      <c r="J355" s="290"/>
    </row>
    <row r="356" spans="2:10" x14ac:dyDescent="0.2">
      <c r="B356" s="256"/>
      <c r="E356" s="310"/>
      <c r="F356" s="256"/>
      <c r="G356" s="256"/>
      <c r="H356" s="256"/>
      <c r="I356" s="256"/>
      <c r="J356" s="290"/>
    </row>
    <row r="357" spans="2:10" x14ac:dyDescent="0.2">
      <c r="B357" s="256"/>
      <c r="E357" s="310"/>
      <c r="F357" s="256"/>
      <c r="G357" s="256"/>
      <c r="H357" s="256"/>
      <c r="I357" s="256"/>
      <c r="J357" s="290"/>
    </row>
    <row r="358" spans="2:10" x14ac:dyDescent="0.2">
      <c r="B358" s="256"/>
      <c r="E358" s="310"/>
      <c r="F358" s="256"/>
      <c r="G358" s="256"/>
      <c r="H358" s="256"/>
      <c r="I358" s="256"/>
      <c r="J358" s="290"/>
    </row>
    <row r="359" spans="2:10" x14ac:dyDescent="0.2">
      <c r="B359" s="256"/>
      <c r="E359" s="310"/>
      <c r="F359" s="256"/>
      <c r="G359" s="256"/>
      <c r="H359" s="256"/>
      <c r="I359" s="256"/>
      <c r="J359" s="290"/>
    </row>
    <row r="360" spans="2:10" x14ac:dyDescent="0.2">
      <c r="B360" s="256"/>
      <c r="E360" s="310"/>
      <c r="F360" s="256"/>
      <c r="G360" s="256"/>
      <c r="H360" s="256"/>
      <c r="I360" s="256"/>
      <c r="J360" s="290"/>
    </row>
    <row r="361" spans="2:10" x14ac:dyDescent="0.2">
      <c r="B361" s="256"/>
      <c r="E361" s="310"/>
      <c r="F361" s="256"/>
      <c r="G361" s="256"/>
      <c r="H361" s="256"/>
      <c r="I361" s="256"/>
      <c r="J361" s="290"/>
    </row>
    <row r="362" spans="2:10" x14ac:dyDescent="0.2">
      <c r="B362" s="256"/>
      <c r="E362" s="310"/>
      <c r="F362" s="256"/>
      <c r="G362" s="256"/>
      <c r="H362" s="256"/>
      <c r="I362" s="256"/>
      <c r="J362" s="290"/>
    </row>
    <row r="363" spans="2:10" x14ac:dyDescent="0.2">
      <c r="B363" s="256"/>
      <c r="E363" s="310"/>
      <c r="F363" s="256"/>
      <c r="G363" s="256"/>
      <c r="H363" s="256"/>
      <c r="I363" s="256"/>
      <c r="J363" s="290"/>
    </row>
    <row r="364" spans="2:10" x14ac:dyDescent="0.2">
      <c r="B364" s="256"/>
      <c r="E364" s="310"/>
      <c r="F364" s="256"/>
      <c r="G364" s="256"/>
      <c r="H364" s="256"/>
      <c r="I364" s="256"/>
      <c r="J364" s="290"/>
    </row>
    <row r="365" spans="2:10" x14ac:dyDescent="0.2">
      <c r="B365" s="256"/>
      <c r="E365" s="310"/>
      <c r="F365" s="256"/>
      <c r="G365" s="256"/>
      <c r="H365" s="256"/>
      <c r="I365" s="256"/>
      <c r="J365" s="290"/>
    </row>
    <row r="366" spans="2:10" x14ac:dyDescent="0.2">
      <c r="B366" s="256"/>
      <c r="E366" s="310"/>
      <c r="F366" s="256"/>
      <c r="G366" s="256"/>
      <c r="H366" s="256"/>
      <c r="I366" s="256"/>
      <c r="J366" s="290"/>
    </row>
    <row r="367" spans="2:10" x14ac:dyDescent="0.2">
      <c r="B367" s="256"/>
      <c r="E367" s="310"/>
      <c r="F367" s="256"/>
      <c r="G367" s="256"/>
      <c r="H367" s="256"/>
      <c r="I367" s="256"/>
      <c r="J367" s="290"/>
    </row>
    <row r="368" spans="2:10" x14ac:dyDescent="0.2">
      <c r="B368" s="256"/>
      <c r="E368" s="310"/>
      <c r="F368" s="256"/>
      <c r="G368" s="256"/>
      <c r="H368" s="256"/>
      <c r="I368" s="256"/>
      <c r="J368" s="290"/>
    </row>
    <row r="369" spans="2:10" x14ac:dyDescent="0.2">
      <c r="B369" s="256"/>
      <c r="E369" s="310"/>
      <c r="F369" s="256"/>
      <c r="G369" s="256"/>
      <c r="H369" s="256"/>
      <c r="I369" s="256"/>
      <c r="J369" s="290"/>
    </row>
    <row r="370" spans="2:10" x14ac:dyDescent="0.2">
      <c r="B370" s="256"/>
      <c r="E370" s="310"/>
      <c r="F370" s="256"/>
      <c r="G370" s="256"/>
      <c r="H370" s="256"/>
      <c r="I370" s="256"/>
      <c r="J370" s="290"/>
    </row>
    <row r="371" spans="2:10" x14ac:dyDescent="0.2">
      <c r="B371" s="256"/>
      <c r="E371" s="310"/>
      <c r="F371" s="256"/>
      <c r="G371" s="256"/>
      <c r="H371" s="256"/>
      <c r="I371" s="256"/>
      <c r="J371" s="290"/>
    </row>
    <row r="372" spans="2:10" x14ac:dyDescent="0.2">
      <c r="B372" s="256"/>
      <c r="E372" s="310"/>
      <c r="F372" s="256"/>
      <c r="G372" s="256"/>
      <c r="H372" s="256"/>
      <c r="I372" s="256"/>
      <c r="J372" s="290"/>
    </row>
    <row r="373" spans="2:10" x14ac:dyDescent="0.2">
      <c r="B373" s="256"/>
      <c r="E373" s="310"/>
      <c r="F373" s="256"/>
      <c r="G373" s="256"/>
      <c r="H373" s="256"/>
      <c r="I373" s="256"/>
      <c r="J373" s="290"/>
    </row>
    <row r="374" spans="2:10" x14ac:dyDescent="0.2">
      <c r="B374" s="256"/>
      <c r="E374" s="310"/>
      <c r="F374" s="256"/>
      <c r="G374" s="256"/>
      <c r="H374" s="256"/>
      <c r="I374" s="256"/>
      <c r="J374" s="290"/>
    </row>
    <row r="375" spans="2:10" x14ac:dyDescent="0.2">
      <c r="B375" s="256"/>
      <c r="E375" s="310"/>
      <c r="F375" s="256"/>
      <c r="G375" s="256"/>
      <c r="H375" s="256"/>
      <c r="I375" s="256"/>
      <c r="J375" s="290"/>
    </row>
    <row r="376" spans="2:10" x14ac:dyDescent="0.2">
      <c r="B376" s="256"/>
      <c r="E376" s="310"/>
      <c r="F376" s="256"/>
      <c r="G376" s="256"/>
      <c r="H376" s="256"/>
      <c r="I376" s="256"/>
      <c r="J376" s="290"/>
    </row>
    <row r="377" spans="2:10" x14ac:dyDescent="0.2">
      <c r="B377" s="256"/>
      <c r="E377" s="310"/>
      <c r="F377" s="256"/>
      <c r="G377" s="256"/>
      <c r="H377" s="256"/>
      <c r="I377" s="256"/>
      <c r="J377" s="290"/>
    </row>
    <row r="378" spans="2:10" x14ac:dyDescent="0.2">
      <c r="B378" s="256"/>
      <c r="E378" s="310"/>
      <c r="F378" s="256"/>
      <c r="G378" s="256"/>
      <c r="H378" s="256"/>
      <c r="I378" s="256"/>
      <c r="J378" s="290"/>
    </row>
    <row r="379" spans="2:10" x14ac:dyDescent="0.2">
      <c r="B379" s="256"/>
      <c r="E379" s="310"/>
      <c r="F379" s="256"/>
      <c r="G379" s="256"/>
      <c r="H379" s="256"/>
      <c r="I379" s="256"/>
      <c r="J379" s="290"/>
    </row>
    <row r="380" spans="2:10" x14ac:dyDescent="0.2">
      <c r="B380" s="256"/>
      <c r="E380" s="310"/>
      <c r="F380" s="256"/>
      <c r="G380" s="256"/>
      <c r="H380" s="256"/>
      <c r="I380" s="256"/>
      <c r="J380" s="290"/>
    </row>
    <row r="381" spans="2:10" x14ac:dyDescent="0.2">
      <c r="B381" s="256"/>
      <c r="E381" s="310"/>
      <c r="F381" s="256"/>
      <c r="G381" s="256"/>
      <c r="H381" s="256"/>
      <c r="I381" s="256"/>
      <c r="J381" s="290"/>
    </row>
    <row r="382" spans="2:10" x14ac:dyDescent="0.2">
      <c r="B382" s="256"/>
      <c r="E382" s="310"/>
      <c r="F382" s="256"/>
      <c r="G382" s="256"/>
      <c r="H382" s="256"/>
      <c r="I382" s="256"/>
      <c r="J382" s="290"/>
    </row>
    <row r="383" spans="2:10" x14ac:dyDescent="0.2">
      <c r="B383" s="256"/>
      <c r="E383" s="310"/>
      <c r="F383" s="256"/>
      <c r="G383" s="256"/>
      <c r="H383" s="256"/>
      <c r="I383" s="256"/>
      <c r="J383" s="290"/>
    </row>
    <row r="384" spans="2:10" x14ac:dyDescent="0.2">
      <c r="B384" s="256"/>
      <c r="E384" s="310"/>
      <c r="F384" s="256"/>
      <c r="G384" s="256"/>
      <c r="H384" s="256"/>
      <c r="I384" s="256"/>
      <c r="J384" s="290"/>
    </row>
    <row r="385" spans="2:10" x14ac:dyDescent="0.2">
      <c r="B385" s="256"/>
      <c r="E385" s="310"/>
      <c r="F385" s="256"/>
      <c r="G385" s="256"/>
      <c r="H385" s="256"/>
      <c r="I385" s="256"/>
      <c r="J385" s="290"/>
    </row>
    <row r="386" spans="2:10" x14ac:dyDescent="0.2">
      <c r="B386" s="256"/>
      <c r="E386" s="310"/>
      <c r="F386" s="256"/>
      <c r="G386" s="256"/>
      <c r="H386" s="256"/>
      <c r="I386" s="256"/>
      <c r="J386" s="290"/>
    </row>
    <row r="387" spans="2:10" x14ac:dyDescent="0.2">
      <c r="B387" s="256"/>
      <c r="E387" s="310"/>
      <c r="F387" s="256"/>
      <c r="G387" s="256"/>
      <c r="H387" s="256"/>
      <c r="I387" s="256"/>
      <c r="J387" s="290"/>
    </row>
    <row r="388" spans="2:10" x14ac:dyDescent="0.2">
      <c r="B388" s="256"/>
      <c r="E388" s="310"/>
      <c r="F388" s="256"/>
      <c r="G388" s="256"/>
      <c r="H388" s="256"/>
      <c r="I388" s="256"/>
      <c r="J388" s="290"/>
    </row>
    <row r="389" spans="2:10" x14ac:dyDescent="0.2">
      <c r="B389" s="256"/>
      <c r="E389" s="310"/>
      <c r="F389" s="256"/>
      <c r="G389" s="256"/>
      <c r="H389" s="256"/>
      <c r="I389" s="256"/>
      <c r="J389" s="290"/>
    </row>
    <row r="390" spans="2:10" x14ac:dyDescent="0.2">
      <c r="B390" s="256"/>
      <c r="E390" s="310"/>
      <c r="F390" s="256"/>
      <c r="G390" s="256"/>
      <c r="H390" s="256"/>
      <c r="I390" s="256"/>
      <c r="J390" s="290"/>
    </row>
    <row r="391" spans="2:10" x14ac:dyDescent="0.2">
      <c r="B391" s="256"/>
      <c r="E391" s="310"/>
      <c r="F391" s="256"/>
      <c r="G391" s="256"/>
      <c r="H391" s="256"/>
      <c r="I391" s="256"/>
      <c r="J391" s="290"/>
    </row>
    <row r="392" spans="2:10" x14ac:dyDescent="0.2">
      <c r="B392" s="256"/>
      <c r="E392" s="310"/>
      <c r="F392" s="256"/>
      <c r="G392" s="256"/>
      <c r="H392" s="256"/>
      <c r="I392" s="256"/>
      <c r="J392" s="290"/>
    </row>
    <row r="393" spans="2:10" x14ac:dyDescent="0.2">
      <c r="B393" s="256"/>
      <c r="E393" s="310"/>
      <c r="F393" s="256"/>
      <c r="G393" s="256"/>
      <c r="H393" s="256"/>
      <c r="I393" s="256"/>
      <c r="J393" s="290"/>
    </row>
    <row r="394" spans="2:10" x14ac:dyDescent="0.2">
      <c r="B394" s="256"/>
      <c r="E394" s="310"/>
      <c r="F394" s="256"/>
      <c r="G394" s="256"/>
      <c r="H394" s="256"/>
      <c r="I394" s="256"/>
      <c r="J394" s="290"/>
    </row>
    <row r="395" spans="2:10" x14ac:dyDescent="0.2">
      <c r="B395" s="256"/>
      <c r="E395" s="310"/>
      <c r="F395" s="256"/>
      <c r="G395" s="256"/>
      <c r="H395" s="256"/>
      <c r="I395" s="256"/>
      <c r="J395" s="290"/>
    </row>
    <row r="396" spans="2:10" x14ac:dyDescent="0.2">
      <c r="B396" s="256"/>
      <c r="E396" s="310"/>
      <c r="F396" s="256"/>
      <c r="G396" s="256"/>
      <c r="H396" s="256"/>
      <c r="I396" s="256"/>
      <c r="J396" s="290"/>
    </row>
    <row r="397" spans="2:10" x14ac:dyDescent="0.2">
      <c r="B397" s="256"/>
      <c r="E397" s="310"/>
      <c r="F397" s="256"/>
      <c r="G397" s="256"/>
      <c r="H397" s="256"/>
      <c r="I397" s="256"/>
      <c r="J397" s="290"/>
    </row>
    <row r="398" spans="2:10" x14ac:dyDescent="0.2">
      <c r="B398" s="256"/>
      <c r="E398" s="310"/>
      <c r="F398" s="256"/>
      <c r="G398" s="256"/>
      <c r="H398" s="256"/>
      <c r="I398" s="256"/>
      <c r="J398" s="290"/>
    </row>
    <row r="399" spans="2:10" x14ac:dyDescent="0.2">
      <c r="B399" s="256"/>
      <c r="E399" s="310"/>
      <c r="F399" s="256"/>
      <c r="G399" s="256"/>
      <c r="H399" s="256"/>
      <c r="I399" s="256"/>
      <c r="J399" s="290"/>
    </row>
    <row r="400" spans="2:10" x14ac:dyDescent="0.2">
      <c r="B400" s="256"/>
      <c r="E400" s="310"/>
      <c r="F400" s="256"/>
      <c r="G400" s="256"/>
      <c r="H400" s="256"/>
      <c r="I400" s="256"/>
      <c r="J400" s="290"/>
    </row>
    <row r="401" spans="2:10" x14ac:dyDescent="0.2">
      <c r="B401" s="256"/>
      <c r="E401" s="310"/>
      <c r="F401" s="256"/>
      <c r="G401" s="256"/>
      <c r="H401" s="256"/>
      <c r="I401" s="256"/>
      <c r="J401" s="290"/>
    </row>
    <row r="402" spans="2:10" x14ac:dyDescent="0.2">
      <c r="B402" s="256"/>
      <c r="E402" s="310"/>
      <c r="F402" s="256"/>
      <c r="G402" s="256"/>
      <c r="H402" s="256"/>
      <c r="I402" s="256"/>
      <c r="J402" s="290"/>
    </row>
    <row r="403" spans="2:10" x14ac:dyDescent="0.2">
      <c r="B403" s="256"/>
      <c r="E403" s="310"/>
      <c r="F403" s="256"/>
      <c r="G403" s="256"/>
      <c r="H403" s="256"/>
      <c r="I403" s="256"/>
      <c r="J403" s="290"/>
    </row>
    <row r="404" spans="2:10" x14ac:dyDescent="0.2">
      <c r="B404" s="256"/>
      <c r="E404" s="310"/>
      <c r="F404" s="256"/>
      <c r="G404" s="256"/>
      <c r="H404" s="256"/>
      <c r="I404" s="256"/>
      <c r="J404" s="290"/>
    </row>
    <row r="405" spans="2:10" x14ac:dyDescent="0.2">
      <c r="B405" s="256"/>
      <c r="E405" s="310"/>
      <c r="F405" s="256"/>
      <c r="G405" s="256"/>
      <c r="H405" s="256"/>
      <c r="I405" s="256"/>
      <c r="J405" s="290"/>
    </row>
    <row r="406" spans="2:10" x14ac:dyDescent="0.2">
      <c r="B406" s="256"/>
      <c r="E406" s="310"/>
      <c r="F406" s="256"/>
      <c r="G406" s="256"/>
      <c r="H406" s="256"/>
      <c r="I406" s="256"/>
      <c r="J406" s="290"/>
    </row>
    <row r="407" spans="2:10" x14ac:dyDescent="0.2">
      <c r="B407" s="256"/>
      <c r="E407" s="310"/>
      <c r="F407" s="256"/>
      <c r="G407" s="256"/>
      <c r="H407" s="256"/>
      <c r="I407" s="256"/>
      <c r="J407" s="290"/>
    </row>
    <row r="408" spans="2:10" x14ac:dyDescent="0.2">
      <c r="B408" s="256"/>
      <c r="E408" s="310"/>
      <c r="F408" s="256"/>
      <c r="G408" s="256"/>
      <c r="H408" s="256"/>
      <c r="I408" s="256"/>
      <c r="J408" s="290"/>
    </row>
    <row r="409" spans="2:10" x14ac:dyDescent="0.2">
      <c r="B409" s="256"/>
      <c r="E409" s="310"/>
      <c r="F409" s="256"/>
      <c r="G409" s="256"/>
      <c r="H409" s="256"/>
      <c r="I409" s="256"/>
      <c r="J409" s="290"/>
    </row>
    <row r="410" spans="2:10" x14ac:dyDescent="0.2">
      <c r="B410" s="256"/>
      <c r="E410" s="310"/>
      <c r="F410" s="256"/>
      <c r="G410" s="256"/>
      <c r="H410" s="256"/>
      <c r="I410" s="256"/>
      <c r="J410" s="290"/>
    </row>
    <row r="411" spans="2:10" x14ac:dyDescent="0.2">
      <c r="B411" s="256"/>
      <c r="E411" s="310"/>
      <c r="F411" s="256"/>
      <c r="G411" s="256"/>
      <c r="H411" s="256"/>
      <c r="I411" s="256"/>
      <c r="J411" s="290"/>
    </row>
    <row r="412" spans="2:10" x14ac:dyDescent="0.2">
      <c r="B412" s="256"/>
      <c r="E412" s="310"/>
      <c r="F412" s="256"/>
      <c r="G412" s="256"/>
      <c r="H412" s="256"/>
      <c r="I412" s="256"/>
      <c r="J412" s="290"/>
    </row>
    <row r="413" spans="2:10" x14ac:dyDescent="0.2">
      <c r="B413" s="256"/>
      <c r="E413" s="310"/>
      <c r="F413" s="256"/>
      <c r="G413" s="256"/>
      <c r="H413" s="256"/>
      <c r="I413" s="256"/>
      <c r="J413" s="290"/>
    </row>
    <row r="414" spans="2:10" x14ac:dyDescent="0.2">
      <c r="B414" s="256"/>
      <c r="E414" s="310"/>
      <c r="F414" s="256"/>
      <c r="G414" s="256"/>
      <c r="H414" s="256"/>
      <c r="I414" s="256"/>
      <c r="J414" s="290"/>
    </row>
    <row r="415" spans="2:10" x14ac:dyDescent="0.2">
      <c r="B415" s="256"/>
      <c r="E415" s="310"/>
      <c r="F415" s="256"/>
      <c r="G415" s="256"/>
      <c r="H415" s="256"/>
      <c r="I415" s="256"/>
      <c r="J415" s="290"/>
    </row>
    <row r="416" spans="2:10" x14ac:dyDescent="0.2">
      <c r="B416" s="256"/>
      <c r="E416" s="310"/>
      <c r="F416" s="256"/>
      <c r="G416" s="256"/>
      <c r="H416" s="256"/>
      <c r="I416" s="256"/>
      <c r="J416" s="290"/>
    </row>
    <row r="417" spans="2:10" x14ac:dyDescent="0.2">
      <c r="B417" s="256"/>
      <c r="E417" s="310"/>
      <c r="F417" s="256"/>
      <c r="G417" s="256"/>
      <c r="H417" s="256"/>
      <c r="I417" s="256"/>
      <c r="J417" s="290"/>
    </row>
    <row r="418" spans="2:10" x14ac:dyDescent="0.2">
      <c r="B418" s="256"/>
      <c r="E418" s="310"/>
      <c r="F418" s="256"/>
      <c r="G418" s="256"/>
      <c r="H418" s="256"/>
      <c r="I418" s="256"/>
      <c r="J418" s="290"/>
    </row>
    <row r="419" spans="2:10" x14ac:dyDescent="0.2">
      <c r="B419" s="256"/>
      <c r="E419" s="310"/>
      <c r="F419" s="256"/>
      <c r="G419" s="256"/>
      <c r="H419" s="256"/>
      <c r="I419" s="256"/>
      <c r="J419" s="290"/>
    </row>
    <row r="420" spans="2:10" x14ac:dyDescent="0.2">
      <c r="B420" s="256"/>
      <c r="E420" s="310"/>
      <c r="F420" s="256"/>
      <c r="G420" s="256"/>
      <c r="H420" s="256"/>
      <c r="I420" s="256"/>
      <c r="J420" s="290"/>
    </row>
    <row r="421" spans="2:10" x14ac:dyDescent="0.2">
      <c r="B421" s="256"/>
      <c r="E421" s="310"/>
      <c r="F421" s="256"/>
      <c r="G421" s="256"/>
      <c r="H421" s="256"/>
      <c r="I421" s="256"/>
      <c r="J421" s="290"/>
    </row>
    <row r="422" spans="2:10" x14ac:dyDescent="0.2">
      <c r="B422" s="256"/>
      <c r="E422" s="310"/>
      <c r="F422" s="256"/>
      <c r="G422" s="256"/>
      <c r="H422" s="256"/>
      <c r="I422" s="256"/>
      <c r="J422" s="290"/>
    </row>
    <row r="423" spans="2:10" x14ac:dyDescent="0.2">
      <c r="B423" s="256"/>
      <c r="E423" s="310"/>
      <c r="F423" s="256"/>
      <c r="G423" s="256"/>
      <c r="H423" s="256"/>
      <c r="I423" s="256"/>
      <c r="J423" s="290"/>
    </row>
    <row r="424" spans="2:10" x14ac:dyDescent="0.2">
      <c r="B424" s="256"/>
      <c r="E424" s="310"/>
      <c r="F424" s="256"/>
      <c r="G424" s="256"/>
      <c r="H424" s="256"/>
      <c r="I424" s="256"/>
      <c r="J424" s="290"/>
    </row>
    <row r="425" spans="2:10" x14ac:dyDescent="0.2">
      <c r="B425" s="256"/>
      <c r="E425" s="310"/>
      <c r="F425" s="256"/>
      <c r="G425" s="256"/>
      <c r="H425" s="256"/>
      <c r="I425" s="256"/>
      <c r="J425" s="290"/>
    </row>
    <row r="426" spans="2:10" x14ac:dyDescent="0.2">
      <c r="B426" s="256"/>
      <c r="E426" s="310"/>
      <c r="F426" s="256"/>
      <c r="G426" s="256"/>
      <c r="H426" s="256"/>
      <c r="I426" s="256"/>
      <c r="J426" s="290"/>
    </row>
    <row r="427" spans="2:10" x14ac:dyDescent="0.2">
      <c r="B427" s="256"/>
      <c r="E427" s="310"/>
      <c r="F427" s="256"/>
      <c r="G427" s="256"/>
      <c r="H427" s="256"/>
      <c r="I427" s="256"/>
      <c r="J427" s="290"/>
    </row>
    <row r="428" spans="2:10" x14ac:dyDescent="0.2">
      <c r="B428" s="256"/>
      <c r="E428" s="310"/>
      <c r="F428" s="256"/>
      <c r="G428" s="256"/>
      <c r="H428" s="256"/>
      <c r="I428" s="256"/>
      <c r="J428" s="290"/>
    </row>
    <row r="429" spans="2:10" x14ac:dyDescent="0.2">
      <c r="B429" s="256"/>
      <c r="E429" s="310"/>
      <c r="F429" s="256"/>
      <c r="G429" s="256"/>
      <c r="H429" s="256"/>
      <c r="I429" s="256"/>
      <c r="J429" s="290"/>
    </row>
    <row r="430" spans="2:10" x14ac:dyDescent="0.2">
      <c r="B430" s="256"/>
      <c r="E430" s="310"/>
      <c r="F430" s="256"/>
      <c r="G430" s="256"/>
      <c r="H430" s="256"/>
      <c r="I430" s="256"/>
      <c r="J430" s="290"/>
    </row>
    <row r="431" spans="2:10" x14ac:dyDescent="0.2">
      <c r="B431" s="256"/>
      <c r="E431" s="310"/>
      <c r="F431" s="256"/>
      <c r="G431" s="256"/>
      <c r="H431" s="256"/>
      <c r="I431" s="256"/>
      <c r="J431" s="290"/>
    </row>
    <row r="432" spans="2:10" x14ac:dyDescent="0.2">
      <c r="B432" s="256"/>
      <c r="E432" s="310"/>
      <c r="F432" s="256"/>
      <c r="G432" s="256"/>
      <c r="H432" s="256"/>
      <c r="I432" s="256"/>
      <c r="J432" s="290"/>
    </row>
    <row r="433" spans="2:10" x14ac:dyDescent="0.2">
      <c r="B433" s="256"/>
      <c r="F433" s="256"/>
      <c r="G433" s="256"/>
      <c r="H433" s="256"/>
      <c r="I433" s="256"/>
      <c r="J433" s="290"/>
    </row>
  </sheetData>
  <hyperlinks>
    <hyperlink ref="J21" location="notes!A11" display="notes!A11"/>
    <hyperlink ref="J11" location="notes!A9" display="notes!A9"/>
    <hyperlink ref="J15" location="notes!A15" display="notes!A15"/>
    <hyperlink ref="J17" location="notes!A48" display="notes!A48"/>
    <hyperlink ref="J9" location="notes!A56" display="notes!A56"/>
    <hyperlink ref="J12" location="notes!A50" display="notes!A50"/>
    <hyperlink ref="J22:J26" location="notes!A11" display="notes!A11"/>
    <hyperlink ref="J10" location="notes!A56" display="notes!A56"/>
    <hyperlink ref="J13:J14" location="notes!A50" display="notes!A50"/>
    <hyperlink ref="J16" location="notes!A15" display="notes!A15"/>
    <hyperlink ref="J18" location="notes!A48" display="notes!A48"/>
    <hyperlink ref="J5" location="notes!A46" display="notes!A46"/>
    <hyperlink ref="J19" location="notes!A32" display="notes!A32"/>
  </hyperlinks>
  <pageMargins left="0" right="0" top="0.21" bottom="0.35" header="0.17" footer="0.17"/>
  <pageSetup scale="86" fitToHeight="2" orientation="landscape" r:id="rId1"/>
  <headerFooter alignWithMargins="0">
    <oddFooter>&amp;L&amp;6&amp;F&amp;C&amp;8&amp;A&amp;R&amp;8Printed/tied-out: &amp;D</oddFooter>
  </headerFooter>
  <rowBreaks count="1" manualBreakCount="1">
    <brk id="52" max="12"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L72"/>
  <sheetViews>
    <sheetView topLeftCell="A23" zoomScale="90" zoomScaleNormal="90" workbookViewId="0">
      <selection activeCell="H25" sqref="H25"/>
    </sheetView>
  </sheetViews>
  <sheetFormatPr defaultRowHeight="11.25" x14ac:dyDescent="0.2"/>
  <cols>
    <col min="1" max="1" width="5.83203125" style="256" customWidth="1"/>
    <col min="2" max="2" width="7.83203125" style="256" customWidth="1"/>
    <col min="3" max="3" width="35.83203125" style="256" customWidth="1"/>
    <col min="4" max="4" width="24.83203125" style="256" customWidth="1"/>
    <col min="5" max="7" width="17.83203125" style="256" customWidth="1"/>
    <col min="8" max="8" width="17.6640625" style="256" customWidth="1"/>
    <col min="9" max="9" width="15.83203125" style="256" customWidth="1"/>
    <col min="10" max="11" width="8.83203125" style="290" customWidth="1"/>
    <col min="12" max="12" width="13.83203125" style="256" bestFit="1" customWidth="1"/>
    <col min="13" max="14" width="9" style="256" customWidth="1"/>
    <col min="15" max="15" width="9.33203125" style="256" customWidth="1"/>
    <col min="16" max="16384" width="9.33203125" style="256"/>
  </cols>
  <sheetData>
    <row r="1" spans="1:12" s="206" customFormat="1" ht="24" customHeight="1" x14ac:dyDescent="0.2">
      <c r="A1" s="199" t="s">
        <v>251</v>
      </c>
      <c r="B1" s="200" t="s">
        <v>252</v>
      </c>
      <c r="C1" s="201" t="s">
        <v>253</v>
      </c>
      <c r="D1" s="202" t="s">
        <v>254</v>
      </c>
      <c r="E1" s="199" t="str">
        <f>'[5]AA - Revenues'!E1</f>
        <v>3 Months Ended
March 31, 2016</v>
      </c>
      <c r="F1" s="199" t="str">
        <f>'[5]AA - Revenues'!F1</f>
        <v>3 Months Ended
June 30, 2016</v>
      </c>
      <c r="G1" s="199" t="str">
        <f>'[5]AA - Revenues'!G1</f>
        <v>3 Months Ended
Sept. 30, 2016</v>
      </c>
      <c r="H1" s="199" t="str">
        <f>'[5]AA - Revenues'!H1</f>
        <v>3 Months Ended
Dec. 31, 2016</v>
      </c>
      <c r="I1" s="203" t="s">
        <v>144</v>
      </c>
      <c r="J1" s="204" t="s">
        <v>255</v>
      </c>
      <c r="K1" s="205" t="s">
        <v>256</v>
      </c>
    </row>
    <row r="2" spans="1:12" x14ac:dyDescent="0.2">
      <c r="A2" s="252"/>
      <c r="B2" s="253" t="s">
        <v>285</v>
      </c>
      <c r="C2" s="253"/>
      <c r="D2" s="247" t="s">
        <v>281</v>
      </c>
      <c r="E2" s="254">
        <v>95018176.469999999</v>
      </c>
      <c r="F2" s="254">
        <v>95082400.229999989</v>
      </c>
      <c r="G2" s="254">
        <v>190243823.94000003</v>
      </c>
      <c r="H2" s="254">
        <f>I2-SUM(E2:G2)</f>
        <v>53.300000011920929</v>
      </c>
      <c r="I2" s="254">
        <f>-'[5]PacifiCorp YTD'!D22</f>
        <v>380344453.94</v>
      </c>
      <c r="J2" s="255"/>
      <c r="K2" s="255"/>
      <c r="L2" s="252"/>
    </row>
    <row r="3" spans="1:12" x14ac:dyDescent="0.2">
      <c r="A3" s="252"/>
      <c r="B3" s="253"/>
      <c r="C3" s="253"/>
      <c r="D3" s="253"/>
      <c r="E3" s="254"/>
      <c r="F3" s="254"/>
      <c r="G3" s="254"/>
      <c r="H3" s="254"/>
      <c r="I3" s="254"/>
      <c r="J3" s="255"/>
      <c r="K3" s="255"/>
      <c r="L3" s="252"/>
    </row>
    <row r="4" spans="1:12" x14ac:dyDescent="0.2">
      <c r="A4" s="252"/>
      <c r="B4" s="257" t="s">
        <v>259</v>
      </c>
      <c r="C4" s="253"/>
      <c r="D4" s="253"/>
      <c r="E4" s="258"/>
      <c r="F4" s="254"/>
      <c r="G4" s="254"/>
      <c r="H4" s="254"/>
      <c r="I4" s="258"/>
      <c r="J4" s="259"/>
      <c r="K4" s="255"/>
      <c r="L4" s="252"/>
    </row>
    <row r="5" spans="1:12" x14ac:dyDescent="0.2">
      <c r="A5" s="260"/>
      <c r="B5" s="261">
        <v>586902</v>
      </c>
      <c r="C5" s="253" t="s">
        <v>286</v>
      </c>
      <c r="D5" s="253"/>
      <c r="E5" s="254">
        <v>31072.560000000001</v>
      </c>
      <c r="F5" s="254">
        <v>31072.560000000001</v>
      </c>
      <c r="G5" s="254">
        <v>62145.119999999995</v>
      </c>
      <c r="H5" s="254">
        <f>I5-SUM(E5:G5)</f>
        <v>0</v>
      </c>
      <c r="I5" s="254">
        <f>SUMIF('[5]F.01 SAP (PCORP)'!B:B,'FF - Interest Exp'!B5,'[5]F.01 SAP (PCORP)'!D:D)</f>
        <v>124290.24000000001</v>
      </c>
      <c r="J5" s="262" t="s">
        <v>287</v>
      </c>
      <c r="K5" s="255" t="s">
        <v>141</v>
      </c>
      <c r="L5" s="252"/>
    </row>
    <row r="6" spans="1:12" x14ac:dyDescent="0.2">
      <c r="A6" s="260"/>
      <c r="B6" s="261">
        <v>586903</v>
      </c>
      <c r="C6" s="253" t="s">
        <v>288</v>
      </c>
      <c r="D6" s="253"/>
      <c r="E6" s="254">
        <v>0</v>
      </c>
      <c r="F6" s="254">
        <v>0</v>
      </c>
      <c r="G6" s="254">
        <v>0</v>
      </c>
      <c r="H6" s="254"/>
      <c r="I6" s="254">
        <f>SUMIF('[5]F.01 SAP (PCORP)'!B:B,'FF - Interest Exp'!B6,'[5]F.01 SAP (PCORP)'!D:D)</f>
        <v>0</v>
      </c>
      <c r="J6" s="262" t="s">
        <v>287</v>
      </c>
      <c r="K6" s="255" t="s">
        <v>141</v>
      </c>
      <c r="L6" s="252"/>
    </row>
    <row r="7" spans="1:12" x14ac:dyDescent="0.2">
      <c r="A7" s="252"/>
      <c r="B7" s="253"/>
      <c r="C7" s="253"/>
      <c r="D7" s="253"/>
      <c r="E7" s="254"/>
      <c r="F7" s="258"/>
      <c r="G7" s="258"/>
      <c r="H7" s="254"/>
      <c r="I7" s="258"/>
      <c r="J7" s="263"/>
      <c r="K7" s="255"/>
      <c r="L7" s="252"/>
    </row>
    <row r="8" spans="1:12" x14ac:dyDescent="0.2">
      <c r="A8" s="252"/>
      <c r="B8" s="264" t="s">
        <v>282</v>
      </c>
      <c r="C8" s="265"/>
      <c r="D8" s="265"/>
      <c r="E8" s="254"/>
      <c r="F8" s="254"/>
      <c r="G8" s="254"/>
      <c r="H8" s="254"/>
      <c r="I8" s="254"/>
      <c r="J8" s="266"/>
      <c r="K8" s="255"/>
      <c r="L8" s="252"/>
    </row>
    <row r="9" spans="1:12" x14ac:dyDescent="0.2">
      <c r="A9" s="252"/>
      <c r="B9" s="260">
        <v>570007</v>
      </c>
      <c r="C9" s="221" t="s">
        <v>260</v>
      </c>
      <c r="D9" s="265"/>
      <c r="E9" s="254">
        <v>89169</v>
      </c>
      <c r="F9" s="267">
        <v>-89169</v>
      </c>
      <c r="G9" s="267">
        <v>89169</v>
      </c>
      <c r="H9" s="267">
        <f>I9-SUM(E9:G9)</f>
        <v>-89169</v>
      </c>
      <c r="I9" s="267"/>
      <c r="J9" s="268" t="s">
        <v>261</v>
      </c>
      <c r="K9" s="255" t="s">
        <v>143</v>
      </c>
      <c r="L9" s="269" t="s">
        <v>44</v>
      </c>
    </row>
    <row r="10" spans="1:12" x14ac:dyDescent="0.2">
      <c r="A10" s="255"/>
      <c r="B10" s="260">
        <v>570009</v>
      </c>
      <c r="C10" s="221" t="s">
        <v>289</v>
      </c>
      <c r="D10" s="265"/>
      <c r="E10" s="254">
        <v>-40418</v>
      </c>
      <c r="F10" s="267">
        <v>40418</v>
      </c>
      <c r="G10" s="267">
        <v>-40418</v>
      </c>
      <c r="H10" s="267">
        <f t="shared" ref="H10:H22" si="0">I10-SUM(E10:G10)</f>
        <v>40418</v>
      </c>
      <c r="I10" s="267"/>
      <c r="J10" s="268" t="s">
        <v>261</v>
      </c>
      <c r="K10" s="255" t="s">
        <v>143</v>
      </c>
      <c r="L10" s="252"/>
    </row>
    <row r="11" spans="1:12" x14ac:dyDescent="0.2">
      <c r="A11" s="255"/>
      <c r="B11" s="260">
        <v>570017</v>
      </c>
      <c r="C11" s="221" t="s">
        <v>264</v>
      </c>
      <c r="D11" s="265"/>
      <c r="E11" s="254">
        <v>83891</v>
      </c>
      <c r="F11" s="267">
        <v>-83891</v>
      </c>
      <c r="G11" s="267">
        <v>83891</v>
      </c>
      <c r="H11" s="267">
        <f t="shared" si="0"/>
        <v>-83891</v>
      </c>
      <c r="I11" s="267"/>
      <c r="J11" s="268" t="s">
        <v>261</v>
      </c>
      <c r="K11" s="255" t="s">
        <v>143</v>
      </c>
      <c r="L11" s="252"/>
    </row>
    <row r="12" spans="1:12" x14ac:dyDescent="0.2">
      <c r="A12" s="255"/>
      <c r="B12" s="260">
        <v>575027</v>
      </c>
      <c r="C12" s="221" t="s">
        <v>266</v>
      </c>
      <c r="D12" s="265"/>
      <c r="E12" s="254">
        <v>19131</v>
      </c>
      <c r="F12" s="267">
        <v>-19131</v>
      </c>
      <c r="G12" s="267">
        <v>19131</v>
      </c>
      <c r="H12" s="267">
        <f t="shared" si="0"/>
        <v>-19131</v>
      </c>
      <c r="I12" s="267"/>
      <c r="J12" s="268" t="s">
        <v>261</v>
      </c>
      <c r="K12" s="255" t="s">
        <v>143</v>
      </c>
      <c r="L12" s="270"/>
    </row>
    <row r="13" spans="1:12" x14ac:dyDescent="0.2">
      <c r="A13" s="255"/>
      <c r="B13" s="260">
        <v>575029</v>
      </c>
      <c r="C13" s="221" t="s">
        <v>290</v>
      </c>
      <c r="D13" s="265"/>
      <c r="E13" s="254">
        <v>-5243</v>
      </c>
      <c r="F13" s="267">
        <v>5243</v>
      </c>
      <c r="G13" s="267">
        <v>-5243</v>
      </c>
      <c r="H13" s="267">
        <f t="shared" si="0"/>
        <v>5243</v>
      </c>
      <c r="I13" s="267"/>
      <c r="J13" s="268" t="s">
        <v>261</v>
      </c>
      <c r="K13" s="255" t="s">
        <v>143</v>
      </c>
      <c r="L13" s="252"/>
    </row>
    <row r="14" spans="1:12" x14ac:dyDescent="0.2">
      <c r="A14" s="252"/>
      <c r="B14" s="260">
        <v>575037</v>
      </c>
      <c r="C14" s="221" t="s">
        <v>267</v>
      </c>
      <c r="D14" s="265"/>
      <c r="E14" s="254">
        <v>23902</v>
      </c>
      <c r="F14" s="267">
        <v>-23902</v>
      </c>
      <c r="G14" s="267">
        <v>23902</v>
      </c>
      <c r="H14" s="267">
        <f t="shared" si="0"/>
        <v>-23902</v>
      </c>
      <c r="I14" s="267"/>
      <c r="J14" s="268" t="s">
        <v>261</v>
      </c>
      <c r="K14" s="255" t="s">
        <v>143</v>
      </c>
      <c r="L14" s="252"/>
    </row>
    <row r="15" spans="1:12" x14ac:dyDescent="0.2">
      <c r="A15" s="252"/>
      <c r="B15" s="260">
        <v>570047</v>
      </c>
      <c r="C15" s="221" t="s">
        <v>268</v>
      </c>
      <c r="D15" s="265"/>
      <c r="E15" s="254">
        <v>0</v>
      </c>
      <c r="F15" s="267">
        <v>0</v>
      </c>
      <c r="G15" s="267">
        <v>0</v>
      </c>
      <c r="H15" s="267">
        <f t="shared" si="0"/>
        <v>0</v>
      </c>
      <c r="I15" s="267"/>
      <c r="J15" s="268" t="s">
        <v>261</v>
      </c>
      <c r="K15" s="255" t="s">
        <v>143</v>
      </c>
      <c r="L15" s="252"/>
    </row>
    <row r="16" spans="1:12" x14ac:dyDescent="0.2">
      <c r="A16" s="252"/>
      <c r="B16" s="260">
        <v>575057</v>
      </c>
      <c r="C16" s="221" t="s">
        <v>291</v>
      </c>
      <c r="D16" s="265"/>
      <c r="E16" s="254">
        <v>0</v>
      </c>
      <c r="F16" s="267">
        <v>0</v>
      </c>
      <c r="G16" s="267">
        <v>0</v>
      </c>
      <c r="H16" s="267">
        <f t="shared" si="0"/>
        <v>0</v>
      </c>
      <c r="I16" s="267"/>
      <c r="J16" s="268" t="s">
        <v>261</v>
      </c>
      <c r="K16" s="255" t="s">
        <v>143</v>
      </c>
      <c r="L16" s="252"/>
    </row>
    <row r="17" spans="1:12" x14ac:dyDescent="0.2">
      <c r="A17" s="252"/>
      <c r="B17" s="271">
        <v>575067</v>
      </c>
      <c r="C17" s="221" t="s">
        <v>292</v>
      </c>
      <c r="D17" s="272"/>
      <c r="E17" s="254">
        <v>0</v>
      </c>
      <c r="F17" s="254">
        <v>0</v>
      </c>
      <c r="G17" s="254">
        <v>0</v>
      </c>
      <c r="H17" s="254">
        <f t="shared" si="0"/>
        <v>0</v>
      </c>
      <c r="I17" s="254">
        <f>SUMIF('[5]F.01 SAP (PCORP)'!B:B,'FF - Interest Exp'!B17,'[5]F.01 SAP (PCORP)'!D:D)</f>
        <v>0</v>
      </c>
      <c r="J17" s="268" t="s">
        <v>261</v>
      </c>
      <c r="K17" s="255" t="s">
        <v>143</v>
      </c>
      <c r="L17" s="252"/>
    </row>
    <row r="18" spans="1:12" x14ac:dyDescent="0.2">
      <c r="A18" s="252"/>
      <c r="B18" s="260">
        <v>570067</v>
      </c>
      <c r="C18" s="265" t="s">
        <v>293</v>
      </c>
      <c r="D18" s="265"/>
      <c r="E18" s="254">
        <v>0</v>
      </c>
      <c r="F18" s="254">
        <v>0</v>
      </c>
      <c r="G18" s="254">
        <v>0</v>
      </c>
      <c r="H18" s="254">
        <f t="shared" si="0"/>
        <v>0</v>
      </c>
      <c r="I18" s="254">
        <f>SUMIF('[5]F.01 SAP (PCORP)'!B:B,'FF - Interest Exp'!B18,'[5]F.01 SAP (PCORP)'!D:D)</f>
        <v>0</v>
      </c>
      <c r="J18" s="268" t="s">
        <v>261</v>
      </c>
      <c r="K18" s="255" t="s">
        <v>143</v>
      </c>
      <c r="L18" s="252"/>
    </row>
    <row r="19" spans="1:12" x14ac:dyDescent="0.2">
      <c r="A19" s="252"/>
      <c r="B19" s="260">
        <v>505229</v>
      </c>
      <c r="C19" s="265" t="s">
        <v>294</v>
      </c>
      <c r="D19" s="265"/>
      <c r="E19" s="254">
        <v>-153941.5</v>
      </c>
      <c r="F19" s="254">
        <v>-157333.58000000002</v>
      </c>
      <c r="G19" s="254">
        <v>-314741.89999999997</v>
      </c>
      <c r="H19" s="254">
        <f t="shared" si="0"/>
        <v>-10402.130000000005</v>
      </c>
      <c r="I19" s="254">
        <f>SUMIF('[5]F.01 SAP (PCORP)'!B:B,'FF - Interest Exp'!B19,'[5]F.01 SAP (PCORP)'!D:D)</f>
        <v>-636419.11</v>
      </c>
      <c r="J19" s="273" t="s">
        <v>179</v>
      </c>
      <c r="K19" s="255" t="s">
        <v>138</v>
      </c>
      <c r="L19" s="252"/>
    </row>
    <row r="20" spans="1:12" x14ac:dyDescent="0.2">
      <c r="A20" s="252"/>
      <c r="B20" s="260">
        <v>515203</v>
      </c>
      <c r="C20" s="265" t="s">
        <v>295</v>
      </c>
      <c r="D20" s="265"/>
      <c r="E20" s="254">
        <v>-410507.61</v>
      </c>
      <c r="F20" s="254">
        <v>-407756.17000000004</v>
      </c>
      <c r="G20" s="254">
        <v>-815421.72999999986</v>
      </c>
      <c r="H20" s="254">
        <f t="shared" si="0"/>
        <v>8516.9799999997485</v>
      </c>
      <c r="I20" s="254">
        <f>SUMIF('[5]F.01 SAP (PCORP)'!B:B,'FF - Interest Exp'!B20,'[5]F.01 SAP (PCORP)'!D:D)</f>
        <v>-1625168.53</v>
      </c>
      <c r="J20" s="273" t="s">
        <v>179</v>
      </c>
      <c r="K20" s="255" t="s">
        <v>138</v>
      </c>
      <c r="L20" s="252"/>
    </row>
    <row r="21" spans="1:12" x14ac:dyDescent="0.2">
      <c r="A21" s="252"/>
      <c r="B21" s="260">
        <v>540200</v>
      </c>
      <c r="C21" s="265" t="s">
        <v>296</v>
      </c>
      <c r="D21" s="265"/>
      <c r="E21" s="254">
        <v>-341092.06</v>
      </c>
      <c r="F21" s="254">
        <v>-318470.32</v>
      </c>
      <c r="G21" s="254">
        <v>-626253.93999999994</v>
      </c>
      <c r="H21" s="254">
        <f t="shared" si="0"/>
        <v>70468.45999999973</v>
      </c>
      <c r="I21" s="254">
        <f>SUMIF('[5]F.01 SAP (PCORP)'!B:B,'FF - Interest Exp'!B21,'[5]F.01 SAP (PCORP)'!D:D)</f>
        <v>-1215347.8600000001</v>
      </c>
      <c r="J21" s="273" t="s">
        <v>179</v>
      </c>
      <c r="K21" s="255" t="s">
        <v>138</v>
      </c>
      <c r="L21" s="252"/>
    </row>
    <row r="22" spans="1:12" x14ac:dyDescent="0.2">
      <c r="A22" s="255"/>
      <c r="B22" s="274">
        <v>386201</v>
      </c>
      <c r="C22" s="261" t="s">
        <v>297</v>
      </c>
      <c r="D22" s="253"/>
      <c r="E22" s="254">
        <v>0</v>
      </c>
      <c r="F22" s="254">
        <v>-12672.98</v>
      </c>
      <c r="G22" s="254">
        <v>-7199.6500000000015</v>
      </c>
      <c r="H22" s="254">
        <f t="shared" si="0"/>
        <v>19872.63</v>
      </c>
      <c r="I22" s="267"/>
      <c r="J22" s="262" t="s">
        <v>298</v>
      </c>
      <c r="K22" s="255" t="s">
        <v>151</v>
      </c>
      <c r="L22" s="252"/>
    </row>
    <row r="23" spans="1:12" x14ac:dyDescent="0.2">
      <c r="E23" s="254"/>
      <c r="F23" s="254"/>
      <c r="G23" s="254"/>
      <c r="H23" s="254"/>
      <c r="I23" s="254"/>
      <c r="J23" s="259"/>
      <c r="K23" s="255"/>
      <c r="L23" s="252"/>
    </row>
    <row r="24" spans="1:12" x14ac:dyDescent="0.2">
      <c r="A24" s="252"/>
      <c r="B24" s="257" t="s">
        <v>275</v>
      </c>
      <c r="C24" s="253"/>
      <c r="D24" s="253"/>
      <c r="E24" s="275">
        <f>SUM(E9:E22)-SUM(E5:E6)</f>
        <v>-766181.73</v>
      </c>
      <c r="F24" s="275">
        <f>SUM(F9:F22)-SUM(F5:F6)</f>
        <v>-1097737.6100000001</v>
      </c>
      <c r="G24" s="275">
        <f>SUM(G9:G22)-SUM(G5:G6)</f>
        <v>-1655330.3399999999</v>
      </c>
      <c r="H24" s="275">
        <f>SUM(H9:H22)-SUM(H5:H6)</f>
        <v>-81976.060000000522</v>
      </c>
      <c r="I24" s="275">
        <f>SUM(I9:I22)-SUM(I5:I6)</f>
        <v>-3601225.74</v>
      </c>
      <c r="J24" s="263"/>
      <c r="K24" s="255"/>
      <c r="L24" s="252"/>
    </row>
    <row r="25" spans="1:12" x14ac:dyDescent="0.2">
      <c r="A25" s="252"/>
      <c r="B25" s="253"/>
      <c r="C25" s="253"/>
      <c r="D25" s="253"/>
      <c r="E25" s="258"/>
      <c r="F25" s="258"/>
      <c r="G25" s="258"/>
      <c r="H25" s="258"/>
      <c r="I25" s="258"/>
      <c r="J25" s="263"/>
      <c r="K25" s="255"/>
      <c r="L25" s="252"/>
    </row>
    <row r="26" spans="1:12" x14ac:dyDescent="0.2">
      <c r="A26" s="252"/>
      <c r="B26" s="257" t="s">
        <v>299</v>
      </c>
      <c r="C26" s="253"/>
      <c r="D26" s="253"/>
      <c r="E26" s="276">
        <f>+E24+E2</f>
        <v>94251994.739999995</v>
      </c>
      <c r="F26" s="276">
        <f>+F24+F2</f>
        <v>93984662.61999999</v>
      </c>
      <c r="G26" s="276">
        <f>+G24+G2</f>
        <v>188588493.60000002</v>
      </c>
      <c r="H26" s="276">
        <f>+H24+H2</f>
        <v>-81922.759999988601</v>
      </c>
      <c r="I26" s="276">
        <f>+I24+I2</f>
        <v>376743228.19999999</v>
      </c>
      <c r="J26" s="263"/>
      <c r="K26" s="255"/>
      <c r="L26" s="252"/>
    </row>
    <row r="27" spans="1:12" x14ac:dyDescent="0.2">
      <c r="A27" s="252"/>
      <c r="B27" s="253"/>
      <c r="C27" s="253"/>
      <c r="D27" s="253"/>
      <c r="E27" s="258"/>
      <c r="F27" s="258"/>
      <c r="G27" s="258"/>
      <c r="H27" s="258"/>
      <c r="I27" s="258"/>
      <c r="J27" s="255"/>
      <c r="K27" s="255"/>
      <c r="L27" s="272"/>
    </row>
    <row r="28" spans="1:12" x14ac:dyDescent="0.2">
      <c r="A28" s="252"/>
      <c r="B28" s="277" t="s">
        <v>277</v>
      </c>
      <c r="C28" s="252"/>
      <c r="D28" s="252"/>
      <c r="E28" s="254"/>
      <c r="F28" s="254"/>
      <c r="G28" s="254"/>
      <c r="H28" s="254"/>
      <c r="I28" s="254"/>
      <c r="J28" s="255"/>
      <c r="K28" s="255"/>
      <c r="L28" s="272"/>
    </row>
    <row r="29" spans="1:12" x14ac:dyDescent="0.2">
      <c r="A29" s="252"/>
      <c r="B29" s="278" t="s">
        <v>96</v>
      </c>
      <c r="C29" s="252"/>
      <c r="D29" s="252"/>
      <c r="E29" s="254">
        <v>89593434.060000002</v>
      </c>
      <c r="F29" s="254">
        <v>89851727.50999999</v>
      </c>
      <c r="G29" s="254">
        <v>179580296.69</v>
      </c>
      <c r="H29" s="254">
        <f t="shared" ref="H29:H35" si="1">I29-SUM(E29:G29)</f>
        <v>449371.80000001192</v>
      </c>
      <c r="I29" s="254">
        <f>SUMIFS('[5]FERC Financials'!B:B,'[5]FERC Financials'!A:A,B29)</f>
        <v>359474830.06</v>
      </c>
      <c r="J29" s="255"/>
      <c r="K29" s="255"/>
      <c r="L29" s="279"/>
    </row>
    <row r="30" spans="1:12" x14ac:dyDescent="0.2">
      <c r="A30" s="252"/>
      <c r="B30" s="278" t="s">
        <v>97</v>
      </c>
      <c r="C30" s="252"/>
      <c r="D30" s="252"/>
      <c r="E30" s="254">
        <v>1036508.79</v>
      </c>
      <c r="F30" s="254">
        <v>1035353.78</v>
      </c>
      <c r="G30" s="254">
        <v>2071862.66</v>
      </c>
      <c r="H30" s="254">
        <f t="shared" si="1"/>
        <v>-1510.6000000000931</v>
      </c>
      <c r="I30" s="254">
        <f>SUMIFS('[5]FERC Financials'!B:B,'[5]FERC Financials'!A:A,B30)</f>
        <v>4142214.63</v>
      </c>
      <c r="J30" s="255"/>
      <c r="K30" s="255"/>
      <c r="L30" s="279"/>
    </row>
    <row r="31" spans="1:12" x14ac:dyDescent="0.2">
      <c r="A31" s="252"/>
      <c r="B31" s="278" t="s">
        <v>98</v>
      </c>
      <c r="C31" s="252"/>
      <c r="D31" s="252"/>
      <c r="E31" s="254">
        <v>165605.26999999999</v>
      </c>
      <c r="F31" s="254">
        <v>167334.32999999999</v>
      </c>
      <c r="G31" s="254">
        <v>332939.71999999997</v>
      </c>
      <c r="H31" s="254">
        <f t="shared" si="1"/>
        <v>1785.2900000000373</v>
      </c>
      <c r="I31" s="254">
        <f>SUMIFS('[5]FERC Financials'!B:B,'[5]FERC Financials'!A:A,B31)</f>
        <v>667664.61</v>
      </c>
      <c r="J31" s="255"/>
      <c r="K31" s="255"/>
      <c r="L31" s="279"/>
    </row>
    <row r="32" spans="1:12" x14ac:dyDescent="0.2">
      <c r="A32" s="252"/>
      <c r="B32" s="278" t="s">
        <v>99</v>
      </c>
      <c r="C32" s="252"/>
      <c r="D32" s="252"/>
      <c r="E32" s="254">
        <v>-2756.47</v>
      </c>
      <c r="F32" s="254">
        <v>-2756.48</v>
      </c>
      <c r="G32" s="254">
        <v>-5512.9400000000005</v>
      </c>
      <c r="H32" s="254">
        <f t="shared" si="1"/>
        <v>-1.0000000000218279E-2</v>
      </c>
      <c r="I32" s="254">
        <f>-SUMIFS('[5]FERC Financials'!B:B,'[5]FERC Financials'!A:A,B32)</f>
        <v>-11025.9</v>
      </c>
      <c r="J32" s="255"/>
      <c r="K32" s="255"/>
      <c r="L32" s="279"/>
    </row>
    <row r="33" spans="1:12" x14ac:dyDescent="0.2">
      <c r="A33" s="252"/>
      <c r="B33" s="278" t="s">
        <v>100</v>
      </c>
      <c r="C33" s="252"/>
      <c r="D33" s="252"/>
      <c r="E33" s="254">
        <v>0</v>
      </c>
      <c r="F33" s="254">
        <v>0</v>
      </c>
      <c r="G33" s="254">
        <v>0</v>
      </c>
      <c r="H33" s="254">
        <f t="shared" si="1"/>
        <v>0</v>
      </c>
      <c r="I33" s="254">
        <f>-SUMIFS('[5]FERC Financials'!B:B,'[5]FERC Financials'!A:A,B33)</f>
        <v>0</v>
      </c>
      <c r="J33" s="255"/>
      <c r="K33" s="255"/>
      <c r="L33" s="279"/>
    </row>
    <row r="34" spans="1:12" x14ac:dyDescent="0.2">
      <c r="A34" s="252"/>
      <c r="B34" s="278" t="s">
        <v>101</v>
      </c>
      <c r="C34" s="252"/>
      <c r="D34" s="252"/>
      <c r="E34" s="254">
        <v>9136.5499999999993</v>
      </c>
      <c r="F34" s="254">
        <v>-12672.98</v>
      </c>
      <c r="G34" s="254">
        <v>1936.8999999999996</v>
      </c>
      <c r="H34" s="254">
        <f t="shared" si="1"/>
        <v>10736.08</v>
      </c>
      <c r="I34" s="254">
        <f>SUMIFS('[5]FERC Financials'!B:B,'[5]FERC Financials'!A:A,B34)</f>
        <v>9136.5499999999993</v>
      </c>
      <c r="J34" s="255"/>
      <c r="K34" s="255" t="s">
        <v>300</v>
      </c>
      <c r="L34" s="279"/>
    </row>
    <row r="35" spans="1:12" x14ac:dyDescent="0.2">
      <c r="A35" s="252"/>
      <c r="B35" s="278" t="s">
        <v>102</v>
      </c>
      <c r="C35" s="252"/>
      <c r="D35" s="252"/>
      <c r="E35" s="254">
        <v>3450066.54</v>
      </c>
      <c r="F35" s="254">
        <v>2945676.46</v>
      </c>
      <c r="G35" s="254">
        <v>6606970.5699999994</v>
      </c>
      <c r="H35" s="254">
        <f t="shared" si="1"/>
        <v>-542305.3200000003</v>
      </c>
      <c r="I35" s="254">
        <f>SUMIFS('[5]FERC Financials'!B:B,'[5]FERC Financials'!A:A,B35)</f>
        <v>12460408.25</v>
      </c>
      <c r="J35" s="255"/>
      <c r="K35" s="255"/>
      <c r="L35" s="279"/>
    </row>
    <row r="36" spans="1:12" x14ac:dyDescent="0.2">
      <c r="A36" s="252"/>
      <c r="B36" s="278"/>
      <c r="C36" s="252"/>
      <c r="D36" s="252"/>
      <c r="E36" s="254"/>
      <c r="F36" s="254"/>
      <c r="G36" s="254"/>
      <c r="H36" s="254"/>
      <c r="I36" s="254"/>
      <c r="J36" s="255"/>
      <c r="K36" s="255"/>
      <c r="L36" s="279"/>
    </row>
    <row r="37" spans="1:12" x14ac:dyDescent="0.2">
      <c r="A37" s="252"/>
      <c r="B37" s="278" t="s">
        <v>144</v>
      </c>
      <c r="C37" s="252"/>
      <c r="D37" s="252"/>
      <c r="E37" s="280">
        <f>SUM(E29:E35)</f>
        <v>94251994.74000001</v>
      </c>
      <c r="F37" s="280">
        <f>SUM(F29:F35)</f>
        <v>93984662.619999975</v>
      </c>
      <c r="G37" s="280">
        <f>SUM(G29:G35)</f>
        <v>188588493.59999999</v>
      </c>
      <c r="H37" s="280">
        <f>SUM(H29:H35)</f>
        <v>-81922.759999988426</v>
      </c>
      <c r="I37" s="280">
        <f>SUM(I29:I35)</f>
        <v>376743228.20000005</v>
      </c>
      <c r="J37" s="255"/>
      <c r="K37" s="255"/>
      <c r="L37" s="279"/>
    </row>
    <row r="38" spans="1:12" x14ac:dyDescent="0.2">
      <c r="A38" s="252"/>
      <c r="B38" s="252"/>
      <c r="C38" s="252"/>
      <c r="D38" s="252"/>
      <c r="E38" s="281"/>
      <c r="F38" s="281"/>
      <c r="G38" s="281"/>
      <c r="H38" s="281"/>
      <c r="I38" s="281"/>
      <c r="J38" s="255"/>
      <c r="K38" s="255"/>
      <c r="L38" s="272"/>
    </row>
    <row r="39" spans="1:12" ht="12" thickBot="1" x14ac:dyDescent="0.25">
      <c r="A39" s="252"/>
      <c r="B39" s="282" t="s">
        <v>278</v>
      </c>
      <c r="C39" s="283"/>
      <c r="D39" s="283"/>
      <c r="E39" s="284">
        <f>+E26-E37</f>
        <v>0</v>
      </c>
      <c r="F39" s="284">
        <f>+F26-F37</f>
        <v>0</v>
      </c>
      <c r="G39" s="284">
        <f>+G26-G37</f>
        <v>0</v>
      </c>
      <c r="H39" s="285">
        <f>+H26-H37</f>
        <v>-1.7462298274040222E-10</v>
      </c>
      <c r="I39" s="284">
        <f>+I26-I37</f>
        <v>0</v>
      </c>
      <c r="J39" s="263"/>
      <c r="K39" s="255"/>
      <c r="L39" s="286"/>
    </row>
    <row r="40" spans="1:12" ht="12" thickTop="1" x14ac:dyDescent="0.2">
      <c r="A40" s="252"/>
      <c r="B40" s="252"/>
      <c r="C40" s="283"/>
      <c r="D40" s="283"/>
      <c r="E40" s="287"/>
      <c r="F40" s="287"/>
      <c r="G40" s="287"/>
      <c r="H40" s="287"/>
      <c r="I40" s="287"/>
      <c r="J40" s="263"/>
      <c r="K40" s="255"/>
      <c r="L40" s="286"/>
    </row>
    <row r="41" spans="1:12" x14ac:dyDescent="0.2">
      <c r="A41" s="252"/>
      <c r="B41" s="252"/>
      <c r="C41" s="283"/>
      <c r="D41" s="283"/>
      <c r="E41" s="287"/>
      <c r="F41" s="287"/>
      <c r="G41" s="287"/>
      <c r="H41" s="238" t="s">
        <v>279</v>
      </c>
      <c r="I41" s="258">
        <f>SUM(I9:I18)</f>
        <v>0</v>
      </c>
      <c r="J41" s="288" t="s">
        <v>44</v>
      </c>
      <c r="K41" s="256" t="s">
        <v>301</v>
      </c>
      <c r="L41" s="286"/>
    </row>
    <row r="42" spans="1:12" s="206" customFormat="1" x14ac:dyDescent="0.2">
      <c r="A42" s="240"/>
      <c r="B42" s="240"/>
      <c r="C42" s="240"/>
      <c r="D42" s="241"/>
      <c r="E42" s="240"/>
      <c r="F42" s="242"/>
      <c r="G42" s="240"/>
      <c r="H42" s="240"/>
      <c r="I42" s="243"/>
      <c r="J42" s="244"/>
      <c r="K42" s="240"/>
      <c r="L42" s="207"/>
    </row>
    <row r="43" spans="1:12" x14ac:dyDescent="0.2">
      <c r="H43" s="238"/>
      <c r="I43" s="289"/>
    </row>
    <row r="44" spans="1:12" x14ac:dyDescent="0.2">
      <c r="B44" s="246" t="s">
        <v>302</v>
      </c>
      <c r="D44" s="247" t="s">
        <v>281</v>
      </c>
      <c r="E44" s="254">
        <v>3917060.9</v>
      </c>
      <c r="F44" s="254">
        <v>3772257.06</v>
      </c>
      <c r="G44" s="254">
        <v>7804624.4399999995</v>
      </c>
      <c r="H44" s="254">
        <f t="shared" ref="H44" si="2">I44-SUM(E44:G44)</f>
        <v>-177640.14999999851</v>
      </c>
      <c r="I44" s="88">
        <f>'[5]PacifiCorp YTD'!D23</f>
        <v>15316302.25</v>
      </c>
    </row>
    <row r="45" spans="1:12" x14ac:dyDescent="0.2">
      <c r="B45" s="206"/>
      <c r="E45" s="88"/>
      <c r="F45" s="254"/>
      <c r="G45" s="254"/>
      <c r="H45" s="88"/>
      <c r="I45" s="88"/>
      <c r="J45" s="256"/>
      <c r="K45" s="256"/>
    </row>
    <row r="46" spans="1:12" x14ac:dyDescent="0.2">
      <c r="B46" s="227" t="s">
        <v>277</v>
      </c>
      <c r="E46" s="83"/>
      <c r="F46" s="254"/>
      <c r="G46" s="254"/>
      <c r="H46" s="83"/>
      <c r="I46" s="83"/>
      <c r="J46" s="256"/>
      <c r="K46" s="256"/>
    </row>
    <row r="47" spans="1:12" x14ac:dyDescent="0.2">
      <c r="B47" s="230" t="s">
        <v>103</v>
      </c>
      <c r="E47" s="83">
        <v>3917060.9</v>
      </c>
      <c r="F47" s="254">
        <v>3772257.06</v>
      </c>
      <c r="G47" s="254">
        <v>7804624.4399999995</v>
      </c>
      <c r="H47" s="254">
        <f t="shared" ref="H47" si="3">I47-SUM(E47:G47)</f>
        <v>-177640.14999999851</v>
      </c>
      <c r="I47" s="83">
        <f>SUMIFS('[5]FERC Financials'!B:B,'[5]FERC Financials'!A:A,'FF - Interest Exp'!B47)</f>
        <v>15316302.25</v>
      </c>
      <c r="J47" s="256"/>
      <c r="K47" s="256"/>
    </row>
    <row r="48" spans="1:12" x14ac:dyDescent="0.2">
      <c r="B48" s="230"/>
      <c r="E48" s="82"/>
      <c r="F48" s="291"/>
      <c r="G48" s="291"/>
      <c r="H48" s="291"/>
      <c r="I48" s="82"/>
      <c r="J48" s="256"/>
      <c r="K48" s="256"/>
    </row>
    <row r="49" spans="2:11" ht="12" thickBot="1" x14ac:dyDescent="0.25">
      <c r="B49" s="99" t="s">
        <v>278</v>
      </c>
      <c r="E49" s="234">
        <f>E44-E47</f>
        <v>0</v>
      </c>
      <c r="F49" s="234">
        <f>F44-F47</f>
        <v>0</v>
      </c>
      <c r="G49" s="234">
        <f>G44-G47</f>
        <v>0</v>
      </c>
      <c r="H49" s="234">
        <f>H44-H47</f>
        <v>0</v>
      </c>
      <c r="I49" s="234">
        <f>I44-I47</f>
        <v>0</v>
      </c>
      <c r="J49" s="256"/>
      <c r="K49" s="256"/>
    </row>
    <row r="50" spans="2:11" ht="12" thickTop="1" x14ac:dyDescent="0.2">
      <c r="E50" s="88"/>
      <c r="F50" s="88"/>
      <c r="G50" s="88"/>
      <c r="H50" s="88"/>
      <c r="I50" s="88"/>
      <c r="J50" s="256"/>
      <c r="K50" s="256"/>
    </row>
    <row r="51" spans="2:11" x14ac:dyDescent="0.2">
      <c r="E51" s="88"/>
      <c r="F51" s="88"/>
      <c r="G51" s="88"/>
      <c r="H51" s="88"/>
      <c r="I51" s="88"/>
      <c r="J51" s="256"/>
      <c r="K51" s="256"/>
    </row>
    <row r="52" spans="2:11" x14ac:dyDescent="0.2">
      <c r="H52" s="238" t="s">
        <v>285</v>
      </c>
      <c r="I52" s="103">
        <f>I37</f>
        <v>376743228.20000005</v>
      </c>
      <c r="J52" s="256"/>
      <c r="K52" s="256"/>
    </row>
    <row r="53" spans="2:11" x14ac:dyDescent="0.2">
      <c r="H53" s="292" t="s">
        <v>77</v>
      </c>
      <c r="I53" s="103">
        <f>'[5]HH -Int &amp; Dividend Income'!I27</f>
        <v>-9486316.7699999996</v>
      </c>
      <c r="J53" s="256"/>
      <c r="K53" s="256"/>
    </row>
    <row r="54" spans="2:11" x14ac:dyDescent="0.2">
      <c r="H54" s="238" t="s">
        <v>79</v>
      </c>
      <c r="I54" s="103">
        <f>-'[5]HH -Int &amp; Dividend Income'!I37</f>
        <v>-27450081.199999999</v>
      </c>
      <c r="J54" s="256"/>
      <c r="K54" s="256"/>
    </row>
    <row r="55" spans="2:11" x14ac:dyDescent="0.2">
      <c r="H55" s="293" t="s">
        <v>103</v>
      </c>
      <c r="I55" s="294">
        <f>-'FF - Interest Exp'!I47</f>
        <v>-15316302.25</v>
      </c>
      <c r="J55" s="256"/>
      <c r="K55" s="256"/>
    </row>
    <row r="56" spans="2:11" x14ac:dyDescent="0.2">
      <c r="I56" s="295">
        <f>SUM(I52:I55)</f>
        <v>324490527.98000008</v>
      </c>
      <c r="J56" s="256"/>
      <c r="K56" s="256"/>
    </row>
    <row r="57" spans="2:11" x14ac:dyDescent="0.2">
      <c r="J57" s="256"/>
      <c r="K57" s="256"/>
    </row>
    <row r="58" spans="2:11" x14ac:dyDescent="0.2">
      <c r="J58" s="256"/>
      <c r="K58" s="256"/>
    </row>
    <row r="59" spans="2:11" x14ac:dyDescent="0.2">
      <c r="J59" s="256"/>
      <c r="K59" s="256"/>
    </row>
    <row r="60" spans="2:11" x14ac:dyDescent="0.2">
      <c r="J60" s="256"/>
      <c r="K60" s="256"/>
    </row>
    <row r="61" spans="2:11" x14ac:dyDescent="0.2">
      <c r="J61" s="256"/>
      <c r="K61" s="256"/>
    </row>
    <row r="62" spans="2:11" x14ac:dyDescent="0.2">
      <c r="J62" s="256"/>
      <c r="K62" s="256"/>
    </row>
    <row r="63" spans="2:11" x14ac:dyDescent="0.2">
      <c r="J63" s="256"/>
      <c r="K63" s="256"/>
    </row>
    <row r="64" spans="2:11" x14ac:dyDescent="0.2">
      <c r="J64" s="256"/>
      <c r="K64" s="256"/>
    </row>
    <row r="65" spans="10:11" x14ac:dyDescent="0.2">
      <c r="J65" s="256"/>
      <c r="K65" s="256"/>
    </row>
    <row r="66" spans="10:11" x14ac:dyDescent="0.2">
      <c r="J66" s="256"/>
      <c r="K66" s="256"/>
    </row>
    <row r="67" spans="10:11" x14ac:dyDescent="0.2">
      <c r="J67" s="256"/>
      <c r="K67" s="256"/>
    </row>
    <row r="68" spans="10:11" x14ac:dyDescent="0.2">
      <c r="J68" s="256"/>
      <c r="K68" s="256"/>
    </row>
    <row r="69" spans="10:11" x14ac:dyDescent="0.2">
      <c r="J69" s="256"/>
      <c r="K69" s="256"/>
    </row>
    <row r="70" spans="10:11" x14ac:dyDescent="0.2">
      <c r="J70" s="256"/>
      <c r="K70" s="256"/>
    </row>
    <row r="71" spans="10:11" x14ac:dyDescent="0.2">
      <c r="J71" s="256"/>
      <c r="K71" s="256"/>
    </row>
    <row r="72" spans="10:11" x14ac:dyDescent="0.2">
      <c r="J72" s="256"/>
      <c r="K72" s="256"/>
    </row>
  </sheetData>
  <hyperlinks>
    <hyperlink ref="J19" location="notes!A13" display="notes!A13"/>
    <hyperlink ref="J5" location="notes!A42" display="notes!A42"/>
    <hyperlink ref="J22" location="notes!A58" display="notes!A58"/>
    <hyperlink ref="J9" location="notes!A21" display="notes!A21"/>
    <hyperlink ref="J18" location="notes!A21" display="notes!A21"/>
    <hyperlink ref="J20:J21" location="notes!A13" display="notes!A13"/>
    <hyperlink ref="J10" location="notes!A21" display="notes!A21"/>
    <hyperlink ref="J13" location="notes!A21" display="notes!A21"/>
    <hyperlink ref="J6" location="notes!A42" display="notes!A42"/>
  </hyperlinks>
  <pageMargins left="0.25" right="0.25" top="1" bottom="0.5" header="0.5" footer="0.25"/>
  <pageSetup scale="61" orientation="landscape" r:id="rId1"/>
  <headerFooter alignWithMargins="0">
    <oddFooter>&amp;L&amp;6&amp;F&amp;C&amp;8&amp;A&amp;R&amp;8Printed/tied-out: &amp;D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10K to FF1 Inc Stmt</vt:lpstr>
      <vt:lpstr>Rtmkg FERC accts</vt:lpstr>
      <vt:lpstr>PacifiCorp YTD</vt:lpstr>
      <vt:lpstr>IS Reconciliation</vt:lpstr>
      <vt:lpstr>Form 1</vt:lpstr>
      <vt:lpstr>CC- Taxes </vt:lpstr>
      <vt:lpstr>EE - Other Net &amp; Derivative P-L</vt:lpstr>
      <vt:lpstr>FF - Interest Exp</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James</dc:creator>
  <cp:lastModifiedBy>laurieharris</cp:lastModifiedBy>
  <dcterms:created xsi:type="dcterms:W3CDTF">2017-04-19T17:53:30Z</dcterms:created>
  <dcterms:modified xsi:type="dcterms:W3CDTF">2017-09-15T21:25:12Z</dcterms:modified>
</cp:coreProperties>
</file>